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15150" windowHeight="7695"/>
  </bookViews>
  <sheets>
    <sheet name="stat.600" sheetId="1" r:id="rId1"/>
  </sheets>
  <calcPr calcId="0"/>
</workbook>
</file>

<file path=xl/calcChain.xml><?xml version="1.0" encoding="utf-8"?>
<calcChain xmlns="http://schemas.openxmlformats.org/spreadsheetml/2006/main">
  <c r="C2" i="1"/>
  <c r="D2"/>
  <c r="C3"/>
  <c r="D3"/>
  <c r="C4"/>
  <c r="D4"/>
  <c r="C5"/>
  <c r="D5"/>
  <c r="C6"/>
  <c r="D6"/>
  <c r="C7"/>
  <c r="D7"/>
  <c r="C8"/>
  <c r="D8"/>
  <c r="C9"/>
  <c r="D9"/>
  <c r="C10"/>
  <c r="D10"/>
  <c r="C11"/>
  <c r="D11"/>
  <c r="C12"/>
  <c r="D12"/>
  <c r="C13"/>
  <c r="D13"/>
  <c r="C14"/>
  <c r="D14"/>
  <c r="C15"/>
  <c r="D15"/>
  <c r="C16"/>
  <c r="D16"/>
  <c r="C17"/>
  <c r="D17"/>
  <c r="C18"/>
  <c r="D18"/>
  <c r="C19"/>
  <c r="D19"/>
  <c r="C20"/>
  <c r="D20"/>
  <c r="C21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33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46"/>
  <c r="D46"/>
  <c r="C47"/>
  <c r="D47"/>
  <c r="C48"/>
  <c r="D48"/>
  <c r="C49"/>
  <c r="D49"/>
  <c r="C50"/>
  <c r="D50"/>
  <c r="C51"/>
  <c r="D51"/>
  <c r="C52"/>
  <c r="D52"/>
  <c r="C53"/>
  <c r="D53"/>
  <c r="C54"/>
  <c r="D54"/>
  <c r="C55"/>
  <c r="D55"/>
  <c r="C56"/>
  <c r="D56"/>
  <c r="C57"/>
  <c r="D57"/>
  <c r="C58"/>
  <c r="D58"/>
  <c r="C59"/>
  <c r="D59"/>
  <c r="C60"/>
  <c r="D60"/>
  <c r="C61"/>
  <c r="D61"/>
  <c r="C62"/>
  <c r="D62"/>
  <c r="C63"/>
  <c r="D63"/>
  <c r="C64"/>
  <c r="D64"/>
  <c r="C65"/>
  <c r="D65"/>
  <c r="C66"/>
  <c r="D66"/>
  <c r="C67"/>
  <c r="D67"/>
  <c r="C68"/>
  <c r="D68"/>
  <c r="C69"/>
  <c r="D69"/>
  <c r="C70"/>
  <c r="D70"/>
  <c r="C71"/>
  <c r="D71"/>
  <c r="C72"/>
  <c r="D72"/>
  <c r="C73"/>
  <c r="D73"/>
  <c r="C74"/>
  <c r="D74"/>
  <c r="C75"/>
  <c r="D75"/>
  <c r="C76"/>
  <c r="D76"/>
  <c r="C77"/>
  <c r="D77"/>
  <c r="C78"/>
  <c r="D78"/>
  <c r="C79"/>
  <c r="D79"/>
  <c r="C80"/>
  <c r="D80"/>
  <c r="C81"/>
  <c r="D81"/>
  <c r="C82"/>
  <c r="D82"/>
  <c r="C83"/>
  <c r="D83"/>
  <c r="C84"/>
  <c r="D84"/>
  <c r="C85"/>
  <c r="D85"/>
  <c r="C86"/>
  <c r="D86"/>
  <c r="C87"/>
  <c r="D87"/>
  <c r="C88"/>
  <c r="D88"/>
  <c r="C89"/>
  <c r="D89"/>
  <c r="C90"/>
  <c r="D90"/>
  <c r="C91"/>
  <c r="D91"/>
  <c r="C92"/>
  <c r="D92"/>
  <c r="C93"/>
  <c r="D93"/>
  <c r="C94"/>
  <c r="D94"/>
  <c r="C95"/>
  <c r="D95"/>
  <c r="C96"/>
  <c r="D96"/>
  <c r="C97"/>
  <c r="D97"/>
  <c r="C98"/>
  <c r="D98"/>
  <c r="C99"/>
  <c r="D99"/>
  <c r="C100"/>
  <c r="D100"/>
  <c r="C101"/>
  <c r="D101"/>
  <c r="C102"/>
  <c r="D102"/>
  <c r="C103"/>
  <c r="D103"/>
  <c r="C104"/>
  <c r="D104"/>
  <c r="C105"/>
  <c r="D105"/>
  <c r="C106"/>
  <c r="D106"/>
  <c r="C107"/>
  <c r="D107"/>
  <c r="C108"/>
  <c r="D108"/>
  <c r="C109"/>
  <c r="D109"/>
  <c r="C110"/>
  <c r="D110"/>
  <c r="C111"/>
  <c r="D111"/>
  <c r="C112"/>
  <c r="D112"/>
  <c r="C113"/>
  <c r="D113"/>
  <c r="C114"/>
  <c r="D114"/>
  <c r="C115"/>
  <c r="D115"/>
  <c r="C116"/>
  <c r="D116"/>
  <c r="C117"/>
  <c r="D117"/>
  <c r="C118"/>
  <c r="D118"/>
  <c r="C119"/>
  <c r="D119"/>
  <c r="C120"/>
  <c r="D120"/>
  <c r="C121"/>
  <c r="D121"/>
  <c r="C122"/>
  <c r="D122"/>
  <c r="C123"/>
  <c r="D123"/>
  <c r="C124"/>
  <c r="D124"/>
  <c r="C125"/>
  <c r="D125"/>
  <c r="C126"/>
  <c r="D126"/>
  <c r="C127"/>
  <c r="D127"/>
  <c r="C128"/>
  <c r="D128"/>
  <c r="C129"/>
  <c r="D129"/>
  <c r="C130"/>
  <c r="D130"/>
  <c r="C131"/>
  <c r="D131"/>
  <c r="C132"/>
  <c r="D132"/>
  <c r="C133"/>
  <c r="D133"/>
  <c r="C134"/>
  <c r="D134"/>
  <c r="C135"/>
  <c r="D135"/>
  <c r="C136"/>
  <c r="D136"/>
  <c r="C137"/>
  <c r="D137"/>
  <c r="C138"/>
  <c r="D138"/>
  <c r="C139"/>
  <c r="D139"/>
  <c r="C140"/>
  <c r="D140"/>
  <c r="C141"/>
  <c r="D141"/>
  <c r="C142"/>
  <c r="D142"/>
  <c r="C143"/>
  <c r="D143"/>
  <c r="C144"/>
  <c r="D144"/>
  <c r="C145"/>
  <c r="D145"/>
  <c r="C146"/>
  <c r="D146"/>
  <c r="C147"/>
  <c r="D147"/>
  <c r="C148"/>
  <c r="D148"/>
  <c r="C149"/>
  <c r="D149"/>
  <c r="C150"/>
  <c r="D150"/>
  <c r="C151"/>
  <c r="D151"/>
  <c r="C152"/>
  <c r="D152"/>
  <c r="C153"/>
  <c r="D153"/>
  <c r="C154"/>
  <c r="D154"/>
  <c r="C155"/>
  <c r="D155"/>
  <c r="C156"/>
  <c r="D156"/>
  <c r="C157"/>
  <c r="D157"/>
  <c r="C158"/>
  <c r="D158"/>
  <c r="C159"/>
  <c r="D159"/>
  <c r="C160"/>
  <c r="D160"/>
  <c r="C161"/>
  <c r="D161"/>
  <c r="C162"/>
  <c r="D162"/>
  <c r="C163"/>
  <c r="D163"/>
  <c r="C164"/>
  <c r="D164"/>
  <c r="C165"/>
  <c r="D165"/>
  <c r="C166"/>
  <c r="D166"/>
  <c r="C167"/>
  <c r="D167"/>
  <c r="C168"/>
  <c r="D168"/>
  <c r="C169"/>
  <c r="D169"/>
  <c r="C170"/>
  <c r="D170"/>
  <c r="C171"/>
  <c r="D171"/>
  <c r="C172"/>
  <c r="D172"/>
  <c r="C173"/>
  <c r="D173"/>
  <c r="C174"/>
  <c r="D174"/>
  <c r="C175"/>
  <c r="D175"/>
  <c r="C176"/>
  <c r="D176"/>
  <c r="C177"/>
  <c r="D177"/>
  <c r="C178"/>
  <c r="D178"/>
  <c r="C179"/>
  <c r="D179"/>
  <c r="C180"/>
  <c r="D180"/>
  <c r="C181"/>
  <c r="D181"/>
  <c r="C182"/>
  <c r="D182"/>
  <c r="C183"/>
  <c r="D183"/>
  <c r="C184"/>
  <c r="D184"/>
  <c r="C185"/>
  <c r="D185"/>
  <c r="C186"/>
  <c r="D186"/>
  <c r="C187"/>
  <c r="D187"/>
  <c r="C188"/>
  <c r="D188"/>
  <c r="C189"/>
  <c r="D189"/>
  <c r="C190"/>
  <c r="D190"/>
  <c r="C191"/>
  <c r="D191"/>
  <c r="C192"/>
  <c r="D192"/>
  <c r="C193"/>
  <c r="D193"/>
  <c r="C194"/>
  <c r="D194"/>
  <c r="C195"/>
  <c r="D195"/>
  <c r="C196"/>
  <c r="D196"/>
  <c r="C197"/>
  <c r="D197"/>
  <c r="C198"/>
  <c r="D198"/>
  <c r="C199"/>
  <c r="D199"/>
  <c r="C200"/>
  <c r="D200"/>
  <c r="C201"/>
  <c r="D201"/>
  <c r="C202"/>
  <c r="D202"/>
  <c r="C203"/>
  <c r="D203"/>
  <c r="C204"/>
  <c r="D204"/>
  <c r="C205"/>
  <c r="D205"/>
  <c r="C206"/>
  <c r="D206"/>
  <c r="C207"/>
  <c r="D207"/>
  <c r="C208"/>
  <c r="D208"/>
  <c r="C209"/>
  <c r="D209"/>
  <c r="C210"/>
  <c r="D210"/>
  <c r="C211"/>
  <c r="D211"/>
  <c r="C212"/>
  <c r="D212"/>
  <c r="C213"/>
  <c r="D213"/>
  <c r="C214"/>
  <c r="D214"/>
  <c r="C215"/>
  <c r="D215"/>
  <c r="C216"/>
  <c r="D216"/>
  <c r="C217"/>
  <c r="D217"/>
  <c r="C218"/>
  <c r="D218"/>
  <c r="C219"/>
  <c r="D219"/>
  <c r="C220"/>
  <c r="D220"/>
  <c r="C221"/>
  <c r="D221"/>
  <c r="C222"/>
  <c r="D222"/>
  <c r="C223"/>
  <c r="D223"/>
  <c r="C224"/>
  <c r="D224"/>
  <c r="C225"/>
  <c r="D225"/>
  <c r="C226"/>
  <c r="D226"/>
  <c r="C227"/>
  <c r="D227"/>
  <c r="C228"/>
  <c r="D228"/>
  <c r="C229"/>
  <c r="D229"/>
  <c r="C230"/>
  <c r="D230"/>
  <c r="C231"/>
  <c r="D231"/>
  <c r="C232"/>
  <c r="D232"/>
  <c r="C233"/>
  <c r="D233"/>
  <c r="C234"/>
  <c r="D234"/>
  <c r="C235"/>
  <c r="D235"/>
  <c r="C236"/>
  <c r="D236"/>
  <c r="C237"/>
  <c r="D237"/>
  <c r="C238"/>
  <c r="D238"/>
  <c r="C239"/>
  <c r="D239"/>
  <c r="C240"/>
  <c r="D240"/>
  <c r="C241"/>
  <c r="D241"/>
  <c r="C242"/>
  <c r="D242"/>
  <c r="C243"/>
  <c r="D243"/>
  <c r="C244"/>
  <c r="D244"/>
  <c r="C245"/>
  <c r="D245"/>
  <c r="C246"/>
  <c r="D246"/>
  <c r="C247"/>
  <c r="D247"/>
  <c r="C248"/>
  <c r="D248"/>
  <c r="C249"/>
  <c r="D249"/>
  <c r="C250"/>
  <c r="D250"/>
  <c r="C251"/>
  <c r="D251"/>
  <c r="C252"/>
  <c r="D252"/>
  <c r="C253"/>
  <c r="D253"/>
  <c r="C254"/>
  <c r="D254"/>
  <c r="C255"/>
  <c r="D255"/>
  <c r="C256"/>
  <c r="D256"/>
  <c r="C257"/>
  <c r="D257"/>
  <c r="C258"/>
  <c r="D258"/>
  <c r="C259"/>
  <c r="D259"/>
  <c r="C260"/>
  <c r="D260"/>
  <c r="C261"/>
  <c r="D261"/>
  <c r="C262"/>
  <c r="D262"/>
  <c r="C263"/>
  <c r="D263"/>
  <c r="C264"/>
  <c r="D264"/>
  <c r="C265"/>
  <c r="D265"/>
  <c r="C266"/>
  <c r="D266"/>
  <c r="C267"/>
  <c r="D267"/>
  <c r="C268"/>
  <c r="D268"/>
  <c r="C269"/>
  <c r="D269"/>
  <c r="C270"/>
  <c r="D270"/>
  <c r="C271"/>
  <c r="D271"/>
  <c r="C272"/>
  <c r="D272"/>
  <c r="C273"/>
  <c r="D273"/>
  <c r="C274"/>
  <c r="D274"/>
  <c r="C275"/>
  <c r="D275"/>
  <c r="C276"/>
  <c r="D276"/>
  <c r="C277"/>
  <c r="D277"/>
  <c r="C278"/>
  <c r="D278"/>
  <c r="C279"/>
  <c r="D279"/>
  <c r="C280"/>
  <c r="D280"/>
  <c r="C281"/>
  <c r="D281"/>
  <c r="C282"/>
  <c r="D282"/>
  <c r="C283"/>
  <c r="D283"/>
  <c r="C284"/>
  <c r="D284"/>
  <c r="C285"/>
  <c r="D285"/>
  <c r="C286"/>
  <c r="D286"/>
  <c r="C287"/>
  <c r="D287"/>
  <c r="C288"/>
  <c r="D288"/>
  <c r="C289"/>
  <c r="D289"/>
  <c r="C290"/>
  <c r="D290"/>
  <c r="C291"/>
  <c r="D291"/>
  <c r="C292"/>
  <c r="D292"/>
  <c r="C293"/>
  <c r="D293"/>
  <c r="C294"/>
  <c r="D294"/>
  <c r="C295"/>
  <c r="D295"/>
  <c r="C296"/>
  <c r="D296"/>
  <c r="C297"/>
  <c r="D297"/>
  <c r="C298"/>
  <c r="D298"/>
  <c r="C299"/>
  <c r="D299"/>
  <c r="C300"/>
  <c r="D300"/>
  <c r="C301"/>
  <c r="D301"/>
  <c r="C302"/>
  <c r="D302"/>
  <c r="C303"/>
  <c r="D303"/>
  <c r="C304"/>
  <c r="D304"/>
  <c r="C305"/>
  <c r="D305"/>
  <c r="C306"/>
  <c r="D306"/>
  <c r="C307"/>
  <c r="D307"/>
  <c r="C308"/>
  <c r="D308"/>
  <c r="C309"/>
  <c r="D309"/>
  <c r="C310"/>
  <c r="D310"/>
  <c r="C311"/>
  <c r="D311"/>
  <c r="C312"/>
  <c r="D312"/>
  <c r="C313"/>
  <c r="D313"/>
  <c r="C314"/>
  <c r="D314"/>
  <c r="C315"/>
  <c r="D315"/>
  <c r="C316"/>
  <c r="D316"/>
  <c r="C317"/>
  <c r="D317"/>
  <c r="C318"/>
  <c r="D318"/>
  <c r="C319"/>
  <c r="D319"/>
  <c r="C320"/>
  <c r="D320"/>
  <c r="C321"/>
  <c r="D321"/>
  <c r="C322"/>
  <c r="D322"/>
  <c r="C323"/>
  <c r="D323"/>
  <c r="C324"/>
  <c r="D324"/>
  <c r="C325"/>
  <c r="D325"/>
  <c r="C326"/>
  <c r="D326"/>
  <c r="C327"/>
  <c r="D327"/>
  <c r="C328"/>
  <c r="D328"/>
  <c r="C329"/>
  <c r="D329"/>
  <c r="C330"/>
  <c r="D330"/>
  <c r="C331"/>
  <c r="D331"/>
  <c r="C332"/>
  <c r="D332"/>
  <c r="C333"/>
  <c r="D333"/>
  <c r="C334"/>
  <c r="D334"/>
  <c r="C335"/>
  <c r="D335"/>
  <c r="C336"/>
  <c r="D336"/>
  <c r="C337"/>
  <c r="D337"/>
  <c r="C338"/>
  <c r="D338"/>
  <c r="C339"/>
  <c r="D339"/>
  <c r="C340"/>
  <c r="D340"/>
  <c r="C341"/>
  <c r="D341"/>
  <c r="C342"/>
  <c r="D342"/>
  <c r="C343"/>
  <c r="D343"/>
  <c r="C344"/>
  <c r="D344"/>
  <c r="C345"/>
  <c r="D345"/>
  <c r="C346"/>
  <c r="D346"/>
  <c r="C347"/>
  <c r="D347"/>
  <c r="C348"/>
  <c r="D348"/>
  <c r="C349"/>
  <c r="D349"/>
  <c r="C350"/>
  <c r="D350"/>
  <c r="C351"/>
  <c r="D351"/>
  <c r="C352"/>
  <c r="D352"/>
  <c r="C353"/>
  <c r="D353"/>
  <c r="C354"/>
  <c r="D354"/>
  <c r="C355"/>
  <c r="D355"/>
  <c r="C356"/>
  <c r="D356"/>
  <c r="C357"/>
  <c r="D357"/>
  <c r="C358"/>
  <c r="D358"/>
  <c r="C359"/>
  <c r="D359"/>
  <c r="C360"/>
  <c r="D360"/>
  <c r="C361"/>
  <c r="D361"/>
  <c r="C362"/>
  <c r="D362"/>
  <c r="C363"/>
  <c r="D363"/>
  <c r="C364"/>
  <c r="D364"/>
  <c r="C365"/>
  <c r="D365"/>
  <c r="C366"/>
  <c r="D366"/>
  <c r="C367"/>
  <c r="D367"/>
  <c r="C368"/>
  <c r="D368"/>
  <c r="C369"/>
  <c r="D369"/>
  <c r="C370"/>
  <c r="D370"/>
  <c r="C371"/>
  <c r="D371"/>
  <c r="C372"/>
  <c r="D372"/>
  <c r="C373"/>
  <c r="D373"/>
  <c r="C374"/>
  <c r="D374"/>
  <c r="C375"/>
  <c r="D375"/>
  <c r="C376"/>
  <c r="D376"/>
  <c r="C377"/>
  <c r="D377"/>
  <c r="C378"/>
  <c r="D378"/>
  <c r="C379"/>
  <c r="D379"/>
  <c r="C380"/>
  <c r="D380"/>
  <c r="C381"/>
  <c r="D381"/>
  <c r="C382"/>
  <c r="D382"/>
  <c r="C383"/>
  <c r="D383"/>
  <c r="C384"/>
  <c r="D384"/>
  <c r="C385"/>
  <c r="D385"/>
  <c r="C386"/>
  <c r="D386"/>
  <c r="C387"/>
  <c r="D387"/>
  <c r="C388"/>
  <c r="D388"/>
  <c r="C389"/>
  <c r="D389"/>
  <c r="C390"/>
  <c r="D390"/>
  <c r="C391"/>
  <c r="D391"/>
  <c r="C392"/>
  <c r="D392"/>
  <c r="C393"/>
  <c r="D393"/>
  <c r="C394"/>
  <c r="D394"/>
  <c r="C395"/>
  <c r="D395"/>
  <c r="C396"/>
  <c r="D396"/>
  <c r="C397"/>
  <c r="D397"/>
  <c r="C398"/>
  <c r="D398"/>
  <c r="C399"/>
  <c r="D399"/>
  <c r="C400"/>
  <c r="D400"/>
  <c r="C401"/>
  <c r="D401"/>
  <c r="C402"/>
  <c r="D402"/>
  <c r="C403"/>
  <c r="D403"/>
  <c r="C404"/>
  <c r="D404"/>
  <c r="C405"/>
  <c r="D405"/>
  <c r="C406"/>
  <c r="D406"/>
  <c r="C407"/>
  <c r="D407"/>
  <c r="C408"/>
  <c r="D408"/>
  <c r="C409"/>
  <c r="D409"/>
  <c r="C410"/>
  <c r="D410"/>
  <c r="C411"/>
  <c r="D411"/>
  <c r="C412"/>
  <c r="D412"/>
  <c r="C413"/>
  <c r="D413"/>
  <c r="C414"/>
  <c r="D414"/>
  <c r="C415"/>
  <c r="D415"/>
  <c r="C416"/>
  <c r="D416"/>
  <c r="C417"/>
  <c r="D417"/>
  <c r="C418"/>
  <c r="D418"/>
  <c r="C419"/>
  <c r="D419"/>
  <c r="C420"/>
  <c r="D420"/>
  <c r="C421"/>
  <c r="D421"/>
  <c r="C422"/>
  <c r="D422"/>
  <c r="C423"/>
  <c r="D423"/>
  <c r="C424"/>
  <c r="D424"/>
  <c r="C425"/>
  <c r="D425"/>
  <c r="C426"/>
  <c r="D426"/>
  <c r="C427"/>
  <c r="D427"/>
  <c r="C428"/>
  <c r="D428"/>
  <c r="C429"/>
  <c r="D429"/>
  <c r="C430"/>
  <c r="D430"/>
  <c r="C431"/>
  <c r="D431"/>
  <c r="C432"/>
  <c r="D432"/>
  <c r="C433"/>
  <c r="D433"/>
  <c r="C434"/>
  <c r="D434"/>
  <c r="C435"/>
  <c r="D435"/>
  <c r="C436"/>
  <c r="D436"/>
  <c r="C437"/>
  <c r="D437"/>
  <c r="C438"/>
  <c r="D438"/>
  <c r="C439"/>
  <c r="D439"/>
  <c r="C440"/>
  <c r="D440"/>
  <c r="C441"/>
  <c r="D441"/>
  <c r="C442"/>
  <c r="D442"/>
  <c r="C443"/>
  <c r="D443"/>
  <c r="C444"/>
  <c r="D444"/>
  <c r="C445"/>
  <c r="D445"/>
  <c r="C446"/>
  <c r="D446"/>
  <c r="C447"/>
  <c r="D447"/>
  <c r="C448"/>
  <c r="D448"/>
  <c r="C449"/>
  <c r="D449"/>
  <c r="C450"/>
  <c r="D450"/>
  <c r="C451"/>
  <c r="D451"/>
  <c r="C452"/>
  <c r="D452"/>
  <c r="C453"/>
  <c r="D453"/>
  <c r="C454"/>
  <c r="D454"/>
  <c r="C455"/>
  <c r="D455"/>
  <c r="C456"/>
  <c r="D456"/>
  <c r="C457"/>
  <c r="D457"/>
  <c r="C458"/>
  <c r="D458"/>
  <c r="C459"/>
  <c r="D459"/>
  <c r="C460"/>
  <c r="D460"/>
  <c r="C461"/>
  <c r="D461"/>
  <c r="C462"/>
  <c r="D462"/>
  <c r="C463"/>
  <c r="D463"/>
  <c r="C464"/>
  <c r="D464"/>
  <c r="C465"/>
  <c r="D465"/>
  <c r="C466"/>
  <c r="D466"/>
  <c r="C467"/>
  <c r="D467"/>
  <c r="C468"/>
  <c r="D468"/>
  <c r="C469"/>
  <c r="D469"/>
  <c r="C470"/>
  <c r="D470"/>
  <c r="C471"/>
  <c r="D471"/>
  <c r="C472"/>
  <c r="D472"/>
  <c r="C473"/>
  <c r="D473"/>
  <c r="C474"/>
  <c r="D474"/>
  <c r="C475"/>
  <c r="D475"/>
  <c r="C476"/>
  <c r="D476"/>
  <c r="C477"/>
  <c r="D477"/>
  <c r="C478"/>
  <c r="D478"/>
  <c r="C479"/>
  <c r="D479"/>
  <c r="C480"/>
  <c r="D480"/>
  <c r="C481"/>
  <c r="D481"/>
  <c r="C482"/>
  <c r="D482"/>
  <c r="C483"/>
  <c r="D483"/>
  <c r="C484"/>
  <c r="D484"/>
  <c r="C485"/>
  <c r="D485"/>
  <c r="C486"/>
  <c r="D486"/>
  <c r="C487"/>
  <c r="D487"/>
  <c r="C488"/>
  <c r="D488"/>
  <c r="C489"/>
  <c r="D489"/>
  <c r="C490"/>
  <c r="D490"/>
  <c r="C491"/>
  <c r="D491"/>
  <c r="C492"/>
  <c r="D492"/>
  <c r="C493"/>
  <c r="D493"/>
  <c r="C494"/>
  <c r="D494"/>
  <c r="C495"/>
  <c r="D495"/>
  <c r="C496"/>
  <c r="D496"/>
  <c r="C497"/>
  <c r="D497"/>
  <c r="C498"/>
  <c r="D498"/>
  <c r="C499"/>
  <c r="D499"/>
  <c r="C500"/>
  <c r="D500"/>
  <c r="C501"/>
  <c r="D501"/>
  <c r="C502"/>
  <c r="D502"/>
  <c r="C503"/>
  <c r="D503"/>
  <c r="C504"/>
  <c r="D504"/>
  <c r="C505"/>
  <c r="D505"/>
  <c r="C506"/>
  <c r="D506"/>
  <c r="C507"/>
  <c r="D507"/>
  <c r="C508"/>
  <c r="D508"/>
  <c r="C509"/>
  <c r="D509"/>
  <c r="C510"/>
  <c r="D510"/>
  <c r="C511"/>
  <c r="D511"/>
  <c r="C512"/>
  <c r="D512"/>
  <c r="C513"/>
  <c r="D513"/>
  <c r="C514"/>
  <c r="D514"/>
  <c r="C515"/>
  <c r="D515"/>
  <c r="C516"/>
  <c r="D516"/>
  <c r="C517"/>
  <c r="D517"/>
  <c r="C518"/>
  <c r="D518"/>
  <c r="C519"/>
  <c r="D519"/>
  <c r="C520"/>
  <c r="D520"/>
  <c r="C521"/>
  <c r="D521"/>
  <c r="C522"/>
  <c r="D522"/>
  <c r="C523"/>
  <c r="D523"/>
  <c r="C524"/>
  <c r="D524"/>
  <c r="C525"/>
  <c r="D525"/>
  <c r="C526"/>
  <c r="D526"/>
  <c r="C527"/>
  <c r="D527"/>
  <c r="C528"/>
  <c r="D528"/>
  <c r="C529"/>
  <c r="D529"/>
  <c r="C530"/>
  <c r="D530"/>
  <c r="C531"/>
  <c r="D531"/>
  <c r="C532"/>
  <c r="D532"/>
  <c r="C533"/>
  <c r="D533"/>
  <c r="C534"/>
  <c r="D534"/>
  <c r="C535"/>
  <c r="D535"/>
  <c r="C536"/>
  <c r="D536"/>
  <c r="C537"/>
  <c r="D537"/>
  <c r="C538"/>
  <c r="D538"/>
  <c r="C539"/>
  <c r="D539"/>
  <c r="C540"/>
  <c r="D540"/>
  <c r="C541"/>
  <c r="D541"/>
  <c r="C542"/>
  <c r="D542"/>
  <c r="C543"/>
  <c r="D543"/>
  <c r="C544"/>
  <c r="D544"/>
  <c r="C545"/>
  <c r="D545"/>
  <c r="C546"/>
  <c r="D546"/>
  <c r="C547"/>
  <c r="D547"/>
  <c r="C548"/>
  <c r="D548"/>
  <c r="C549"/>
  <c r="D549"/>
  <c r="C550"/>
  <c r="D550"/>
  <c r="C551"/>
  <c r="D551"/>
  <c r="C552"/>
  <c r="D552"/>
  <c r="C553"/>
  <c r="D553"/>
  <c r="C554"/>
  <c r="D554"/>
  <c r="C555"/>
  <c r="D555"/>
  <c r="C556"/>
  <c r="D556"/>
  <c r="C557"/>
  <c r="D557"/>
  <c r="C558"/>
  <c r="D558"/>
  <c r="C559"/>
  <c r="D559"/>
  <c r="C560"/>
  <c r="D560"/>
  <c r="C561"/>
  <c r="D561"/>
  <c r="C562"/>
  <c r="D562"/>
  <c r="C563"/>
  <c r="D563"/>
  <c r="C564"/>
  <c r="D564"/>
  <c r="C565"/>
  <c r="D565"/>
  <c r="C566"/>
  <c r="D566"/>
  <c r="C567"/>
  <c r="D567"/>
  <c r="C568"/>
  <c r="D568"/>
  <c r="C569"/>
  <c r="D569"/>
  <c r="C570"/>
  <c r="D570"/>
  <c r="C571"/>
  <c r="D571"/>
  <c r="C572"/>
  <c r="D572"/>
  <c r="C573"/>
  <c r="D573"/>
  <c r="C574"/>
  <c r="D574"/>
  <c r="C575"/>
  <c r="D575"/>
  <c r="C576"/>
  <c r="D576"/>
  <c r="C577"/>
  <c r="D577"/>
  <c r="C578"/>
  <c r="D578"/>
  <c r="C579"/>
  <c r="D579"/>
  <c r="C580"/>
  <c r="D580"/>
  <c r="C581"/>
  <c r="D581"/>
  <c r="C582"/>
  <c r="D582"/>
  <c r="C583"/>
  <c r="D583"/>
  <c r="C584"/>
  <c r="D584"/>
  <c r="C585"/>
  <c r="D585"/>
  <c r="C586"/>
  <c r="D586"/>
  <c r="C587"/>
  <c r="D587"/>
  <c r="C588"/>
  <c r="D588"/>
  <c r="C589"/>
  <c r="D589"/>
  <c r="C590"/>
  <c r="D590"/>
  <c r="C591"/>
  <c r="D591"/>
  <c r="C592"/>
  <c r="D592"/>
  <c r="C593"/>
  <c r="D593"/>
  <c r="C594"/>
  <c r="D594"/>
  <c r="C595"/>
  <c r="D595"/>
  <c r="C596"/>
  <c r="D596"/>
  <c r="C597"/>
  <c r="D597"/>
  <c r="C598"/>
  <c r="D598"/>
  <c r="C599"/>
  <c r="D599"/>
  <c r="C600"/>
  <c r="D600"/>
  <c r="C601"/>
  <c r="D601"/>
  <c r="C602"/>
  <c r="D602"/>
  <c r="C603"/>
  <c r="D603"/>
  <c r="C604"/>
  <c r="D604"/>
  <c r="C605"/>
  <c r="D605"/>
  <c r="C606"/>
  <c r="D606"/>
  <c r="C607"/>
  <c r="D607"/>
  <c r="C608"/>
  <c r="D608"/>
  <c r="C609"/>
  <c r="D609"/>
  <c r="C610"/>
  <c r="D610"/>
  <c r="C611"/>
  <c r="D611"/>
  <c r="C612"/>
  <c r="D612"/>
  <c r="C613"/>
  <c r="D613"/>
  <c r="C614"/>
  <c r="D614"/>
  <c r="C615"/>
  <c r="D615"/>
  <c r="C616"/>
  <c r="D616"/>
  <c r="C617"/>
  <c r="D617"/>
  <c r="C618"/>
  <c r="D618"/>
  <c r="C619"/>
  <c r="D619"/>
  <c r="C620"/>
  <c r="D620"/>
  <c r="C621"/>
  <c r="D621"/>
  <c r="C622"/>
  <c r="D622"/>
  <c r="C623"/>
  <c r="D623"/>
  <c r="C624"/>
  <c r="D624"/>
  <c r="C625"/>
  <c r="D625"/>
  <c r="C626"/>
  <c r="D626"/>
  <c r="C627"/>
  <c r="D627"/>
  <c r="C628"/>
  <c r="D628"/>
  <c r="C629"/>
  <c r="D629"/>
  <c r="C630"/>
  <c r="D630"/>
  <c r="C631"/>
  <c r="D631"/>
  <c r="C632"/>
  <c r="D632"/>
  <c r="C633"/>
  <c r="D633"/>
  <c r="C634"/>
  <c r="D634"/>
  <c r="C635"/>
  <c r="D635"/>
  <c r="C636"/>
  <c r="D636"/>
  <c r="C637"/>
  <c r="D637"/>
  <c r="C638"/>
  <c r="D638"/>
  <c r="C639"/>
  <c r="D639"/>
  <c r="C640"/>
  <c r="D640"/>
  <c r="C641"/>
  <c r="D641"/>
  <c r="C642"/>
  <c r="D642"/>
  <c r="C643"/>
  <c r="D643"/>
  <c r="C644"/>
  <c r="D644"/>
  <c r="C645"/>
  <c r="D645"/>
  <c r="C646"/>
  <c r="D646"/>
  <c r="C647"/>
  <c r="D647"/>
  <c r="C648"/>
  <c r="D648"/>
  <c r="C649"/>
  <c r="D649"/>
  <c r="C650"/>
  <c r="D650"/>
  <c r="C651"/>
  <c r="D651"/>
  <c r="C652"/>
  <c r="D652"/>
  <c r="C653"/>
  <c r="D653"/>
  <c r="C654"/>
  <c r="D654"/>
  <c r="C655"/>
  <c r="D655"/>
  <c r="C656"/>
  <c r="D656"/>
  <c r="C657"/>
  <c r="D657"/>
  <c r="C658"/>
  <c r="D658"/>
  <c r="C659"/>
  <c r="D659"/>
  <c r="C660"/>
  <c r="D660"/>
  <c r="C661"/>
  <c r="D661"/>
  <c r="C662"/>
  <c r="D662"/>
  <c r="C663"/>
  <c r="D663"/>
  <c r="C664"/>
  <c r="D664"/>
  <c r="C665"/>
  <c r="D665"/>
  <c r="C666"/>
  <c r="D666"/>
  <c r="C667"/>
  <c r="D667"/>
  <c r="C668"/>
  <c r="D668"/>
  <c r="C669"/>
  <c r="D669"/>
  <c r="C670"/>
  <c r="D670"/>
  <c r="C671"/>
  <c r="D671"/>
  <c r="C672"/>
  <c r="D672"/>
  <c r="C673"/>
  <c r="D673"/>
  <c r="C674"/>
  <c r="D674"/>
  <c r="C675"/>
  <c r="D675"/>
  <c r="C676"/>
  <c r="D676"/>
  <c r="C677"/>
  <c r="D677"/>
  <c r="C678"/>
  <c r="D678"/>
  <c r="C679"/>
  <c r="D679"/>
  <c r="C680"/>
  <c r="D680"/>
  <c r="C681"/>
  <c r="D681"/>
  <c r="C682"/>
  <c r="D682"/>
  <c r="C683"/>
  <c r="D683"/>
  <c r="C684"/>
  <c r="D684"/>
  <c r="C685"/>
  <c r="D685"/>
  <c r="C686"/>
  <c r="D686"/>
  <c r="C687"/>
  <c r="D687"/>
  <c r="C688"/>
  <c r="D688"/>
  <c r="C689"/>
  <c r="D689"/>
  <c r="C690"/>
  <c r="D690"/>
  <c r="C691"/>
  <c r="D691"/>
  <c r="C692"/>
  <c r="D692"/>
  <c r="C693"/>
  <c r="D693"/>
  <c r="C694"/>
  <c r="D694"/>
  <c r="C695"/>
  <c r="D695"/>
  <c r="C696"/>
  <c r="D696"/>
  <c r="C697"/>
  <c r="D697"/>
  <c r="C698"/>
  <c r="D698"/>
  <c r="C699"/>
  <c r="D699"/>
  <c r="C700"/>
  <c r="D700"/>
  <c r="C701"/>
  <c r="D701"/>
  <c r="C702"/>
  <c r="D702"/>
  <c r="C703"/>
  <c r="D703"/>
  <c r="C704"/>
  <c r="D704"/>
  <c r="C705"/>
  <c r="D705"/>
  <c r="C706"/>
  <c r="D706"/>
  <c r="C707"/>
  <c r="D707"/>
  <c r="C708"/>
  <c r="D708"/>
  <c r="C709"/>
  <c r="D709"/>
  <c r="C710"/>
  <c r="D710"/>
  <c r="C711"/>
  <c r="D711"/>
  <c r="C712"/>
  <c r="D712"/>
  <c r="C713"/>
  <c r="D713"/>
  <c r="C714"/>
  <c r="D714"/>
  <c r="C715"/>
  <c r="D715"/>
  <c r="C716"/>
  <c r="D716"/>
  <c r="C717"/>
  <c r="D717"/>
  <c r="C718"/>
  <c r="D718"/>
  <c r="C719"/>
  <c r="D719"/>
  <c r="C720"/>
  <c r="D720"/>
  <c r="C721"/>
  <c r="D721"/>
  <c r="C722"/>
  <c r="D722"/>
  <c r="C723"/>
  <c r="D723"/>
  <c r="C724"/>
  <c r="D724"/>
  <c r="C725"/>
  <c r="D725"/>
  <c r="C726"/>
  <c r="D726"/>
  <c r="C727"/>
  <c r="D727"/>
  <c r="C728"/>
  <c r="D728"/>
  <c r="C729"/>
  <c r="D729"/>
  <c r="C730"/>
  <c r="D730"/>
  <c r="C731"/>
  <c r="D731"/>
  <c r="C732"/>
  <c r="D732"/>
  <c r="C733"/>
  <c r="D733"/>
  <c r="C734"/>
  <c r="D734"/>
  <c r="C735"/>
  <c r="D735"/>
  <c r="C736"/>
  <c r="D736"/>
  <c r="C737"/>
  <c r="D737"/>
  <c r="C738"/>
  <c r="D738"/>
  <c r="C739"/>
  <c r="D739"/>
  <c r="C740"/>
  <c r="D740"/>
  <c r="C741"/>
  <c r="D741"/>
  <c r="C742"/>
  <c r="D742"/>
  <c r="C743"/>
  <c r="D743"/>
  <c r="C744"/>
  <c r="D744"/>
  <c r="C745"/>
  <c r="D745"/>
  <c r="C746"/>
  <c r="D746"/>
  <c r="C747"/>
  <c r="D747"/>
  <c r="C748"/>
  <c r="D748"/>
  <c r="C749"/>
  <c r="D749"/>
  <c r="C750"/>
  <c r="D750"/>
  <c r="C751"/>
  <c r="D751"/>
  <c r="C752"/>
  <c r="D752"/>
  <c r="C753"/>
  <c r="D753"/>
  <c r="C754"/>
  <c r="D754"/>
  <c r="C755"/>
  <c r="D755"/>
  <c r="C756"/>
  <c r="D756"/>
  <c r="C757"/>
  <c r="D757"/>
  <c r="C758"/>
  <c r="D758"/>
  <c r="C759"/>
  <c r="D759"/>
  <c r="C760"/>
  <c r="D760"/>
  <c r="C761"/>
  <c r="D761"/>
  <c r="C762"/>
  <c r="D762"/>
  <c r="C763"/>
  <c r="D763"/>
  <c r="C764"/>
  <c r="D764"/>
  <c r="C765"/>
  <c r="D765"/>
  <c r="C766"/>
  <c r="D766"/>
  <c r="C767"/>
  <c r="D767"/>
  <c r="C768"/>
  <c r="D768"/>
  <c r="C769"/>
  <c r="D769"/>
  <c r="C770"/>
  <c r="D770"/>
  <c r="C771"/>
  <c r="D771"/>
  <c r="C772"/>
  <c r="D772"/>
  <c r="C773"/>
  <c r="D773"/>
  <c r="C774"/>
  <c r="D774"/>
  <c r="C775"/>
  <c r="D775"/>
  <c r="C776"/>
  <c r="D776"/>
  <c r="C777"/>
  <c r="D777"/>
  <c r="C778"/>
  <c r="D778"/>
  <c r="C779"/>
  <c r="D779"/>
  <c r="C780"/>
  <c r="D780"/>
  <c r="C781"/>
  <c r="D781"/>
  <c r="C782"/>
  <c r="D782"/>
  <c r="C783"/>
  <c r="D783"/>
  <c r="C784"/>
  <c r="D784"/>
  <c r="C785"/>
  <c r="D785"/>
  <c r="C786"/>
  <c r="D786"/>
  <c r="C787"/>
  <c r="D787"/>
  <c r="C788"/>
  <c r="D788"/>
  <c r="C789"/>
  <c r="D789"/>
  <c r="C790"/>
  <c r="D790"/>
  <c r="C791"/>
  <c r="D791"/>
  <c r="C792"/>
  <c r="D792"/>
  <c r="C793"/>
  <c r="D793"/>
  <c r="C794"/>
  <c r="D794"/>
  <c r="C795"/>
  <c r="D795"/>
  <c r="C796"/>
  <c r="D796"/>
  <c r="C797"/>
  <c r="D797"/>
  <c r="C798"/>
  <c r="D798"/>
  <c r="C799"/>
  <c r="D799"/>
  <c r="C800"/>
  <c r="D800"/>
  <c r="C801"/>
  <c r="D801"/>
  <c r="C802"/>
  <c r="D802"/>
  <c r="C803"/>
  <c r="D803"/>
  <c r="C804"/>
  <c r="D804"/>
  <c r="C805"/>
  <c r="D805"/>
  <c r="C806"/>
  <c r="D806"/>
  <c r="C807"/>
  <c r="D807"/>
  <c r="C808"/>
  <c r="D808"/>
  <c r="C809"/>
  <c r="D809"/>
  <c r="C810"/>
  <c r="D810"/>
  <c r="C811"/>
  <c r="D811"/>
  <c r="C812"/>
  <c r="D812"/>
  <c r="C813"/>
  <c r="D813"/>
  <c r="C814"/>
  <c r="D814"/>
  <c r="C815"/>
  <c r="D815"/>
  <c r="C816"/>
  <c r="D816"/>
  <c r="C817"/>
  <c r="D817"/>
  <c r="C818"/>
  <c r="D818"/>
  <c r="C819"/>
  <c r="D819"/>
  <c r="C820"/>
  <c r="D820"/>
  <c r="C821"/>
  <c r="D821"/>
  <c r="C822"/>
  <c r="D822"/>
  <c r="C823"/>
  <c r="D823"/>
  <c r="C824"/>
  <c r="D824"/>
  <c r="C825"/>
  <c r="D825"/>
  <c r="C826"/>
  <c r="D826"/>
  <c r="C827"/>
  <c r="D827"/>
  <c r="C828"/>
  <c r="D828"/>
  <c r="C829"/>
  <c r="D829"/>
  <c r="C830"/>
  <c r="D830"/>
  <c r="C831"/>
  <c r="D831"/>
  <c r="C832"/>
  <c r="D832"/>
  <c r="C833"/>
  <c r="D833"/>
  <c r="C834"/>
  <c r="D834"/>
  <c r="C835"/>
  <c r="D835"/>
  <c r="C836"/>
  <c r="D836"/>
  <c r="C837"/>
  <c r="D837"/>
  <c r="C838"/>
  <c r="D838"/>
  <c r="C839"/>
  <c r="D839"/>
  <c r="C840"/>
  <c r="D840"/>
  <c r="C841"/>
  <c r="D841"/>
  <c r="C842"/>
  <c r="D842"/>
  <c r="C843"/>
  <c r="D843"/>
  <c r="C844"/>
  <c r="D844"/>
  <c r="C845"/>
  <c r="D845"/>
  <c r="C846"/>
  <c r="D846"/>
  <c r="C847"/>
  <c r="D847"/>
  <c r="C848"/>
  <c r="D848"/>
  <c r="C849"/>
  <c r="D849"/>
  <c r="C850"/>
  <c r="D850"/>
  <c r="C851"/>
  <c r="D851"/>
  <c r="C852"/>
  <c r="D852"/>
  <c r="C853"/>
  <c r="D853"/>
  <c r="C854"/>
  <c r="D854"/>
  <c r="C855"/>
  <c r="D855"/>
  <c r="C856"/>
  <c r="D856"/>
  <c r="C857"/>
  <c r="D857"/>
  <c r="C858"/>
  <c r="D858"/>
  <c r="C859"/>
  <c r="D859"/>
  <c r="C860"/>
  <c r="D860"/>
  <c r="C861"/>
  <c r="D861"/>
  <c r="C862"/>
  <c r="D862"/>
  <c r="C863"/>
  <c r="D863"/>
  <c r="C864"/>
  <c r="D864"/>
  <c r="C865"/>
  <c r="D865"/>
  <c r="C866"/>
  <c r="D866"/>
  <c r="C867"/>
  <c r="D867"/>
  <c r="C868"/>
  <c r="D868"/>
  <c r="C869"/>
  <c r="D869"/>
  <c r="C870"/>
  <c r="D870"/>
  <c r="C871"/>
  <c r="D871"/>
  <c r="C872"/>
  <c r="D872"/>
  <c r="C873"/>
  <c r="D873"/>
  <c r="C874"/>
  <c r="D874"/>
  <c r="C875"/>
  <c r="D875"/>
  <c r="C876"/>
  <c r="D876"/>
  <c r="C877"/>
  <c r="D877"/>
  <c r="C878"/>
  <c r="D878"/>
  <c r="C879"/>
  <c r="D879"/>
  <c r="C880"/>
  <c r="D880"/>
  <c r="C881"/>
  <c r="D881"/>
  <c r="C882"/>
  <c r="D882"/>
  <c r="C883"/>
  <c r="D883"/>
  <c r="C884"/>
  <c r="D884"/>
  <c r="C885"/>
  <c r="D885"/>
  <c r="C886"/>
  <c r="D886"/>
  <c r="C887"/>
  <c r="D887"/>
  <c r="C888"/>
  <c r="D888"/>
  <c r="C889"/>
  <c r="D889"/>
  <c r="C890"/>
  <c r="D890"/>
  <c r="C891"/>
  <c r="D891"/>
  <c r="C892"/>
  <c r="D892"/>
  <c r="C893"/>
  <c r="D893"/>
  <c r="C894"/>
  <c r="D894"/>
  <c r="C895"/>
  <c r="D895"/>
  <c r="C896"/>
  <c r="D896"/>
  <c r="C897"/>
  <c r="D897"/>
  <c r="C898"/>
  <c r="D898"/>
  <c r="C899"/>
  <c r="D899"/>
  <c r="C900"/>
  <c r="D900"/>
  <c r="C901"/>
  <c r="D901"/>
  <c r="C902"/>
  <c r="D902"/>
  <c r="C903"/>
  <c r="D903"/>
  <c r="C904"/>
  <c r="D904"/>
  <c r="C905"/>
  <c r="D905"/>
  <c r="C906"/>
  <c r="D906"/>
  <c r="C907"/>
  <c r="D907"/>
  <c r="C908"/>
  <c r="D908"/>
  <c r="C909"/>
  <c r="D909"/>
  <c r="C910"/>
  <c r="D910"/>
  <c r="C911"/>
  <c r="D911"/>
  <c r="C912"/>
  <c r="D912"/>
  <c r="C913"/>
  <c r="D913"/>
  <c r="C914"/>
  <c r="D914"/>
  <c r="C915"/>
  <c r="D915"/>
  <c r="C916"/>
  <c r="D916"/>
  <c r="C917"/>
  <c r="D917"/>
  <c r="C918"/>
  <c r="D918"/>
  <c r="C919"/>
  <c r="D919"/>
  <c r="C920"/>
  <c r="D920"/>
  <c r="C921"/>
  <c r="D921"/>
  <c r="C922"/>
  <c r="D922"/>
  <c r="C923"/>
  <c r="D923"/>
  <c r="C924"/>
  <c r="D924"/>
  <c r="C925"/>
  <c r="D925"/>
  <c r="C926"/>
  <c r="D926"/>
  <c r="C927"/>
  <c r="D927"/>
  <c r="C928"/>
  <c r="D928"/>
  <c r="C929"/>
  <c r="D929"/>
  <c r="C930"/>
  <c r="D930"/>
  <c r="C931"/>
  <c r="D931"/>
  <c r="C932"/>
  <c r="D932"/>
  <c r="C933"/>
  <c r="D933"/>
  <c r="C934"/>
  <c r="D934"/>
  <c r="C935"/>
  <c r="D935"/>
  <c r="C936"/>
  <c r="D936"/>
  <c r="C937"/>
  <c r="D937"/>
  <c r="C938"/>
  <c r="D938"/>
  <c r="C939"/>
  <c r="D939"/>
  <c r="C940"/>
  <c r="D940"/>
  <c r="C941"/>
  <c r="D941"/>
  <c r="C942"/>
  <c r="D942"/>
  <c r="C943"/>
  <c r="D943"/>
  <c r="C944"/>
  <c r="D944"/>
  <c r="C945"/>
  <c r="D945"/>
  <c r="C946"/>
  <c r="D946"/>
  <c r="C947"/>
  <c r="D947"/>
  <c r="C948"/>
  <c r="D948"/>
  <c r="C949"/>
  <c r="D949"/>
  <c r="C950"/>
  <c r="D950"/>
  <c r="C951"/>
  <c r="D951"/>
  <c r="C952"/>
  <c r="D952"/>
  <c r="C953"/>
  <c r="D953"/>
  <c r="C954"/>
  <c r="D954"/>
  <c r="C955"/>
  <c r="D955"/>
  <c r="C956"/>
  <c r="D956"/>
  <c r="C957"/>
  <c r="D957"/>
  <c r="C958"/>
  <c r="D958"/>
  <c r="C959"/>
  <c r="D959"/>
  <c r="C960"/>
  <c r="D960"/>
  <c r="C961"/>
  <c r="D961"/>
  <c r="C962"/>
  <c r="D962"/>
  <c r="C963"/>
  <c r="D963"/>
  <c r="C964"/>
  <c r="D964"/>
  <c r="C965"/>
  <c r="D965"/>
  <c r="C966"/>
  <c r="D966"/>
  <c r="C967"/>
  <c r="D967"/>
  <c r="C968"/>
  <c r="D968"/>
  <c r="C969"/>
  <c r="D969"/>
  <c r="C970"/>
  <c r="D970"/>
  <c r="C971"/>
  <c r="D971"/>
  <c r="C972"/>
  <c r="D972"/>
  <c r="C973"/>
  <c r="D973"/>
  <c r="C974"/>
  <c r="D974"/>
  <c r="C975"/>
  <c r="D975"/>
  <c r="C976"/>
  <c r="D976"/>
  <c r="C977"/>
  <c r="D977"/>
  <c r="C978"/>
  <c r="D978"/>
  <c r="C979"/>
  <c r="D979"/>
  <c r="C980"/>
  <c r="D980"/>
  <c r="C981"/>
  <c r="D981"/>
  <c r="C982"/>
  <c r="D982"/>
  <c r="C983"/>
  <c r="D983"/>
  <c r="C984"/>
  <c r="D984"/>
  <c r="C985"/>
  <c r="D985"/>
  <c r="C986"/>
  <c r="D986"/>
  <c r="C987"/>
  <c r="D987"/>
  <c r="C988"/>
  <c r="D988"/>
  <c r="C989"/>
  <c r="D989"/>
  <c r="C990"/>
  <c r="D990"/>
  <c r="C991"/>
  <c r="D991"/>
  <c r="C992"/>
  <c r="D992"/>
  <c r="C993"/>
  <c r="D993"/>
  <c r="C994"/>
  <c r="D994"/>
  <c r="C995"/>
  <c r="D995"/>
  <c r="C996"/>
  <c r="D996"/>
  <c r="C997"/>
  <c r="D997"/>
  <c r="C998"/>
  <c r="D998"/>
  <c r="C999"/>
  <c r="D999"/>
  <c r="C1000"/>
  <c r="D1000"/>
  <c r="C1001"/>
  <c r="D1001"/>
  <c r="C1002"/>
  <c r="D1002"/>
  <c r="C1003"/>
  <c r="D1003"/>
  <c r="C1004"/>
  <c r="D1004"/>
  <c r="C1005"/>
  <c r="D1005"/>
  <c r="C1006"/>
  <c r="D1006"/>
  <c r="C1007"/>
  <c r="D1007"/>
  <c r="C1008"/>
  <c r="D1008"/>
  <c r="C1009"/>
  <c r="D1009"/>
  <c r="C1010"/>
  <c r="D1010"/>
  <c r="C1011"/>
  <c r="D1011"/>
  <c r="C1012"/>
  <c r="D1012"/>
  <c r="C1013"/>
  <c r="D1013"/>
  <c r="C1014"/>
  <c r="D1014"/>
  <c r="C1015"/>
  <c r="D1015"/>
  <c r="C1016"/>
  <c r="D1016"/>
  <c r="C1017"/>
  <c r="D1017"/>
  <c r="C1018"/>
  <c r="D1018"/>
  <c r="C1019"/>
  <c r="D1019"/>
  <c r="C1020"/>
  <c r="D1020"/>
  <c r="C1021"/>
  <c r="D1021"/>
  <c r="C1022"/>
  <c r="D1022"/>
  <c r="C1023"/>
  <c r="D1023"/>
  <c r="C1024"/>
  <c r="D1024"/>
  <c r="C1025"/>
  <c r="D1025"/>
  <c r="C1026"/>
  <c r="D1026"/>
  <c r="C1027"/>
  <c r="D1027"/>
  <c r="C1028"/>
  <c r="D1028"/>
  <c r="C1029"/>
  <c r="D1029"/>
  <c r="C1030"/>
  <c r="D1030"/>
  <c r="C1031"/>
  <c r="D1031"/>
  <c r="C1032"/>
  <c r="D1032"/>
  <c r="C1033"/>
  <c r="D1033"/>
  <c r="C1034"/>
  <c r="D1034"/>
  <c r="C1035"/>
  <c r="D1035"/>
  <c r="C1036"/>
  <c r="D1036"/>
  <c r="C1037"/>
  <c r="D1037"/>
  <c r="C1038"/>
  <c r="D1038"/>
  <c r="C1039"/>
  <c r="D1039"/>
  <c r="C1040"/>
  <c r="D1040"/>
  <c r="C1041"/>
  <c r="D1041"/>
  <c r="C1042"/>
  <c r="D1042"/>
  <c r="C1043"/>
  <c r="D1043"/>
  <c r="C1044"/>
  <c r="D1044"/>
  <c r="C1045"/>
  <c r="D1045"/>
  <c r="C1046"/>
  <c r="D1046"/>
  <c r="C1047"/>
  <c r="D1047"/>
  <c r="C1048"/>
  <c r="D1048"/>
  <c r="C1049"/>
  <c r="D1049"/>
  <c r="C1050"/>
  <c r="D1050"/>
  <c r="C1051"/>
  <c r="D1051"/>
  <c r="C1052"/>
  <c r="D1052"/>
  <c r="C1053"/>
  <c r="D1053"/>
  <c r="C1054"/>
  <c r="D1054"/>
  <c r="C1055"/>
  <c r="D1055"/>
  <c r="C1056"/>
  <c r="D1056"/>
  <c r="C1057"/>
  <c r="D1057"/>
  <c r="C1058"/>
  <c r="D1058"/>
  <c r="C1059"/>
  <c r="D1059"/>
  <c r="C1060"/>
  <c r="D1060"/>
  <c r="C1061"/>
  <c r="D1061"/>
  <c r="C1062"/>
  <c r="D1062"/>
  <c r="C1063"/>
  <c r="D1063"/>
  <c r="C1064"/>
  <c r="D1064"/>
  <c r="C1065"/>
  <c r="D1065"/>
  <c r="C1066"/>
  <c r="D1066"/>
  <c r="C1067"/>
  <c r="D1067"/>
  <c r="C1068"/>
  <c r="D1068"/>
  <c r="C1069"/>
  <c r="D1069"/>
  <c r="C1070"/>
  <c r="D1070"/>
  <c r="C1071"/>
  <c r="D1071"/>
  <c r="C1072"/>
  <c r="D1072"/>
  <c r="C1073"/>
  <c r="D1073"/>
  <c r="C1074"/>
  <c r="D1074"/>
  <c r="C1075"/>
  <c r="D1075"/>
  <c r="C1076"/>
  <c r="D1076"/>
  <c r="C1077"/>
  <c r="D1077"/>
  <c r="C1078"/>
  <c r="D1078"/>
  <c r="C1079"/>
  <c r="D1079"/>
  <c r="C1080"/>
  <c r="D1080"/>
  <c r="C1081"/>
  <c r="D1081"/>
  <c r="C1082"/>
  <c r="D1082"/>
  <c r="C1083"/>
  <c r="D1083"/>
  <c r="C1084"/>
  <c r="D1084"/>
  <c r="C1085"/>
  <c r="D1085"/>
  <c r="C1086"/>
  <c r="D1086"/>
  <c r="C1087"/>
  <c r="D1087"/>
  <c r="C1088"/>
  <c r="D1088"/>
  <c r="C1089"/>
  <c r="D1089"/>
  <c r="C1090"/>
  <c r="D1090"/>
  <c r="C1091"/>
  <c r="D1091"/>
  <c r="C1092"/>
  <c r="D1092"/>
  <c r="C1093"/>
  <c r="D1093"/>
  <c r="C1094"/>
  <c r="D1094"/>
  <c r="C1095"/>
  <c r="D1095"/>
  <c r="C1096"/>
  <c r="D1096"/>
  <c r="C1097"/>
  <c r="D1097"/>
  <c r="C1098"/>
  <c r="D1098"/>
  <c r="C1099"/>
  <c r="D1099"/>
  <c r="C1100"/>
  <c r="D1100"/>
  <c r="C1101"/>
  <c r="D1101"/>
  <c r="C1102"/>
  <c r="D1102"/>
  <c r="C1103"/>
  <c r="D1103"/>
  <c r="C1104"/>
  <c r="D1104"/>
  <c r="C1105"/>
  <c r="D1105"/>
  <c r="C1106"/>
  <c r="D1106"/>
  <c r="C1107"/>
  <c r="D1107"/>
  <c r="C1108"/>
  <c r="D1108"/>
  <c r="C1109"/>
  <c r="D1109"/>
  <c r="C1110"/>
  <c r="D1110"/>
  <c r="C1111"/>
  <c r="D1111"/>
  <c r="C1112"/>
  <c r="D1112"/>
  <c r="C1113"/>
  <c r="D1113"/>
  <c r="C1114"/>
  <c r="D1114"/>
  <c r="C1115"/>
  <c r="D1115"/>
  <c r="C1116"/>
  <c r="D1116"/>
  <c r="C1117"/>
  <c r="D1117"/>
  <c r="C1118"/>
  <c r="D1118"/>
  <c r="C1119"/>
  <c r="D1119"/>
  <c r="C1120"/>
  <c r="D1120"/>
  <c r="C1121"/>
  <c r="D1121"/>
  <c r="C1122"/>
  <c r="D1122"/>
  <c r="C1123"/>
  <c r="D1123"/>
  <c r="C1124"/>
  <c r="D1124"/>
  <c r="C1125"/>
  <c r="D1125"/>
  <c r="C1126"/>
  <c r="D1126"/>
  <c r="C1127"/>
  <c r="D1127"/>
  <c r="C1128"/>
  <c r="D1128"/>
  <c r="C1129"/>
  <c r="D1129"/>
  <c r="C1130"/>
  <c r="D1130"/>
  <c r="C1131"/>
  <c r="D1131"/>
  <c r="C1132"/>
  <c r="D1132"/>
  <c r="C1133"/>
  <c r="D1133"/>
  <c r="C1134"/>
  <c r="D1134"/>
  <c r="C1135"/>
  <c r="D1135"/>
  <c r="C1136"/>
  <c r="D1136"/>
  <c r="C1137"/>
  <c r="D1137"/>
  <c r="C1138"/>
  <c r="D1138"/>
  <c r="C1139"/>
  <c r="D1139"/>
  <c r="C1140"/>
  <c r="D1140"/>
  <c r="C1141"/>
  <c r="D1141"/>
  <c r="C1142"/>
  <c r="D1142"/>
  <c r="C1143"/>
  <c r="D1143"/>
  <c r="C1144"/>
  <c r="D1144"/>
  <c r="C1145"/>
  <c r="D1145"/>
  <c r="C1146"/>
  <c r="D1146"/>
  <c r="C1147"/>
  <c r="D1147"/>
  <c r="C1148"/>
  <c r="D1148"/>
  <c r="C1149"/>
  <c r="D1149"/>
  <c r="C1150"/>
  <c r="D1150"/>
  <c r="C1151"/>
  <c r="D1151"/>
  <c r="C1152"/>
  <c r="D1152"/>
  <c r="C1153"/>
  <c r="D1153"/>
  <c r="C1154"/>
  <c r="D1154"/>
  <c r="C1155"/>
  <c r="D1155"/>
  <c r="C1156"/>
  <c r="D1156"/>
  <c r="C1157"/>
  <c r="D1157"/>
  <c r="C1158"/>
  <c r="D1158"/>
  <c r="C1159"/>
  <c r="D1159"/>
  <c r="C1160"/>
  <c r="D1160"/>
  <c r="C1161"/>
  <c r="D1161"/>
  <c r="C1162"/>
  <c r="D1162"/>
  <c r="C1163"/>
  <c r="D1163"/>
  <c r="C1164"/>
  <c r="D1164"/>
  <c r="C1165"/>
  <c r="D1165"/>
  <c r="C1166"/>
  <c r="D1166"/>
  <c r="C1167"/>
  <c r="D1167"/>
  <c r="C1168"/>
  <c r="D1168"/>
  <c r="C1169"/>
  <c r="D1169"/>
  <c r="C1170"/>
  <c r="D1170"/>
  <c r="C1171"/>
  <c r="D1171"/>
  <c r="C1172"/>
  <c r="D1172"/>
  <c r="C1173"/>
  <c r="D1173"/>
  <c r="C1174"/>
  <c r="D1174"/>
  <c r="C1175"/>
  <c r="D1175"/>
  <c r="C1176"/>
  <c r="D1176"/>
  <c r="C1177"/>
  <c r="D1177"/>
  <c r="C1178"/>
  <c r="D1178"/>
  <c r="C1179"/>
  <c r="D1179"/>
  <c r="C1180"/>
  <c r="D1180"/>
  <c r="C1181"/>
  <c r="D1181"/>
  <c r="C1182"/>
  <c r="D1182"/>
  <c r="C1183"/>
  <c r="D1183"/>
  <c r="C1184"/>
  <c r="D1184"/>
  <c r="C1185"/>
  <c r="D1185"/>
  <c r="C1186"/>
  <c r="D1186"/>
  <c r="C1187"/>
  <c r="D1187"/>
  <c r="C1188"/>
  <c r="D1188"/>
  <c r="C1189"/>
  <c r="D1189"/>
  <c r="C1190"/>
  <c r="D1190"/>
  <c r="C1191"/>
  <c r="D1191"/>
  <c r="C1192"/>
  <c r="D1192"/>
  <c r="C1193"/>
  <c r="D1193"/>
  <c r="C1194"/>
  <c r="D1194"/>
  <c r="C1195"/>
  <c r="D1195"/>
  <c r="C1196"/>
  <c r="D1196"/>
  <c r="C1197"/>
  <c r="D1197"/>
  <c r="C1198"/>
  <c r="D1198"/>
  <c r="C1199"/>
  <c r="D1199"/>
  <c r="C1200"/>
  <c r="D1200"/>
  <c r="C1201"/>
  <c r="D1201"/>
  <c r="C1202"/>
  <c r="D1202"/>
  <c r="C1203"/>
  <c r="D1203"/>
  <c r="C1204"/>
  <c r="D1204"/>
  <c r="C1205"/>
  <c r="D1205"/>
  <c r="C1206"/>
  <c r="D1206"/>
  <c r="C1207"/>
  <c r="D1207"/>
  <c r="C1208"/>
  <c r="D1208"/>
  <c r="C1209"/>
  <c r="D1209"/>
  <c r="C1210"/>
  <c r="D1210"/>
  <c r="C1211"/>
  <c r="D1211"/>
  <c r="C1212"/>
  <c r="D1212"/>
  <c r="C1213"/>
  <c r="D1213"/>
  <c r="C1214"/>
  <c r="D1214"/>
  <c r="C1215"/>
  <c r="D1215"/>
  <c r="C1216"/>
  <c r="D1216"/>
  <c r="C1217"/>
  <c r="D1217"/>
  <c r="C1218"/>
  <c r="D1218"/>
  <c r="C1219"/>
  <c r="D1219"/>
  <c r="C1220"/>
  <c r="D1220"/>
  <c r="C1221"/>
  <c r="D1221"/>
  <c r="C1222"/>
  <c r="D1222"/>
  <c r="C1223"/>
  <c r="D1223"/>
  <c r="C1224"/>
  <c r="D1224"/>
  <c r="C1225"/>
  <c r="D1225"/>
  <c r="C1226"/>
  <c r="D1226"/>
  <c r="C1227"/>
  <c r="D1227"/>
  <c r="C1228"/>
  <c r="D1228"/>
  <c r="C1229"/>
  <c r="D1229"/>
  <c r="C1230"/>
  <c r="D1230"/>
  <c r="C1231"/>
  <c r="D1231"/>
  <c r="C1232"/>
  <c r="D1232"/>
  <c r="C1233"/>
  <c r="D1233"/>
  <c r="C1234"/>
  <c r="D1234"/>
  <c r="C1235"/>
  <c r="D1235"/>
  <c r="C1236"/>
  <c r="D1236"/>
  <c r="C1237"/>
  <c r="D1237"/>
  <c r="C1238"/>
  <c r="D1238"/>
  <c r="C1239"/>
  <c r="D1239"/>
  <c r="C1240"/>
  <c r="D1240"/>
  <c r="C1241"/>
  <c r="D1241"/>
  <c r="C1242"/>
  <c r="D1242"/>
  <c r="C1243"/>
  <c r="D1243"/>
  <c r="C1244"/>
  <c r="D1244"/>
  <c r="C1245"/>
  <c r="D1245"/>
  <c r="C1246"/>
  <c r="D1246"/>
  <c r="C1247"/>
  <c r="D1247"/>
  <c r="C1248"/>
  <c r="D1248"/>
  <c r="C1249"/>
  <c r="D1249"/>
  <c r="C1250"/>
  <c r="D1250"/>
  <c r="C1251"/>
  <c r="D1251"/>
  <c r="C1252"/>
  <c r="D1252"/>
  <c r="C1253"/>
  <c r="D1253"/>
  <c r="C1254"/>
  <c r="D1254"/>
  <c r="C1255"/>
  <c r="D1255"/>
  <c r="C1256"/>
  <c r="D1256"/>
  <c r="C1257"/>
  <c r="D1257"/>
  <c r="C1258"/>
  <c r="D1258"/>
  <c r="C1259"/>
  <c r="D1259"/>
  <c r="C1260"/>
  <c r="D1260"/>
  <c r="C1261"/>
  <c r="D1261"/>
  <c r="C1262"/>
  <c r="D1262"/>
  <c r="C1263"/>
  <c r="D1263"/>
  <c r="C1264"/>
  <c r="D1264"/>
  <c r="C1265"/>
  <c r="D1265"/>
  <c r="C1266"/>
  <c r="D1266"/>
  <c r="C1267"/>
  <c r="D1267"/>
  <c r="C1268"/>
  <c r="D1268"/>
  <c r="C1269"/>
  <c r="D1269"/>
  <c r="C1270"/>
  <c r="D1270"/>
  <c r="C1271"/>
  <c r="D1271"/>
  <c r="C1272"/>
  <c r="D1272"/>
  <c r="C1273"/>
  <c r="D1273"/>
  <c r="C1274"/>
  <c r="D1274"/>
  <c r="C1275"/>
  <c r="D1275"/>
  <c r="C1276"/>
  <c r="D1276"/>
  <c r="C1277"/>
  <c r="D1277"/>
  <c r="C1278"/>
  <c r="D1278"/>
  <c r="C1279"/>
  <c r="D1279"/>
  <c r="C1280"/>
  <c r="D1280"/>
  <c r="C1281"/>
  <c r="D1281"/>
  <c r="C1282"/>
  <c r="D1282"/>
  <c r="C1283"/>
  <c r="D1283"/>
  <c r="C1284"/>
  <c r="D1284"/>
  <c r="C1285"/>
  <c r="D1285"/>
  <c r="C1286"/>
  <c r="D1286"/>
  <c r="C1287"/>
  <c r="D1287"/>
  <c r="C1288"/>
  <c r="D1288"/>
  <c r="C1289"/>
  <c r="D1289"/>
  <c r="C1290"/>
  <c r="D1290"/>
  <c r="C1291"/>
  <c r="D1291"/>
  <c r="C1292"/>
  <c r="D1292"/>
  <c r="C1293"/>
  <c r="D1293"/>
  <c r="C1294"/>
  <c r="D1294"/>
  <c r="C1295"/>
  <c r="D1295"/>
  <c r="C1296"/>
  <c r="D1296"/>
  <c r="C1297"/>
  <c r="D1297"/>
  <c r="C1298"/>
  <c r="D1298"/>
  <c r="C1299"/>
  <c r="D1299"/>
  <c r="C1300"/>
  <c r="D1300"/>
  <c r="C1301"/>
  <c r="D1301"/>
  <c r="C1302"/>
  <c r="D1302"/>
  <c r="C1303"/>
  <c r="D1303"/>
  <c r="C1304"/>
  <c r="D1304"/>
  <c r="C1305"/>
  <c r="D1305"/>
  <c r="C1306"/>
  <c r="D1306"/>
  <c r="C1307"/>
  <c r="D1307"/>
  <c r="C1308"/>
  <c r="D1308"/>
  <c r="C1309"/>
  <c r="D1309"/>
  <c r="C1310"/>
  <c r="D1310"/>
  <c r="C1311"/>
  <c r="D1311"/>
  <c r="C1312"/>
  <c r="D1312"/>
  <c r="C1313"/>
  <c r="D1313"/>
  <c r="C1314"/>
  <c r="D1314"/>
  <c r="C1315"/>
  <c r="D1315"/>
  <c r="C1316"/>
  <c r="D1316"/>
  <c r="C1317"/>
  <c r="D1317"/>
  <c r="C1318"/>
  <c r="D1318"/>
  <c r="C1319"/>
  <c r="D1319"/>
  <c r="C1320"/>
  <c r="D1320"/>
  <c r="C1321"/>
  <c r="D1321"/>
  <c r="C1322"/>
  <c r="D1322"/>
  <c r="C1323"/>
  <c r="D1323"/>
  <c r="C1324"/>
  <c r="D1324"/>
  <c r="C1325"/>
  <c r="D1325"/>
  <c r="C1326"/>
  <c r="D1326"/>
  <c r="C1327"/>
  <c r="D1327"/>
  <c r="C1328"/>
  <c r="D1328"/>
  <c r="C1329"/>
  <c r="D1329"/>
  <c r="C1330"/>
  <c r="D1330"/>
  <c r="C1331"/>
  <c r="D1331"/>
  <c r="C1332"/>
  <c r="D1332"/>
  <c r="C1333"/>
  <c r="D1333"/>
  <c r="C1334"/>
  <c r="D1334"/>
  <c r="C1335"/>
  <c r="D1335"/>
  <c r="C1336"/>
  <c r="D1336"/>
  <c r="C1337"/>
  <c r="D1337"/>
  <c r="C1338"/>
  <c r="D1338"/>
  <c r="C1339"/>
  <c r="D1339"/>
  <c r="C1340"/>
  <c r="D1340"/>
  <c r="C1341"/>
  <c r="D1341"/>
  <c r="C1342"/>
  <c r="D1342"/>
  <c r="C1343"/>
  <c r="D1343"/>
  <c r="C1344"/>
  <c r="D1344"/>
  <c r="C1345"/>
  <c r="D1345"/>
  <c r="C1346"/>
  <c r="D1346"/>
  <c r="C1347"/>
  <c r="D1347"/>
  <c r="C1348"/>
  <c r="D1348"/>
  <c r="C1349"/>
  <c r="D1349"/>
  <c r="C1350"/>
  <c r="D1350"/>
  <c r="C1351"/>
  <c r="D1351"/>
  <c r="C1352"/>
  <c r="D1352"/>
  <c r="C1353"/>
  <c r="D1353"/>
  <c r="C1354"/>
  <c r="D1354"/>
  <c r="C1355"/>
  <c r="D1355"/>
  <c r="C1356"/>
  <c r="D1356"/>
  <c r="C1357"/>
  <c r="D1357"/>
  <c r="C1358"/>
  <c r="D1358"/>
  <c r="C1359"/>
  <c r="D1359"/>
  <c r="C1360"/>
  <c r="D1360"/>
  <c r="C1361"/>
  <c r="D1361"/>
  <c r="C1362"/>
  <c r="D1362"/>
  <c r="C1363"/>
  <c r="D1363"/>
  <c r="C1364"/>
  <c r="D1364"/>
  <c r="C1365"/>
  <c r="D1365"/>
  <c r="C1366"/>
  <c r="D1366"/>
  <c r="C1367"/>
  <c r="D1367"/>
  <c r="C1368"/>
  <c r="D1368"/>
  <c r="C1369"/>
  <c r="D1369"/>
  <c r="C1370"/>
  <c r="D1370"/>
  <c r="C1371"/>
  <c r="D1371"/>
  <c r="C1372"/>
  <c r="D1372"/>
  <c r="C1373"/>
  <c r="D1373"/>
  <c r="C1374"/>
  <c r="D1374"/>
  <c r="C1375"/>
  <c r="D1375"/>
  <c r="C1376"/>
  <c r="D1376"/>
  <c r="C1377"/>
  <c r="D1377"/>
  <c r="C1378"/>
  <c r="D1378"/>
  <c r="C1379"/>
  <c r="D1379"/>
  <c r="C1380"/>
  <c r="D1380"/>
  <c r="C1381"/>
  <c r="D1381"/>
  <c r="C1382"/>
  <c r="D1382"/>
  <c r="C1383"/>
  <c r="D1383"/>
  <c r="C1384"/>
  <c r="D1384"/>
  <c r="C1385"/>
  <c r="D1385"/>
  <c r="C1386"/>
  <c r="D1386"/>
  <c r="C1387"/>
  <c r="D1387"/>
  <c r="C1388"/>
  <c r="D1388"/>
  <c r="C1389"/>
  <c r="D1389"/>
  <c r="C1390"/>
  <c r="D1390"/>
  <c r="C1391"/>
  <c r="D1391"/>
  <c r="C1392"/>
  <c r="D1392"/>
  <c r="C1393"/>
  <c r="D1393"/>
  <c r="C1394"/>
  <c r="D1394"/>
  <c r="C1395"/>
  <c r="D1395"/>
  <c r="C1396"/>
  <c r="D1396"/>
  <c r="C1397"/>
  <c r="D1397"/>
  <c r="C1398"/>
  <c r="D1398"/>
  <c r="C1399"/>
  <c r="D1399"/>
  <c r="C1400"/>
  <c r="D1400"/>
  <c r="C1401"/>
  <c r="D1401"/>
  <c r="C1402"/>
  <c r="D1402"/>
  <c r="C1403"/>
  <c r="D1403"/>
  <c r="C1404"/>
  <c r="D1404"/>
  <c r="C1405"/>
  <c r="D1405"/>
  <c r="C1406"/>
  <c r="D1406"/>
  <c r="C1407"/>
  <c r="D1407"/>
  <c r="C1408"/>
  <c r="D1408"/>
  <c r="C1409"/>
  <c r="D1409"/>
  <c r="C1410"/>
  <c r="D1410"/>
  <c r="C1411"/>
  <c r="D1411"/>
  <c r="C1412"/>
  <c r="D1412"/>
  <c r="C1413"/>
  <c r="D1413"/>
  <c r="C1414"/>
  <c r="D1414"/>
  <c r="C1415"/>
  <c r="D1415"/>
  <c r="C1416"/>
  <c r="D1416"/>
  <c r="C1417"/>
  <c r="D1417"/>
  <c r="C1418"/>
  <c r="D1418"/>
  <c r="C1419"/>
  <c r="D1419"/>
  <c r="C1420"/>
  <c r="D1420"/>
  <c r="C1421"/>
  <c r="D1421"/>
  <c r="C1422"/>
  <c r="D1422"/>
  <c r="C1423"/>
  <c r="D1423"/>
  <c r="C1424"/>
  <c r="D1424"/>
  <c r="C1425"/>
  <c r="D1425"/>
  <c r="C1426"/>
  <c r="D1426"/>
  <c r="C1427"/>
  <c r="D1427"/>
  <c r="C1428"/>
  <c r="D1428"/>
  <c r="C1429"/>
  <c r="D1429"/>
  <c r="C1430"/>
  <c r="D1430"/>
  <c r="C1431"/>
  <c r="D1431"/>
  <c r="C1432"/>
  <c r="D1432"/>
  <c r="C1433"/>
  <c r="D1433"/>
  <c r="C1434"/>
  <c r="D1434"/>
  <c r="C1435"/>
  <c r="D1435"/>
  <c r="C1436"/>
  <c r="D1436"/>
  <c r="C1437"/>
  <c r="D1437"/>
  <c r="C1438"/>
  <c r="D1438"/>
  <c r="C1439"/>
  <c r="D1439"/>
  <c r="C1440"/>
  <c r="D1440"/>
  <c r="C1441"/>
  <c r="D1441"/>
  <c r="C1442"/>
  <c r="D1442"/>
  <c r="C1443"/>
  <c r="D1443"/>
  <c r="C1444"/>
  <c r="D1444"/>
  <c r="C1445"/>
  <c r="D1445"/>
  <c r="C1446"/>
  <c r="D1446"/>
  <c r="C1447"/>
  <c r="D1447"/>
  <c r="C1448"/>
  <c r="D1448"/>
  <c r="C1449"/>
  <c r="D1449"/>
  <c r="C1450"/>
  <c r="D1450"/>
  <c r="C1451"/>
  <c r="D1451"/>
  <c r="C1452"/>
  <c r="D1452"/>
  <c r="C1453"/>
  <c r="D1453"/>
  <c r="C1454"/>
  <c r="D1454"/>
  <c r="C1455"/>
  <c r="D1455"/>
  <c r="C1456"/>
  <c r="D1456"/>
  <c r="C1457"/>
  <c r="D1457"/>
  <c r="C1458"/>
  <c r="D1458"/>
  <c r="C1459"/>
  <c r="D1459"/>
  <c r="C1460"/>
  <c r="D1460"/>
  <c r="C1461"/>
  <c r="D1461"/>
  <c r="C1462"/>
  <c r="D1462"/>
  <c r="C1463"/>
  <c r="D1463"/>
  <c r="C1464"/>
  <c r="D1464"/>
  <c r="C1465"/>
  <c r="D1465"/>
  <c r="C1466"/>
  <c r="D1466"/>
  <c r="C1467"/>
  <c r="D1467"/>
  <c r="C1468"/>
  <c r="D1468"/>
  <c r="C1469"/>
  <c r="D1469"/>
  <c r="C1470"/>
  <c r="D1470"/>
  <c r="C1471"/>
  <c r="D1471"/>
  <c r="C1472"/>
  <c r="D1472"/>
  <c r="C1473"/>
  <c r="D1473"/>
  <c r="C1474"/>
  <c r="D1474"/>
  <c r="C1475"/>
  <c r="D1475"/>
  <c r="C1476"/>
  <c r="D1476"/>
  <c r="C1477"/>
  <c r="D1477"/>
  <c r="C1478"/>
  <c r="D1478"/>
  <c r="C1479"/>
  <c r="D1479"/>
  <c r="C1480"/>
  <c r="D1480"/>
  <c r="C1481"/>
  <c r="D1481"/>
  <c r="C1482"/>
  <c r="D1482"/>
  <c r="C1483"/>
  <c r="D1483"/>
  <c r="C1484"/>
  <c r="D1484"/>
  <c r="C1485"/>
  <c r="D1485"/>
  <c r="C1486"/>
  <c r="D1486"/>
  <c r="C1487"/>
  <c r="D1487"/>
  <c r="C1488"/>
  <c r="D1488"/>
  <c r="C1489"/>
  <c r="D1489"/>
  <c r="C1490"/>
  <c r="D1490"/>
  <c r="C1491"/>
  <c r="D1491"/>
  <c r="C1492"/>
  <c r="D1492"/>
  <c r="C1493"/>
  <c r="D1493"/>
  <c r="C1494"/>
  <c r="D1494"/>
  <c r="C1495"/>
  <c r="D1495"/>
  <c r="C1496"/>
  <c r="D1496"/>
  <c r="C1497"/>
  <c r="D1497"/>
  <c r="C1498"/>
  <c r="D1498"/>
  <c r="C1499"/>
  <c r="D1499"/>
  <c r="C1500"/>
  <c r="D1500"/>
  <c r="C1501"/>
  <c r="D1501"/>
  <c r="C1502"/>
  <c r="D1502"/>
  <c r="C1503"/>
  <c r="D1503"/>
  <c r="C1504"/>
  <c r="D1504"/>
  <c r="C1505"/>
  <c r="D1505"/>
  <c r="C1506"/>
  <c r="D1506"/>
  <c r="C1507"/>
  <c r="D1507"/>
  <c r="C1508"/>
  <c r="D1508"/>
  <c r="C1509"/>
  <c r="D1509"/>
  <c r="C1510"/>
  <c r="D1510"/>
  <c r="C1511"/>
  <c r="D1511"/>
  <c r="C1512"/>
  <c r="D1512"/>
  <c r="C1513"/>
  <c r="D1513"/>
  <c r="C1514"/>
  <c r="D1514"/>
  <c r="C1515"/>
  <c r="D1515"/>
  <c r="C1516"/>
  <c r="D1516"/>
  <c r="C1517"/>
  <c r="D1517"/>
  <c r="C1518"/>
  <c r="D1518"/>
  <c r="C1519"/>
  <c r="D1519"/>
  <c r="C1520"/>
  <c r="D1520"/>
  <c r="C1521"/>
  <c r="D1521"/>
  <c r="C1522"/>
  <c r="D1522"/>
  <c r="C1523"/>
  <c r="D1523"/>
  <c r="C1524"/>
  <c r="D1524"/>
  <c r="C1525"/>
  <c r="D1525"/>
  <c r="C1526"/>
  <c r="D1526"/>
  <c r="C1527"/>
  <c r="D1527"/>
  <c r="C1528"/>
  <c r="D1528"/>
  <c r="C1529"/>
  <c r="D1529"/>
  <c r="C1530"/>
  <c r="D1530"/>
  <c r="C1531"/>
  <c r="D1531"/>
  <c r="C1532"/>
  <c r="D1532"/>
  <c r="C1533"/>
  <c r="D1533"/>
  <c r="C1534"/>
  <c r="D1534"/>
  <c r="C1535"/>
  <c r="D1535"/>
  <c r="C1536"/>
  <c r="D1536"/>
  <c r="C1537"/>
  <c r="D1537"/>
  <c r="C1538"/>
  <c r="D1538"/>
  <c r="C1539"/>
  <c r="D1539"/>
  <c r="C1540"/>
  <c r="D1540"/>
  <c r="C1541"/>
  <c r="D1541"/>
  <c r="C1542"/>
  <c r="D1542"/>
  <c r="C1543"/>
  <c r="D1543"/>
  <c r="C1544"/>
  <c r="D1544"/>
  <c r="C1545"/>
  <c r="D1545"/>
  <c r="C1546"/>
  <c r="D1546"/>
  <c r="C1547"/>
  <c r="D1547"/>
  <c r="C1548"/>
  <c r="D1548"/>
  <c r="C1549"/>
  <c r="D1549"/>
  <c r="C1550"/>
  <c r="D1550"/>
  <c r="C1551"/>
  <c r="D1551"/>
  <c r="C1552"/>
  <c r="D1552"/>
  <c r="C1553"/>
  <c r="D1553"/>
  <c r="C1554"/>
  <c r="D1554"/>
  <c r="C1555"/>
  <c r="D1555"/>
  <c r="C1556"/>
  <c r="D1556"/>
  <c r="C1557"/>
  <c r="D1557"/>
  <c r="C1558"/>
  <c r="D1558"/>
  <c r="C1559"/>
  <c r="D1559"/>
  <c r="C1560"/>
  <c r="D1560"/>
  <c r="C1561"/>
  <c r="D1561"/>
  <c r="C1562"/>
  <c r="D1562"/>
  <c r="C1563"/>
  <c r="D1563"/>
  <c r="C1564"/>
  <c r="D1564"/>
  <c r="C1565"/>
  <c r="D1565"/>
  <c r="C1566"/>
  <c r="D1566"/>
  <c r="C1567"/>
  <c r="D1567"/>
  <c r="C1568"/>
  <c r="D1568"/>
  <c r="C1569"/>
  <c r="D1569"/>
  <c r="C1570"/>
  <c r="D1570"/>
  <c r="C1571"/>
  <c r="D1571"/>
  <c r="C1572"/>
  <c r="D1572"/>
  <c r="C1573"/>
  <c r="D1573"/>
  <c r="C1574"/>
  <c r="D1574"/>
  <c r="C1575"/>
  <c r="D1575"/>
  <c r="C1576"/>
  <c r="D1576"/>
  <c r="C1577"/>
  <c r="D1577"/>
  <c r="C1578"/>
  <c r="D1578"/>
  <c r="C1579"/>
  <c r="D1579"/>
  <c r="C1580"/>
  <c r="D1580"/>
  <c r="C1581"/>
  <c r="D1581"/>
  <c r="C1582"/>
  <c r="D1582"/>
  <c r="C1583"/>
  <c r="D1583"/>
  <c r="C1584"/>
  <c r="D1584"/>
  <c r="C1585"/>
  <c r="D1585"/>
  <c r="C1586"/>
  <c r="D1586"/>
  <c r="C1587"/>
  <c r="D1587"/>
  <c r="C1588"/>
  <c r="D1588"/>
  <c r="C1589"/>
  <c r="D1589"/>
  <c r="C1590"/>
  <c r="D1590"/>
  <c r="C1591"/>
  <c r="D1591"/>
  <c r="C1592"/>
  <c r="D1592"/>
  <c r="C1593"/>
  <c r="D1593"/>
  <c r="C1594"/>
  <c r="D1594"/>
  <c r="C1595"/>
  <c r="D1595"/>
  <c r="C1596"/>
  <c r="D1596"/>
  <c r="C1597"/>
  <c r="D1597"/>
  <c r="C1598"/>
  <c r="D1598"/>
  <c r="C1599"/>
  <c r="D1599"/>
  <c r="C1600"/>
  <c r="D1600"/>
  <c r="C1601"/>
  <c r="D1601"/>
  <c r="C1602"/>
  <c r="D1602"/>
  <c r="C1603"/>
  <c r="D1603"/>
  <c r="C1604"/>
  <c r="D1604"/>
  <c r="C1605"/>
  <c r="D1605"/>
  <c r="C1606"/>
  <c r="D1606"/>
  <c r="C1607"/>
  <c r="D1607"/>
  <c r="C1608"/>
  <c r="D1608"/>
  <c r="C1609"/>
  <c r="D1609"/>
  <c r="C1610"/>
  <c r="D1610"/>
  <c r="C1611"/>
  <c r="D1611"/>
  <c r="C1612"/>
  <c r="D1612"/>
  <c r="C1613"/>
  <c r="D1613"/>
  <c r="C1614"/>
  <c r="D1614"/>
  <c r="C1615"/>
  <c r="D1615"/>
  <c r="C1616"/>
  <c r="D1616"/>
  <c r="C1617"/>
  <c r="D1617"/>
  <c r="C1618"/>
  <c r="D1618"/>
  <c r="C1619"/>
  <c r="D1619"/>
  <c r="C1620"/>
  <c r="D1620"/>
  <c r="C1621"/>
  <c r="D1621"/>
  <c r="C1622"/>
  <c r="D1622"/>
  <c r="C1623"/>
  <c r="D1623"/>
  <c r="C1624"/>
  <c r="D1624"/>
  <c r="C1625"/>
  <c r="D1625"/>
  <c r="C1626"/>
  <c r="D1626"/>
  <c r="C1627"/>
  <c r="D1627"/>
  <c r="C1628"/>
  <c r="D1628"/>
  <c r="C1629"/>
  <c r="D1629"/>
  <c r="C1630"/>
  <c r="D1630"/>
  <c r="C1631"/>
  <c r="D1631"/>
  <c r="C1632"/>
  <c r="D1632"/>
  <c r="C1633"/>
  <c r="D1633"/>
  <c r="C1634"/>
  <c r="D1634"/>
  <c r="C1635"/>
  <c r="D1635"/>
  <c r="C1636"/>
  <c r="D1636"/>
  <c r="C1637"/>
  <c r="D1637"/>
  <c r="C1638"/>
  <c r="D1638"/>
  <c r="C1639"/>
  <c r="D1639"/>
  <c r="C1640"/>
  <c r="D1640"/>
  <c r="C1641"/>
  <c r="D1641"/>
  <c r="C1642"/>
  <c r="D1642"/>
  <c r="C1643"/>
  <c r="D1643"/>
  <c r="C1644"/>
  <c r="D1644"/>
  <c r="C1645"/>
  <c r="D1645"/>
  <c r="C1646"/>
  <c r="D1646"/>
  <c r="C1647"/>
  <c r="D1647"/>
  <c r="C1648"/>
  <c r="D1648"/>
  <c r="C1649"/>
  <c r="D1649"/>
  <c r="C1650"/>
  <c r="D1650"/>
  <c r="C1651"/>
  <c r="D1651"/>
  <c r="C1652"/>
  <c r="D1652"/>
  <c r="C1653"/>
  <c r="D1653"/>
  <c r="C1654"/>
  <c r="D1654"/>
  <c r="C1655"/>
  <c r="D1655"/>
  <c r="C1656"/>
  <c r="D1656"/>
  <c r="C1657"/>
  <c r="D1657"/>
  <c r="C1658"/>
  <c r="D1658"/>
  <c r="C1659"/>
  <c r="D1659"/>
  <c r="C1660"/>
  <c r="D1660"/>
  <c r="C1661"/>
  <c r="D1661"/>
  <c r="C1662"/>
  <c r="D1662"/>
  <c r="C1663"/>
  <c r="D1663"/>
  <c r="C1664"/>
  <c r="D1664"/>
  <c r="C1665"/>
  <c r="D1665"/>
  <c r="C1666"/>
  <c r="D1666"/>
  <c r="C1667"/>
  <c r="D1667"/>
  <c r="C1668"/>
  <c r="D1668"/>
  <c r="C1669"/>
  <c r="D1669"/>
  <c r="C1670"/>
  <c r="D1670"/>
  <c r="C1671"/>
  <c r="D1671"/>
  <c r="C1672"/>
  <c r="D1672"/>
  <c r="C1673"/>
  <c r="D1673"/>
  <c r="C1674"/>
  <c r="D1674"/>
  <c r="C1675"/>
  <c r="D1675"/>
  <c r="C1676"/>
  <c r="D1676"/>
  <c r="C1677"/>
  <c r="D1677"/>
  <c r="C1678"/>
  <c r="D1678"/>
  <c r="C1679"/>
  <c r="D1679"/>
  <c r="C1680"/>
  <c r="D1680"/>
  <c r="C1681"/>
  <c r="D1681"/>
  <c r="C1682"/>
  <c r="D1682"/>
  <c r="C1683"/>
  <c r="D1683"/>
  <c r="C1684"/>
  <c r="D1684"/>
  <c r="C1685"/>
  <c r="D1685"/>
  <c r="C1686"/>
  <c r="D1686"/>
  <c r="C1687"/>
  <c r="D1687"/>
  <c r="C1688"/>
  <c r="D1688"/>
  <c r="C1689"/>
  <c r="D1689"/>
  <c r="C1690"/>
  <c r="D1690"/>
  <c r="C1691"/>
  <c r="D1691"/>
  <c r="C1692"/>
  <c r="D1692"/>
  <c r="C1693"/>
  <c r="D1693"/>
  <c r="C1694"/>
  <c r="D1694"/>
  <c r="C1695"/>
  <c r="D1695"/>
  <c r="C1696"/>
  <c r="D1696"/>
  <c r="C1697"/>
  <c r="D1697"/>
  <c r="C1698"/>
  <c r="D1698"/>
  <c r="C1699"/>
  <c r="D1699"/>
  <c r="C1700"/>
  <c r="D1700"/>
  <c r="C1701"/>
  <c r="D1701"/>
  <c r="C1702"/>
  <c r="D1702"/>
  <c r="C1703"/>
  <c r="D1703"/>
  <c r="C1704"/>
  <c r="D1704"/>
  <c r="C1705"/>
  <c r="D1705"/>
  <c r="C1706"/>
  <c r="D1706"/>
  <c r="C1707"/>
  <c r="D1707"/>
  <c r="C1708"/>
  <c r="D1708"/>
  <c r="C1709"/>
  <c r="D1709"/>
  <c r="C1710"/>
  <c r="D1710"/>
  <c r="C1711"/>
  <c r="D1711"/>
  <c r="C1712"/>
  <c r="D1712"/>
  <c r="C1713"/>
  <c r="D1713"/>
  <c r="C1714"/>
  <c r="D1714"/>
  <c r="C1715"/>
  <c r="D1715"/>
  <c r="C1716"/>
  <c r="D1716"/>
  <c r="C1717"/>
  <c r="D1717"/>
  <c r="C1718"/>
  <c r="D1718"/>
  <c r="C1719"/>
  <c r="D1719"/>
  <c r="C1720"/>
  <c r="D1720"/>
  <c r="C1721"/>
  <c r="D1721"/>
  <c r="C1722"/>
  <c r="D1722"/>
  <c r="C1723"/>
  <c r="D1723"/>
  <c r="C1724"/>
  <c r="D1724"/>
  <c r="C1725"/>
  <c r="D1725"/>
  <c r="C1726"/>
  <c r="D1726"/>
  <c r="C1727"/>
  <c r="D1727"/>
  <c r="C1728"/>
  <c r="D1728"/>
  <c r="C1729"/>
  <c r="D1729"/>
  <c r="C1730"/>
  <c r="D1730"/>
  <c r="C1731"/>
  <c r="D1731"/>
  <c r="C1732"/>
  <c r="D1732"/>
  <c r="C1733"/>
  <c r="D1733"/>
  <c r="C1734"/>
  <c r="D1734"/>
  <c r="C1735"/>
  <c r="D1735"/>
  <c r="C1736"/>
  <c r="D1736"/>
  <c r="C1737"/>
  <c r="D1737"/>
  <c r="C1738"/>
  <c r="D1738"/>
  <c r="C1739"/>
  <c r="D1739"/>
  <c r="C1740"/>
  <c r="D1740"/>
  <c r="C1741"/>
  <c r="D1741"/>
  <c r="C1742"/>
  <c r="D1742"/>
  <c r="C1743"/>
  <c r="D1743"/>
  <c r="C1744"/>
  <c r="D1744"/>
  <c r="C1745"/>
  <c r="D1745"/>
  <c r="C1746"/>
  <c r="D1746"/>
  <c r="C1747"/>
  <c r="D1747"/>
  <c r="C1748"/>
  <c r="D1748"/>
  <c r="C1749"/>
  <c r="D1749"/>
  <c r="C1750"/>
  <c r="D1750"/>
  <c r="C1751"/>
  <c r="D1751"/>
  <c r="C1752"/>
  <c r="D1752"/>
  <c r="C1753"/>
  <c r="D1753"/>
  <c r="C1754"/>
  <c r="D1754"/>
  <c r="C1755"/>
  <c r="D1755"/>
  <c r="C1756"/>
  <c r="D1756"/>
  <c r="C1757"/>
  <c r="D1757"/>
  <c r="C1758"/>
  <c r="D1758"/>
  <c r="C1759"/>
  <c r="D1759"/>
  <c r="C1760"/>
  <c r="D1760"/>
  <c r="C1761"/>
  <c r="D1761"/>
  <c r="C1762"/>
  <c r="D1762"/>
  <c r="C1763"/>
  <c r="D1763"/>
  <c r="C1764"/>
  <c r="D1764"/>
  <c r="C1765"/>
  <c r="D1765"/>
  <c r="C1766"/>
  <c r="D1766"/>
  <c r="C1767"/>
  <c r="D1767"/>
  <c r="C1768"/>
  <c r="D1768"/>
  <c r="C1769"/>
  <c r="D1769"/>
  <c r="C1770"/>
  <c r="D1770"/>
  <c r="C1771"/>
  <c r="D1771"/>
  <c r="C1772"/>
  <c r="D1772"/>
  <c r="C1773"/>
  <c r="D1773"/>
  <c r="C1774"/>
  <c r="D1774"/>
  <c r="C1775"/>
  <c r="D1775"/>
  <c r="C1776"/>
  <c r="D1776"/>
  <c r="C1777"/>
  <c r="D1777"/>
  <c r="C1778"/>
  <c r="D1778"/>
  <c r="C1779"/>
  <c r="D1779"/>
  <c r="C1780"/>
  <c r="D1780"/>
  <c r="C1781"/>
  <c r="D1781"/>
  <c r="C1782"/>
  <c r="D1782"/>
  <c r="C1783"/>
  <c r="D1783"/>
  <c r="C1784"/>
  <c r="D1784"/>
  <c r="C1785"/>
  <c r="D1785"/>
  <c r="C1786"/>
  <c r="D1786"/>
  <c r="C1787"/>
  <c r="D1787"/>
  <c r="C1788"/>
  <c r="D1788"/>
  <c r="C1789"/>
  <c r="D1789"/>
  <c r="C1790"/>
  <c r="D1790"/>
  <c r="C1791"/>
  <c r="D1791"/>
  <c r="C1792"/>
  <c r="D1792"/>
  <c r="C1793"/>
  <c r="D1793"/>
  <c r="C1794"/>
  <c r="D1794"/>
  <c r="C1795"/>
  <c r="D1795"/>
  <c r="C1796"/>
  <c r="D1796"/>
  <c r="C1797"/>
  <c r="D1797"/>
  <c r="C1798"/>
  <c r="D1798"/>
  <c r="C1799"/>
  <c r="D1799"/>
  <c r="C1800"/>
  <c r="D1800"/>
  <c r="C1801"/>
  <c r="D1801"/>
  <c r="C1802"/>
  <c r="D1802"/>
  <c r="C1803"/>
  <c r="D1803"/>
  <c r="C1804"/>
  <c r="D1804"/>
  <c r="C1805"/>
  <c r="D1805"/>
  <c r="C1806"/>
  <c r="D1806"/>
  <c r="C1807"/>
  <c r="D1807"/>
  <c r="C1808"/>
  <c r="D1808"/>
  <c r="C1809"/>
  <c r="D1809"/>
  <c r="C1810"/>
  <c r="D1810"/>
  <c r="C1811"/>
  <c r="D1811"/>
  <c r="C1812"/>
  <c r="D1812"/>
  <c r="C1813"/>
  <c r="D1813"/>
  <c r="C1814"/>
  <c r="D1814"/>
  <c r="C1815"/>
  <c r="D1815"/>
  <c r="C1816"/>
  <c r="D1816"/>
  <c r="C1817"/>
  <c r="D1817"/>
  <c r="C1818"/>
  <c r="D1818"/>
  <c r="C1819"/>
  <c r="D1819"/>
  <c r="C1820"/>
  <c r="D1820"/>
  <c r="C1821"/>
  <c r="D1821"/>
  <c r="C1822"/>
  <c r="D1822"/>
  <c r="C1823"/>
  <c r="D1823"/>
  <c r="C1824"/>
  <c r="D1824"/>
  <c r="C1825"/>
  <c r="D1825"/>
  <c r="C1826"/>
  <c r="D1826"/>
  <c r="C1827"/>
  <c r="D1827"/>
  <c r="C1828"/>
  <c r="D1828"/>
  <c r="C1829"/>
  <c r="D1829"/>
  <c r="C1830"/>
  <c r="D1830"/>
  <c r="C1831"/>
  <c r="D1831"/>
  <c r="C1832"/>
  <c r="D1832"/>
  <c r="C1833"/>
  <c r="D1833"/>
  <c r="C1834"/>
  <c r="D1834"/>
  <c r="C1835"/>
  <c r="D1835"/>
  <c r="C1836"/>
  <c r="D1836"/>
  <c r="C1837"/>
  <c r="D1837"/>
  <c r="C1838"/>
  <c r="D1838"/>
  <c r="C1839"/>
  <c r="D1839"/>
  <c r="C1840"/>
  <c r="D1840"/>
  <c r="C1841"/>
  <c r="D1841"/>
  <c r="C1842"/>
  <c r="D1842"/>
  <c r="C1843"/>
  <c r="D1843"/>
  <c r="C1844"/>
  <c r="D1844"/>
  <c r="C1845"/>
  <c r="D1845"/>
  <c r="C1846"/>
  <c r="D1846"/>
  <c r="C1847"/>
  <c r="D1847"/>
  <c r="C1848"/>
  <c r="D1848"/>
  <c r="C1849"/>
  <c r="D1849"/>
  <c r="C1850"/>
  <c r="D1850"/>
  <c r="C1851"/>
  <c r="D1851"/>
  <c r="C1852"/>
  <c r="D1852"/>
  <c r="C1853"/>
  <c r="D1853"/>
  <c r="C1854"/>
  <c r="D1854"/>
  <c r="C1855"/>
  <c r="D1855"/>
  <c r="C1856"/>
  <c r="D1856"/>
  <c r="C1857"/>
  <c r="D1857"/>
  <c r="C1858"/>
  <c r="D1858"/>
  <c r="C1859"/>
  <c r="D1859"/>
  <c r="C1860"/>
  <c r="D1860"/>
  <c r="C1861"/>
  <c r="D1861"/>
  <c r="C1862"/>
  <c r="D1862"/>
  <c r="C1863"/>
  <c r="D1863"/>
  <c r="C1864"/>
  <c r="D1864"/>
  <c r="C1865"/>
  <c r="D1865"/>
  <c r="C1866"/>
  <c r="D1866"/>
  <c r="C1867"/>
  <c r="D1867"/>
  <c r="C1868"/>
  <c r="D1868"/>
  <c r="C1869"/>
  <c r="D1869"/>
  <c r="C1870"/>
  <c r="D1870"/>
  <c r="C1871"/>
  <c r="D1871"/>
  <c r="C1872"/>
  <c r="D1872"/>
  <c r="C1873"/>
  <c r="D1873"/>
  <c r="C1874"/>
  <c r="D1874"/>
  <c r="C1875"/>
  <c r="D1875"/>
  <c r="C1876"/>
  <c r="D1876"/>
  <c r="C1877"/>
  <c r="D1877"/>
  <c r="C1878"/>
  <c r="D1878"/>
  <c r="C1879"/>
  <c r="D1879"/>
  <c r="C1880"/>
  <c r="D1880"/>
  <c r="C1881"/>
  <c r="D1881"/>
  <c r="C1882"/>
  <c r="D1882"/>
  <c r="C1883"/>
  <c r="D1883"/>
  <c r="C1884"/>
  <c r="D1884"/>
  <c r="C1885"/>
  <c r="D1885"/>
  <c r="C1886"/>
  <c r="D1886"/>
  <c r="C1887"/>
  <c r="D1887"/>
  <c r="C1888"/>
  <c r="D1888"/>
  <c r="C1889"/>
  <c r="D1889"/>
  <c r="C1890"/>
  <c r="D1890"/>
  <c r="C1891"/>
  <c r="D1891"/>
  <c r="C1892"/>
  <c r="D1892"/>
  <c r="C1893"/>
  <c r="D1893"/>
  <c r="C1894"/>
  <c r="D1894"/>
  <c r="C1895"/>
  <c r="D1895"/>
  <c r="C1896"/>
  <c r="D1896"/>
  <c r="C1897"/>
  <c r="D1897"/>
  <c r="C1898"/>
  <c r="D1898"/>
  <c r="C1899"/>
  <c r="D1899"/>
  <c r="C1900"/>
  <c r="D1900"/>
  <c r="C1901"/>
  <c r="D1901"/>
  <c r="C1902"/>
  <c r="D1902"/>
  <c r="C1903"/>
  <c r="D1903"/>
  <c r="C1904"/>
  <c r="D1904"/>
  <c r="C1905"/>
  <c r="D1905"/>
  <c r="C1906"/>
  <c r="D1906"/>
  <c r="C1907"/>
  <c r="D1907"/>
  <c r="C1908"/>
  <c r="D1908"/>
  <c r="C1909"/>
  <c r="D1909"/>
  <c r="C1910"/>
  <c r="D1910"/>
  <c r="C1911"/>
  <c r="D1911"/>
  <c r="C1912"/>
  <c r="D1912"/>
  <c r="C1913"/>
  <c r="D1913"/>
  <c r="C1914"/>
  <c r="D1914"/>
  <c r="C1915"/>
  <c r="D1915"/>
  <c r="C1916"/>
  <c r="D1916"/>
  <c r="C1917"/>
  <c r="D1917"/>
  <c r="C1918"/>
  <c r="D1918"/>
  <c r="C1919"/>
  <c r="D1919"/>
  <c r="C1920"/>
  <c r="D1920"/>
  <c r="C1921"/>
  <c r="D1921"/>
  <c r="C1922"/>
  <c r="D1922"/>
  <c r="C1923"/>
  <c r="D1923"/>
  <c r="C1924"/>
  <c r="D1924"/>
  <c r="C1925"/>
  <c r="D1925"/>
  <c r="C1926"/>
  <c r="D1926"/>
  <c r="C1927"/>
  <c r="D1927"/>
  <c r="C1928"/>
  <c r="D1928"/>
  <c r="C1929"/>
  <c r="D1929"/>
  <c r="C1930"/>
  <c r="D1930"/>
  <c r="C1931"/>
  <c r="D1931"/>
  <c r="C1932"/>
  <c r="D1932"/>
  <c r="C1933"/>
  <c r="D1933"/>
  <c r="C1934"/>
  <c r="D1934"/>
  <c r="C1935"/>
  <c r="D1935"/>
  <c r="C1936"/>
  <c r="D1936"/>
  <c r="C1937"/>
  <c r="D1937"/>
  <c r="C1938"/>
  <c r="D1938"/>
  <c r="C1939"/>
  <c r="D1939"/>
  <c r="C1940"/>
  <c r="D1940"/>
  <c r="C1941"/>
  <c r="D1941"/>
  <c r="C1942"/>
  <c r="D1942"/>
  <c r="C1943"/>
  <c r="D1943"/>
  <c r="C1944"/>
  <c r="D1944"/>
  <c r="C1945"/>
  <c r="D1945"/>
  <c r="C1946"/>
  <c r="D1946"/>
  <c r="C1947"/>
  <c r="D1947"/>
  <c r="C1948"/>
  <c r="D1948"/>
  <c r="C1949"/>
  <c r="D1949"/>
  <c r="C1950"/>
  <c r="D1950"/>
  <c r="C1951"/>
  <c r="D1951"/>
  <c r="C1952"/>
  <c r="D1952"/>
  <c r="C1953"/>
  <c r="D1953"/>
  <c r="C1954"/>
  <c r="D1954"/>
  <c r="C1955"/>
  <c r="D1955"/>
  <c r="C1956"/>
  <c r="D1956"/>
  <c r="C1957"/>
  <c r="D1957"/>
  <c r="C1958"/>
  <c r="D1958"/>
  <c r="C1959"/>
  <c r="D1959"/>
  <c r="C1960"/>
  <c r="D1960"/>
  <c r="C1961"/>
  <c r="D1961"/>
  <c r="C1962"/>
  <c r="D1962"/>
  <c r="C1963"/>
  <c r="D1963"/>
  <c r="C1964"/>
  <c r="D1964"/>
  <c r="C1965"/>
  <c r="D1965"/>
  <c r="C1966"/>
  <c r="D1966"/>
  <c r="C1967"/>
  <c r="D1967"/>
  <c r="C1968"/>
  <c r="D1968"/>
  <c r="C1969"/>
  <c r="D1969"/>
  <c r="C1970"/>
  <c r="D1970"/>
  <c r="C1971"/>
  <c r="D1971"/>
  <c r="C1972"/>
  <c r="D1972"/>
  <c r="C1973"/>
  <c r="D1973"/>
  <c r="C1974"/>
  <c r="D1974"/>
  <c r="C1975"/>
  <c r="D1975"/>
  <c r="C1976"/>
  <c r="D1976"/>
  <c r="C1977"/>
  <c r="D1977"/>
  <c r="C1978"/>
  <c r="D1978"/>
  <c r="C1979"/>
  <c r="D1979"/>
  <c r="C1980"/>
  <c r="D1980"/>
  <c r="C1981"/>
  <c r="D1981"/>
  <c r="C1982"/>
  <c r="D1982"/>
  <c r="C1983"/>
  <c r="D1983"/>
  <c r="C1984"/>
  <c r="D1984"/>
  <c r="C1985"/>
  <c r="D1985"/>
  <c r="C1986"/>
  <c r="D1986"/>
  <c r="C1987"/>
  <c r="D1987"/>
  <c r="C1988"/>
  <c r="D1988"/>
  <c r="C1989"/>
  <c r="D1989"/>
  <c r="C1990"/>
  <c r="D1990"/>
  <c r="C1991"/>
  <c r="D1991"/>
  <c r="C1992"/>
  <c r="D1992"/>
  <c r="C1993"/>
  <c r="D1993"/>
  <c r="C1994"/>
  <c r="D1994"/>
  <c r="C1995"/>
  <c r="D1995"/>
  <c r="C1996"/>
  <c r="D1996"/>
  <c r="C1997"/>
  <c r="D1997"/>
  <c r="C1998"/>
  <c r="D1998"/>
  <c r="C1999"/>
  <c r="D1999"/>
  <c r="C2000"/>
  <c r="D2000"/>
  <c r="C2001"/>
  <c r="D2001"/>
  <c r="C2002"/>
  <c r="D2002"/>
  <c r="C2003"/>
  <c r="D2003"/>
  <c r="C2004"/>
  <c r="D2004"/>
  <c r="C2005"/>
  <c r="D2005"/>
  <c r="C2006"/>
  <c r="D2006"/>
  <c r="C2007"/>
  <c r="D2007"/>
  <c r="C2008"/>
  <c r="D2008"/>
  <c r="C2009"/>
  <c r="D2009"/>
  <c r="C2010"/>
  <c r="D2010"/>
  <c r="C2011"/>
  <c r="D2011"/>
  <c r="C2012"/>
  <c r="D2012"/>
  <c r="C2013"/>
  <c r="D2013"/>
  <c r="C2014"/>
  <c r="D2014"/>
  <c r="C2015"/>
  <c r="D2015"/>
  <c r="C2016"/>
  <c r="D2016"/>
  <c r="C2017"/>
  <c r="D2017"/>
  <c r="C2018"/>
  <c r="D2018"/>
  <c r="C2019"/>
  <c r="D2019"/>
  <c r="C2020"/>
  <c r="D2020"/>
  <c r="C2021"/>
  <c r="D2021"/>
  <c r="C2022"/>
  <c r="D2022"/>
  <c r="C2023"/>
  <c r="D2023"/>
  <c r="C2024"/>
  <c r="D2024"/>
  <c r="C2025"/>
  <c r="D2025"/>
  <c r="C2026"/>
  <c r="D2026"/>
  <c r="C2027"/>
  <c r="D2027"/>
  <c r="C2028"/>
  <c r="D2028"/>
  <c r="C2029"/>
  <c r="D2029"/>
  <c r="C2030"/>
  <c r="D2030"/>
  <c r="C2031"/>
  <c r="D2031"/>
  <c r="C2032"/>
  <c r="D2032"/>
  <c r="C2033"/>
  <c r="D2033"/>
  <c r="C2034"/>
  <c r="D2034"/>
  <c r="C2035"/>
  <c r="D2035"/>
  <c r="C2036"/>
  <c r="D2036"/>
  <c r="C2037"/>
  <c r="D2037"/>
  <c r="C2038"/>
  <c r="D2038"/>
  <c r="C2039"/>
  <c r="D2039"/>
  <c r="C2040"/>
  <c r="D2040"/>
  <c r="C2041"/>
  <c r="D2041"/>
  <c r="C2042"/>
  <c r="D2042"/>
  <c r="C2043"/>
  <c r="D2043"/>
  <c r="C2044"/>
  <c r="D2044"/>
  <c r="C2045"/>
  <c r="D2045"/>
  <c r="C2046"/>
  <c r="D2046"/>
  <c r="C2047"/>
  <c r="D2047"/>
  <c r="C2048"/>
  <c r="D2048"/>
  <c r="C2049"/>
  <c r="D2049"/>
  <c r="C2050"/>
  <c r="D2050"/>
  <c r="C2051"/>
  <c r="D2051"/>
  <c r="C2052"/>
  <c r="D2052"/>
  <c r="C2053"/>
  <c r="D2053"/>
  <c r="C2054"/>
  <c r="D2054"/>
  <c r="C2055"/>
  <c r="D2055"/>
  <c r="C2056"/>
  <c r="D2056"/>
  <c r="C2057"/>
  <c r="D2057"/>
  <c r="C2058"/>
  <c r="D2058"/>
  <c r="C2059"/>
  <c r="D2059"/>
  <c r="C2060"/>
  <c r="D2060"/>
  <c r="C2061"/>
  <c r="D2061"/>
  <c r="C2062"/>
  <c r="D2062"/>
  <c r="C2063"/>
  <c r="D2063"/>
  <c r="C2064"/>
  <c r="D2064"/>
  <c r="C2065"/>
  <c r="D2065"/>
  <c r="C2066"/>
  <c r="D2066"/>
  <c r="C2067"/>
  <c r="D2067"/>
  <c r="C2068"/>
  <c r="D2068"/>
  <c r="C2069"/>
  <c r="D2069"/>
  <c r="C2070"/>
  <c r="D2070"/>
  <c r="C2071"/>
  <c r="D2071"/>
  <c r="C2072"/>
  <c r="D2072"/>
  <c r="C2073"/>
  <c r="D2073"/>
  <c r="C2074"/>
  <c r="D2074"/>
  <c r="C2075"/>
  <c r="D2075"/>
  <c r="C2076"/>
  <c r="D2076"/>
  <c r="C2077"/>
  <c r="D2077"/>
  <c r="C2078"/>
  <c r="D2078"/>
  <c r="C2079"/>
  <c r="D2079"/>
  <c r="C2080"/>
  <c r="D2080"/>
  <c r="C2081"/>
  <c r="D2081"/>
  <c r="C2082"/>
  <c r="D2082"/>
  <c r="C2083"/>
  <c r="D2083"/>
  <c r="C2084"/>
  <c r="D2084"/>
  <c r="C2085"/>
  <c r="D2085"/>
  <c r="C2086"/>
  <c r="D2086"/>
  <c r="C2087"/>
  <c r="D2087"/>
  <c r="C2088"/>
  <c r="D2088"/>
  <c r="C2089"/>
  <c r="D2089"/>
  <c r="C2090"/>
  <c r="D2090"/>
  <c r="C2091"/>
  <c r="D2091"/>
  <c r="C2092"/>
  <c r="D2092"/>
  <c r="C2093"/>
  <c r="D2093"/>
  <c r="C2094"/>
  <c r="D2094"/>
  <c r="C2095"/>
  <c r="D2095"/>
  <c r="C2096"/>
  <c r="D2096"/>
  <c r="C2097"/>
  <c r="D2097"/>
  <c r="C2098"/>
  <c r="D2098"/>
  <c r="C2099"/>
  <c r="D2099"/>
  <c r="C2100"/>
  <c r="D2100"/>
  <c r="C2101"/>
  <c r="D2101"/>
  <c r="C2102"/>
  <c r="D2102"/>
  <c r="C2103"/>
  <c r="D2103"/>
  <c r="C2104"/>
  <c r="D2104"/>
  <c r="C2105"/>
  <c r="D2105"/>
  <c r="C2106"/>
  <c r="D2106"/>
  <c r="C2107"/>
  <c r="D2107"/>
  <c r="C2108"/>
  <c r="D2108"/>
  <c r="C2109"/>
  <c r="D2109"/>
  <c r="C2110"/>
  <c r="D2110"/>
  <c r="C2111"/>
  <c r="D2111"/>
  <c r="C2112"/>
  <c r="D2112"/>
  <c r="C2113"/>
  <c r="D2113"/>
  <c r="C2114"/>
  <c r="D2114"/>
  <c r="C2115"/>
  <c r="D2115"/>
  <c r="C2116"/>
  <c r="D2116"/>
  <c r="C2117"/>
  <c r="D2117"/>
  <c r="C2118"/>
  <c r="D2118"/>
  <c r="C2119"/>
  <c r="D2119"/>
  <c r="C2120"/>
  <c r="D2120"/>
  <c r="C2121"/>
  <c r="D2121"/>
  <c r="C2122"/>
  <c r="D2122"/>
  <c r="C2123"/>
  <c r="D2123"/>
  <c r="C2124"/>
  <c r="D2124"/>
  <c r="C2125"/>
  <c r="D2125"/>
  <c r="C2126"/>
  <c r="D2126"/>
  <c r="C2127"/>
  <c r="D2127"/>
  <c r="C2128"/>
  <c r="D2128"/>
  <c r="C2129"/>
  <c r="D2129"/>
  <c r="C2130"/>
  <c r="D2130"/>
  <c r="C2131"/>
  <c r="D2131"/>
  <c r="C2132"/>
  <c r="D2132"/>
  <c r="C2133"/>
  <c r="D2133"/>
  <c r="C2134"/>
  <c r="D2134"/>
  <c r="C2135"/>
  <c r="D2135"/>
  <c r="C2136"/>
  <c r="D2136"/>
  <c r="C2137"/>
  <c r="D2137"/>
  <c r="C2138"/>
  <c r="D2138"/>
  <c r="C2139"/>
  <c r="D2139"/>
  <c r="C2140"/>
  <c r="D2140"/>
  <c r="C2141"/>
  <c r="D2141"/>
  <c r="C2142"/>
  <c r="D2142"/>
  <c r="C2143"/>
  <c r="D2143"/>
  <c r="C2144"/>
  <c r="D2144"/>
  <c r="C2145"/>
  <c r="D2145"/>
  <c r="C2146"/>
  <c r="D2146"/>
  <c r="C2147"/>
  <c r="D2147"/>
  <c r="C2148"/>
  <c r="D2148"/>
  <c r="C2149"/>
  <c r="D2149"/>
  <c r="C2150"/>
  <c r="D2150"/>
  <c r="C2151"/>
  <c r="D2151"/>
  <c r="C2152"/>
  <c r="D2152"/>
  <c r="C2153"/>
  <c r="D2153"/>
  <c r="C2154"/>
  <c r="D2154"/>
  <c r="C2155"/>
  <c r="D2155"/>
  <c r="C2156"/>
  <c r="D2156"/>
  <c r="C2157"/>
  <c r="D2157"/>
  <c r="C2158"/>
  <c r="D2158"/>
  <c r="C2159"/>
  <c r="D2159"/>
  <c r="C2160"/>
  <c r="D2160"/>
  <c r="C2161"/>
  <c r="D2161"/>
  <c r="C2162"/>
  <c r="D2162"/>
  <c r="C2163"/>
  <c r="D2163"/>
  <c r="C2164"/>
  <c r="D2164"/>
  <c r="C2165"/>
  <c r="D2165"/>
  <c r="C2166"/>
  <c r="D2166"/>
  <c r="C2167"/>
  <c r="D2167"/>
  <c r="C2168"/>
  <c r="D2168"/>
  <c r="C2169"/>
  <c r="D2169"/>
  <c r="C2170"/>
  <c r="D2170"/>
  <c r="C2171"/>
  <c r="D2171"/>
  <c r="C2172"/>
  <c r="D2172"/>
  <c r="C2173"/>
  <c r="D2173"/>
  <c r="C2174"/>
  <c r="D2174"/>
  <c r="C2175"/>
  <c r="D2175"/>
  <c r="C2176"/>
  <c r="D2176"/>
  <c r="C2177"/>
  <c r="D2177"/>
  <c r="C2178"/>
  <c r="D2178"/>
  <c r="C2179"/>
  <c r="D2179"/>
  <c r="C2180"/>
  <c r="D2180"/>
  <c r="C2181"/>
  <c r="D2181"/>
  <c r="C2182"/>
  <c r="D2182"/>
  <c r="C2183"/>
  <c r="D2183"/>
  <c r="C2184"/>
  <c r="D2184"/>
  <c r="C2185"/>
  <c r="D2185"/>
  <c r="C2186"/>
  <c r="D2186"/>
  <c r="C2187"/>
  <c r="D2187"/>
  <c r="C2188"/>
  <c r="D2188"/>
  <c r="C2189"/>
  <c r="D2189"/>
  <c r="C2190"/>
  <c r="D2190"/>
  <c r="C2191"/>
  <c r="D2191"/>
  <c r="C2192"/>
  <c r="D2192"/>
  <c r="C2193"/>
  <c r="D2193"/>
  <c r="C2194"/>
  <c r="D2194"/>
  <c r="C2195"/>
  <c r="D2195"/>
  <c r="C2196"/>
  <c r="D2196"/>
  <c r="C2197"/>
  <c r="D2197"/>
  <c r="C2198"/>
  <c r="D2198"/>
  <c r="C2199"/>
  <c r="D2199"/>
  <c r="C2200"/>
  <c r="D2200"/>
  <c r="C2201"/>
  <c r="D2201"/>
  <c r="C2202"/>
  <c r="D2202"/>
  <c r="C2203"/>
  <c r="D2203"/>
  <c r="C2204"/>
  <c r="D2204"/>
  <c r="C2205"/>
  <c r="D2205"/>
  <c r="C2206"/>
  <c r="D2206"/>
  <c r="C2207"/>
  <c r="D2207"/>
  <c r="C2208"/>
  <c r="D2208"/>
  <c r="C2209"/>
  <c r="D2209"/>
  <c r="C2210"/>
  <c r="D2210"/>
  <c r="C2211"/>
  <c r="D2211"/>
  <c r="C2212"/>
  <c r="D2212"/>
  <c r="C2213"/>
  <c r="D2213"/>
  <c r="C2214"/>
  <c r="D2214"/>
  <c r="C2215"/>
  <c r="D2215"/>
  <c r="C2216"/>
  <c r="D2216"/>
  <c r="C2217"/>
  <c r="D2217"/>
  <c r="C2218"/>
  <c r="D2218"/>
  <c r="C2219"/>
  <c r="D2219"/>
  <c r="C2220"/>
  <c r="D2220"/>
  <c r="C2221"/>
  <c r="D2221"/>
  <c r="C2222"/>
  <c r="D2222"/>
  <c r="C2223"/>
  <c r="D2223"/>
  <c r="C2224"/>
  <c r="D2224"/>
  <c r="C2225"/>
  <c r="D2225"/>
  <c r="C2226"/>
  <c r="D2226"/>
  <c r="C2227"/>
  <c r="D2227"/>
  <c r="C2228"/>
  <c r="D2228"/>
  <c r="C2229"/>
  <c r="D2229"/>
  <c r="C2230"/>
  <c r="D2230"/>
  <c r="C2231"/>
  <c r="D2231"/>
  <c r="C2232"/>
  <c r="D2232"/>
  <c r="C2233"/>
  <c r="D2233"/>
  <c r="C2234"/>
  <c r="D2234"/>
  <c r="C2235"/>
  <c r="D2235"/>
  <c r="C2236"/>
  <c r="D2236"/>
  <c r="C2237"/>
  <c r="D2237"/>
  <c r="C2238"/>
  <c r="D2238"/>
  <c r="C2239"/>
  <c r="D2239"/>
  <c r="C2240"/>
  <c r="D2240"/>
  <c r="C2241"/>
  <c r="D2241"/>
  <c r="C2242"/>
  <c r="D2242"/>
  <c r="C2243"/>
  <c r="D2243"/>
  <c r="C2244"/>
  <c r="D2244"/>
  <c r="C2245"/>
  <c r="D2245"/>
  <c r="C2246"/>
  <c r="D2246"/>
  <c r="C2247"/>
  <c r="D2247"/>
  <c r="C2248"/>
  <c r="D2248"/>
  <c r="C2249"/>
  <c r="D2249"/>
  <c r="C2250"/>
  <c r="D2250"/>
  <c r="C2251"/>
  <c r="D2251"/>
  <c r="C2252"/>
  <c r="D2252"/>
  <c r="C2253"/>
  <c r="D2253"/>
  <c r="C2254"/>
  <c r="D2254"/>
  <c r="C2255"/>
  <c r="D2255"/>
  <c r="C2256"/>
  <c r="D2256"/>
  <c r="C2257"/>
  <c r="D2257"/>
  <c r="C2258"/>
  <c r="D2258"/>
  <c r="C2259"/>
  <c r="D2259"/>
  <c r="C2260"/>
  <c r="D2260"/>
  <c r="C2261"/>
  <c r="D2261"/>
  <c r="C2262"/>
  <c r="D2262"/>
  <c r="C2263"/>
  <c r="D2263"/>
  <c r="C2264"/>
  <c r="D2264"/>
  <c r="C2265"/>
  <c r="D2265"/>
  <c r="C2266"/>
  <c r="D2266"/>
  <c r="C2267"/>
  <c r="D2267"/>
  <c r="C2268"/>
  <c r="D2268"/>
  <c r="C2269"/>
  <c r="D2269"/>
  <c r="C2270"/>
  <c r="D2270"/>
  <c r="C2271"/>
  <c r="D2271"/>
  <c r="C2272"/>
  <c r="D2272"/>
  <c r="C2273"/>
  <c r="D2273"/>
  <c r="C2274"/>
  <c r="D2274"/>
  <c r="C2275"/>
  <c r="D2275"/>
  <c r="C2276"/>
  <c r="D2276"/>
  <c r="C2277"/>
  <c r="D2277"/>
  <c r="C2278"/>
  <c r="D2278"/>
  <c r="C2279"/>
  <c r="D2279"/>
  <c r="C2280"/>
  <c r="D2280"/>
  <c r="C2281"/>
  <c r="D2281"/>
  <c r="C2282"/>
  <c r="D2282"/>
  <c r="C2283"/>
  <c r="D2283"/>
  <c r="C2284"/>
  <c r="D2284"/>
  <c r="C2285"/>
  <c r="D2285"/>
  <c r="C2286"/>
  <c r="D2286"/>
  <c r="C2287"/>
  <c r="D2287"/>
  <c r="C2288"/>
  <c r="D2288"/>
  <c r="C2289"/>
  <c r="D2289"/>
  <c r="C2290"/>
  <c r="D2290"/>
  <c r="C2291"/>
  <c r="D2291"/>
  <c r="C2292"/>
  <c r="D2292"/>
  <c r="C2293"/>
  <c r="D2293"/>
  <c r="C2294"/>
  <c r="D2294"/>
  <c r="C2295"/>
  <c r="D2295"/>
  <c r="C2296"/>
  <c r="D2296"/>
  <c r="C2297"/>
  <c r="D2297"/>
  <c r="C2298"/>
  <c r="D2298"/>
  <c r="C2299"/>
  <c r="D2299"/>
  <c r="C2300"/>
  <c r="D2300"/>
  <c r="C2301"/>
  <c r="D2301"/>
  <c r="C2302"/>
  <c r="D2302"/>
  <c r="C2303"/>
  <c r="D2303"/>
  <c r="C2304"/>
  <c r="D2304"/>
  <c r="C2305"/>
  <c r="D2305"/>
  <c r="C2306"/>
  <c r="D2306"/>
  <c r="C2307"/>
  <c r="D2307"/>
  <c r="C2308"/>
  <c r="D2308"/>
  <c r="C2309"/>
  <c r="D2309"/>
  <c r="C2310"/>
  <c r="D2310"/>
  <c r="C2311"/>
  <c r="D2311"/>
  <c r="C2312"/>
  <c r="D2312"/>
  <c r="C2313"/>
  <c r="D2313"/>
  <c r="C2314"/>
  <c r="D2314"/>
  <c r="C2315"/>
  <c r="D2315"/>
  <c r="C2316"/>
  <c r="D2316"/>
  <c r="C2317"/>
  <c r="D2317"/>
  <c r="C2318"/>
  <c r="D2318"/>
  <c r="C2319"/>
  <c r="D2319"/>
  <c r="C2320"/>
  <c r="D2320"/>
  <c r="C2321"/>
  <c r="D2321"/>
  <c r="C2322"/>
  <c r="D2322"/>
  <c r="C2323"/>
  <c r="D2323"/>
  <c r="C2324"/>
  <c r="D2324"/>
  <c r="C2325"/>
  <c r="D2325"/>
  <c r="C2326"/>
  <c r="D2326"/>
  <c r="C2327"/>
  <c r="D2327"/>
  <c r="C2328"/>
  <c r="D2328"/>
  <c r="C2329"/>
  <c r="D2329"/>
  <c r="C2330"/>
  <c r="D2330"/>
  <c r="C2331"/>
  <c r="D2331"/>
  <c r="C2332"/>
  <c r="D2332"/>
  <c r="C2333"/>
  <c r="D2333"/>
  <c r="C2334"/>
  <c r="D2334"/>
  <c r="C2335"/>
  <c r="D2335"/>
  <c r="C2336"/>
  <c r="D2336"/>
  <c r="C2337"/>
  <c r="D2337"/>
  <c r="C2338"/>
  <c r="D2338"/>
  <c r="C2339"/>
  <c r="D2339"/>
  <c r="C2340"/>
  <c r="D2340"/>
  <c r="C2341"/>
  <c r="D2341"/>
  <c r="C2342"/>
  <c r="D2342"/>
  <c r="C2343"/>
  <c r="D2343"/>
  <c r="C2344"/>
  <c r="D2344"/>
  <c r="C2345"/>
  <c r="D2345"/>
  <c r="C2346"/>
  <c r="D2346"/>
  <c r="C2347"/>
  <c r="D2347"/>
  <c r="C2348"/>
  <c r="D2348"/>
  <c r="C2349"/>
  <c r="D2349"/>
  <c r="C2350"/>
  <c r="D2350"/>
  <c r="C2351"/>
  <c r="D2351"/>
  <c r="C2352"/>
  <c r="D2352"/>
  <c r="C2353"/>
  <c r="D2353"/>
  <c r="C2354"/>
  <c r="D2354"/>
  <c r="C2355"/>
  <c r="D2355"/>
  <c r="C2356"/>
  <c r="D2356"/>
  <c r="C2357"/>
  <c r="D2357"/>
  <c r="C2358"/>
  <c r="D2358"/>
  <c r="C2359"/>
  <c r="D2359"/>
  <c r="C2360"/>
  <c r="D2360"/>
  <c r="C2361"/>
  <c r="D2361"/>
  <c r="C2362"/>
  <c r="D2362"/>
  <c r="C2363"/>
  <c r="D2363"/>
  <c r="C2364"/>
  <c r="D2364"/>
  <c r="C2365"/>
  <c r="D2365"/>
  <c r="C2366"/>
  <c r="D2366"/>
  <c r="C2367"/>
  <c r="D2367"/>
  <c r="C2368"/>
  <c r="D2368"/>
  <c r="C2369"/>
  <c r="D2369"/>
  <c r="C2370"/>
  <c r="D2370"/>
  <c r="C2371"/>
  <c r="D2371"/>
  <c r="C2372"/>
  <c r="D2372"/>
  <c r="C2373"/>
  <c r="D2373"/>
  <c r="C2374"/>
  <c r="D2374"/>
  <c r="C2375"/>
  <c r="D2375"/>
  <c r="C2376"/>
  <c r="D2376"/>
  <c r="C2377"/>
  <c r="D2377"/>
  <c r="C2378"/>
  <c r="D2378"/>
  <c r="C2379"/>
  <c r="D2379"/>
  <c r="C2380"/>
  <c r="D2380"/>
  <c r="C2381"/>
  <c r="D2381"/>
  <c r="C2382"/>
  <c r="D2382"/>
  <c r="C2383"/>
  <c r="D2383"/>
  <c r="C2384"/>
  <c r="D2384"/>
  <c r="C2385"/>
  <c r="D2385"/>
  <c r="C2386"/>
  <c r="D2386"/>
  <c r="C2387"/>
  <c r="D2387"/>
  <c r="C2388"/>
  <c r="D2388"/>
  <c r="C2389"/>
  <c r="D2389"/>
  <c r="C2390"/>
  <c r="D2390"/>
  <c r="C2391"/>
  <c r="D2391"/>
  <c r="C2392"/>
  <c r="D2392"/>
  <c r="C2393"/>
  <c r="D2393"/>
  <c r="C2394"/>
  <c r="D2394"/>
  <c r="C2395"/>
  <c r="D2395"/>
  <c r="C2396"/>
  <c r="D2396"/>
  <c r="C2397"/>
  <c r="D2397"/>
  <c r="C2398"/>
  <c r="D2398"/>
  <c r="C2399"/>
  <c r="D2399"/>
  <c r="C2400"/>
  <c r="D2400"/>
  <c r="C2401"/>
  <c r="D2401"/>
  <c r="C2402"/>
  <c r="D2402"/>
  <c r="C2403"/>
  <c r="D2403"/>
  <c r="C2404"/>
  <c r="D2404"/>
  <c r="C2405"/>
  <c r="D2405"/>
  <c r="C2406"/>
  <c r="D2406"/>
  <c r="C2407"/>
  <c r="D2407"/>
  <c r="C2408"/>
  <c r="D2408"/>
  <c r="C2409"/>
  <c r="D2409"/>
  <c r="C2410"/>
  <c r="D2410"/>
  <c r="C2411"/>
  <c r="D2411"/>
  <c r="C2412"/>
  <c r="D2412"/>
  <c r="C2413"/>
  <c r="D2413"/>
  <c r="C2414"/>
  <c r="D2414"/>
  <c r="C2415"/>
  <c r="D2415"/>
  <c r="C2416"/>
  <c r="D2416"/>
  <c r="C2417"/>
  <c r="D2417"/>
  <c r="C2418"/>
  <c r="D2418"/>
  <c r="C2419"/>
  <c r="D2419"/>
  <c r="C2420"/>
  <c r="D2420"/>
  <c r="C2421"/>
  <c r="D2421"/>
  <c r="C2422"/>
  <c r="D2422"/>
  <c r="C2423"/>
  <c r="D2423"/>
  <c r="C2424"/>
  <c r="D2424"/>
  <c r="C2425"/>
  <c r="D2425"/>
  <c r="C2426"/>
  <c r="D2426"/>
  <c r="C2427"/>
  <c r="D2427"/>
  <c r="C2428"/>
  <c r="D2428"/>
  <c r="C2429"/>
  <c r="D2429"/>
  <c r="C2430"/>
  <c r="D2430"/>
  <c r="C2431"/>
  <c r="D2431"/>
  <c r="C2432"/>
  <c r="D2432"/>
  <c r="C2433"/>
  <c r="D2433"/>
  <c r="C2434"/>
  <c r="D2434"/>
  <c r="C2435"/>
  <c r="D2435"/>
  <c r="C2436"/>
  <c r="D2436"/>
  <c r="C2437"/>
  <c r="D2437"/>
  <c r="C2438"/>
  <c r="D2438"/>
  <c r="C2439"/>
  <c r="D2439"/>
  <c r="C2440"/>
  <c r="D2440"/>
  <c r="C2441"/>
  <c r="D2441"/>
  <c r="C2442"/>
  <c r="D2442"/>
  <c r="C2443"/>
  <c r="D2443"/>
  <c r="C2444"/>
  <c r="D2444"/>
  <c r="C2445"/>
  <c r="D2445"/>
  <c r="C2446"/>
  <c r="D2446"/>
  <c r="C2447"/>
  <c r="D2447"/>
  <c r="C2448"/>
  <c r="D2448"/>
  <c r="C2449"/>
  <c r="D2449"/>
  <c r="C2450"/>
  <c r="D2450"/>
  <c r="C2451"/>
  <c r="D2451"/>
  <c r="C2452"/>
  <c r="D2452"/>
  <c r="C2453"/>
  <c r="D2453"/>
  <c r="C2454"/>
  <c r="D2454"/>
  <c r="C2455"/>
  <c r="D2455"/>
  <c r="C2456"/>
  <c r="D2456"/>
  <c r="C2457"/>
  <c r="D2457"/>
  <c r="C2458"/>
  <c r="D2458"/>
  <c r="C2459"/>
  <c r="D2459"/>
  <c r="C2460"/>
  <c r="D2460"/>
  <c r="C2461"/>
  <c r="D2461"/>
  <c r="C2462"/>
  <c r="D2462"/>
  <c r="C2463"/>
  <c r="D2463"/>
  <c r="C2464"/>
  <c r="D2464"/>
  <c r="C2465"/>
  <c r="D2465"/>
  <c r="C2466"/>
  <c r="D2466"/>
  <c r="C2467"/>
  <c r="D2467"/>
  <c r="C2468"/>
  <c r="D2468"/>
  <c r="C2469"/>
  <c r="D2469"/>
  <c r="C2470"/>
  <c r="D2470"/>
  <c r="C2471"/>
  <c r="D2471"/>
  <c r="C2472"/>
  <c r="D2472"/>
  <c r="C2473"/>
  <c r="D2473"/>
  <c r="C2474"/>
  <c r="D2474"/>
  <c r="C2475"/>
  <c r="D2475"/>
  <c r="C2476"/>
  <c r="D2476"/>
  <c r="C2477"/>
  <c r="D2477"/>
  <c r="C2478"/>
  <c r="D2478"/>
  <c r="C2479"/>
  <c r="D2479"/>
  <c r="C2480"/>
  <c r="D2480"/>
  <c r="C2481"/>
  <c r="D2481"/>
  <c r="C2482"/>
  <c r="D2482"/>
  <c r="C2483"/>
  <c r="D2483"/>
  <c r="C2484"/>
  <c r="D2484"/>
  <c r="C2485"/>
  <c r="D2485"/>
  <c r="C2486"/>
  <c r="D2486"/>
  <c r="C2487"/>
  <c r="D2487"/>
  <c r="C2488"/>
  <c r="D2488"/>
  <c r="C2489"/>
  <c r="D2489"/>
  <c r="C2490"/>
  <c r="D2490"/>
  <c r="C2491"/>
  <c r="D2491"/>
  <c r="C2492"/>
  <c r="D2492"/>
  <c r="C2493"/>
  <c r="D2493"/>
  <c r="C2494"/>
  <c r="D2494"/>
  <c r="C2495"/>
  <c r="D2495"/>
  <c r="C2496"/>
  <c r="D2496"/>
  <c r="C2497"/>
  <c r="D2497"/>
  <c r="C2498"/>
  <c r="D2498"/>
  <c r="C2499"/>
  <c r="D2499"/>
  <c r="C2500"/>
  <c r="D2500"/>
  <c r="C2501"/>
  <c r="D2501"/>
  <c r="C2502"/>
  <c r="D2502"/>
  <c r="C2503"/>
  <c r="D2503"/>
  <c r="C2504"/>
  <c r="D2504"/>
  <c r="C2505"/>
  <c r="D2505"/>
  <c r="C2506"/>
  <c r="D2506"/>
  <c r="C2507"/>
  <c r="D2507"/>
  <c r="C2508"/>
  <c r="D2508"/>
  <c r="C2509"/>
  <c r="D2509"/>
  <c r="C2510"/>
  <c r="D2510"/>
  <c r="C2511"/>
  <c r="D2511"/>
  <c r="C2512"/>
  <c r="D2512"/>
  <c r="C2513"/>
  <c r="D2513"/>
  <c r="C2514"/>
  <c r="D2514"/>
  <c r="C2515"/>
  <c r="D2515"/>
  <c r="C2516"/>
  <c r="D2516"/>
  <c r="C2517"/>
  <c r="D2517"/>
  <c r="C2518"/>
  <c r="D2518"/>
  <c r="C2519"/>
  <c r="D2519"/>
  <c r="C2520"/>
  <c r="D2520"/>
  <c r="C2521"/>
  <c r="D2521"/>
  <c r="C2522"/>
  <c r="D2522"/>
  <c r="C2523"/>
  <c r="D2523"/>
  <c r="C2524"/>
  <c r="D2524"/>
  <c r="C2525"/>
  <c r="D2525"/>
  <c r="C2526"/>
  <c r="D2526"/>
  <c r="C2527"/>
  <c r="D2527"/>
  <c r="C2528"/>
  <c r="D2528"/>
  <c r="C2529"/>
  <c r="D2529"/>
  <c r="C2530"/>
  <c r="D2530"/>
  <c r="C2531"/>
  <c r="D2531"/>
  <c r="C2532"/>
  <c r="D2532"/>
  <c r="C2533"/>
  <c r="D2533"/>
  <c r="C2534"/>
  <c r="D2534"/>
  <c r="C2535"/>
  <c r="D2535"/>
  <c r="C2536"/>
  <c r="D2536"/>
  <c r="C2537"/>
  <c r="D2537"/>
  <c r="C2538"/>
  <c r="D2538"/>
  <c r="C2539"/>
  <c r="D2539"/>
  <c r="C2540"/>
  <c r="D2540"/>
  <c r="C2541"/>
  <c r="D2541"/>
  <c r="C2542"/>
  <c r="D2542"/>
  <c r="C2543"/>
  <c r="D2543"/>
  <c r="C2544"/>
  <c r="D2544"/>
  <c r="C2545"/>
  <c r="D2545"/>
  <c r="C2546"/>
  <c r="D2546"/>
  <c r="C2547"/>
  <c r="D2547"/>
  <c r="C2548"/>
  <c r="D2548"/>
  <c r="C2549"/>
  <c r="D2549"/>
  <c r="C2550"/>
  <c r="D2550"/>
  <c r="C2551"/>
  <c r="D2551"/>
  <c r="C2552"/>
  <c r="D2552"/>
  <c r="C2553"/>
  <c r="D2553"/>
  <c r="C2554"/>
  <c r="D2554"/>
  <c r="C2555"/>
  <c r="D2555"/>
  <c r="C2556"/>
  <c r="D2556"/>
  <c r="C2557"/>
  <c r="D2557"/>
  <c r="C2558"/>
  <c r="D2558"/>
  <c r="C2559"/>
  <c r="D2559"/>
  <c r="C2560"/>
  <c r="D2560"/>
  <c r="C2561"/>
  <c r="D2561"/>
  <c r="C2562"/>
  <c r="D2562"/>
  <c r="C2563"/>
  <c r="D2563"/>
  <c r="C2564"/>
  <c r="D2564"/>
  <c r="C2565"/>
  <c r="D2565"/>
  <c r="C2566"/>
  <c r="D2566"/>
  <c r="C2567"/>
  <c r="D2567"/>
  <c r="C2568"/>
  <c r="D2568"/>
  <c r="C2569"/>
  <c r="D2569"/>
  <c r="C2570"/>
  <c r="D2570"/>
  <c r="C2571"/>
  <c r="D2571"/>
  <c r="C2572"/>
  <c r="D2572"/>
  <c r="C2573"/>
  <c r="D2573"/>
  <c r="C2574"/>
  <c r="D2574"/>
  <c r="C2575"/>
  <c r="D2575"/>
  <c r="C2576"/>
  <c r="D2576"/>
  <c r="C2577"/>
  <c r="D2577"/>
  <c r="C2578"/>
  <c r="D2578"/>
  <c r="C2579"/>
  <c r="D2579"/>
  <c r="C2580"/>
  <c r="D2580"/>
  <c r="C2581"/>
  <c r="D2581"/>
  <c r="C2582"/>
  <c r="D2582"/>
  <c r="C2583"/>
  <c r="D2583"/>
  <c r="C2584"/>
  <c r="D2584"/>
  <c r="C2585"/>
  <c r="D2585"/>
  <c r="C2586"/>
  <c r="D2586"/>
  <c r="C2587"/>
  <c r="D2587"/>
  <c r="C2588"/>
  <c r="D2588"/>
  <c r="C2589"/>
  <c r="D2589"/>
  <c r="C2590"/>
  <c r="D2590"/>
  <c r="C2591"/>
  <c r="D2591"/>
  <c r="C2592"/>
  <c r="D2592"/>
  <c r="C2593"/>
  <c r="D2593"/>
  <c r="C2594"/>
  <c r="D2594"/>
  <c r="C2595"/>
  <c r="D2595"/>
  <c r="C2596"/>
  <c r="D2596"/>
  <c r="C2597"/>
  <c r="D2597"/>
  <c r="C2598"/>
  <c r="D2598"/>
  <c r="C2599"/>
  <c r="D2599"/>
  <c r="C2600"/>
  <c r="D2600"/>
  <c r="C2601"/>
  <c r="D2601"/>
  <c r="C2602"/>
  <c r="D2602"/>
  <c r="C2603"/>
  <c r="D2603"/>
  <c r="C2604"/>
  <c r="D2604"/>
  <c r="C2605"/>
  <c r="D2605"/>
  <c r="C2606"/>
  <c r="D2606"/>
  <c r="C2607"/>
  <c r="D2607"/>
  <c r="C2608"/>
  <c r="D2608"/>
  <c r="C2609"/>
  <c r="D2609"/>
  <c r="C2610"/>
  <c r="D2610"/>
  <c r="C2611"/>
  <c r="D2611"/>
  <c r="C2612"/>
  <c r="D2612"/>
  <c r="C2613"/>
  <c r="D2613"/>
  <c r="C2614"/>
  <c r="D2614"/>
  <c r="C2615"/>
  <c r="D2615"/>
  <c r="C2616"/>
  <c r="D2616"/>
  <c r="C2617"/>
  <c r="D2617"/>
  <c r="C2618"/>
  <c r="D2618"/>
  <c r="C2619"/>
  <c r="D2619"/>
  <c r="C2620"/>
  <c r="D2620"/>
  <c r="C2621"/>
  <c r="D2621"/>
  <c r="C2622"/>
  <c r="D2622"/>
  <c r="C2623"/>
  <c r="D2623"/>
  <c r="C2624"/>
  <c r="D2624"/>
  <c r="C2625"/>
  <c r="D2625"/>
  <c r="C2626"/>
  <c r="D2626"/>
  <c r="C2627"/>
  <c r="D2627"/>
  <c r="C2628"/>
  <c r="D2628"/>
  <c r="C2629"/>
  <c r="D2629"/>
  <c r="C2630"/>
  <c r="D2630"/>
  <c r="C2631"/>
  <c r="D2631"/>
  <c r="C2632"/>
  <c r="D2632"/>
  <c r="C2633"/>
  <c r="D2633"/>
  <c r="C2634"/>
  <c r="D2634"/>
  <c r="C2635"/>
  <c r="D2635"/>
  <c r="C2636"/>
  <c r="D2636"/>
  <c r="C2637"/>
  <c r="D2637"/>
  <c r="C2638"/>
  <c r="D2638"/>
  <c r="C2639"/>
  <c r="D2639"/>
  <c r="C2640"/>
  <c r="D2640"/>
  <c r="C2641"/>
  <c r="D2641"/>
  <c r="C2642"/>
  <c r="D2642"/>
  <c r="C2643"/>
  <c r="D2643"/>
  <c r="C2644"/>
  <c r="D2644"/>
  <c r="C2645"/>
  <c r="D2645"/>
  <c r="C2646"/>
  <c r="D2646"/>
  <c r="C2647"/>
  <c r="D2647"/>
  <c r="C2648"/>
  <c r="D2648"/>
  <c r="C2649"/>
  <c r="D2649"/>
  <c r="C2650"/>
  <c r="D2650"/>
  <c r="C2651"/>
  <c r="D2651"/>
  <c r="C2652"/>
  <c r="D2652"/>
  <c r="C2653"/>
  <c r="D2653"/>
  <c r="C2654"/>
  <c r="D2654"/>
  <c r="C2655"/>
  <c r="D2655"/>
  <c r="C2656"/>
  <c r="D2656"/>
  <c r="C2657"/>
  <c r="D2657"/>
  <c r="C2658"/>
  <c r="D2658"/>
  <c r="C2659"/>
  <c r="D2659"/>
  <c r="C2660"/>
  <c r="D2660"/>
  <c r="C2661"/>
  <c r="D2661"/>
  <c r="C2662"/>
  <c r="D2662"/>
  <c r="C2663"/>
  <c r="D2663"/>
  <c r="C2664"/>
  <c r="D2664"/>
  <c r="C2665"/>
  <c r="D2665"/>
  <c r="C2666"/>
  <c r="D2666"/>
  <c r="C2667"/>
  <c r="D2667"/>
  <c r="C2668"/>
  <c r="D2668"/>
  <c r="C2669"/>
  <c r="D2669"/>
  <c r="C2670"/>
  <c r="D2670"/>
  <c r="C2671"/>
  <c r="D2671"/>
  <c r="C2672"/>
  <c r="D2672"/>
  <c r="C2673"/>
  <c r="D2673"/>
  <c r="C2674"/>
  <c r="D2674"/>
  <c r="C2675"/>
  <c r="D2675"/>
  <c r="C2676"/>
  <c r="D2676"/>
  <c r="C2677"/>
  <c r="D2677"/>
  <c r="C2678"/>
  <c r="D2678"/>
  <c r="C2679"/>
  <c r="D2679"/>
  <c r="C2680"/>
  <c r="D2680"/>
  <c r="C2681"/>
  <c r="D2681"/>
  <c r="C2682"/>
  <c r="D2682"/>
  <c r="C2683"/>
  <c r="D2683"/>
  <c r="C2684"/>
  <c r="D2684"/>
  <c r="C2685"/>
  <c r="D2685"/>
  <c r="C2686"/>
  <c r="D2686"/>
  <c r="C2687"/>
  <c r="D2687"/>
  <c r="C2688"/>
  <c r="D2688"/>
  <c r="C2689"/>
  <c r="D2689"/>
  <c r="C2690"/>
  <c r="D2690"/>
  <c r="C2691"/>
  <c r="D2691"/>
  <c r="C2692"/>
  <c r="D2692"/>
  <c r="C2693"/>
  <c r="D2693"/>
  <c r="C2694"/>
  <c r="D2694"/>
  <c r="C2695"/>
  <c r="D2695"/>
  <c r="C2696"/>
  <c r="D2696"/>
  <c r="C2697"/>
  <c r="D2697"/>
  <c r="C2698"/>
  <c r="D2698"/>
  <c r="C2699"/>
  <c r="D2699"/>
  <c r="C2700"/>
  <c r="D2700"/>
  <c r="C2701"/>
  <c r="D2701"/>
  <c r="C2702"/>
  <c r="D2702"/>
  <c r="C2703"/>
  <c r="D2703"/>
  <c r="C2704"/>
  <c r="D2704"/>
  <c r="C2705"/>
  <c r="D2705"/>
  <c r="C2706"/>
  <c r="D2706"/>
  <c r="C2707"/>
  <c r="D2707"/>
  <c r="C2708"/>
  <c r="D2708"/>
  <c r="C2709"/>
  <c r="D2709"/>
  <c r="C2710"/>
  <c r="D2710"/>
  <c r="C2711"/>
  <c r="D2711"/>
  <c r="C2712"/>
  <c r="D2712"/>
  <c r="C2713"/>
  <c r="D2713"/>
  <c r="C2714"/>
  <c r="D2714"/>
  <c r="C2715"/>
  <c r="D2715"/>
  <c r="C2716"/>
  <c r="D2716"/>
  <c r="C2717"/>
  <c r="D2717"/>
  <c r="C2718"/>
  <c r="D2718"/>
  <c r="C2719"/>
  <c r="D2719"/>
  <c r="C2720"/>
  <c r="D2720"/>
  <c r="C2721"/>
  <c r="D2721"/>
  <c r="C2722"/>
  <c r="D2722"/>
  <c r="C2723"/>
  <c r="D2723"/>
  <c r="C2724"/>
  <c r="D2724"/>
  <c r="C2725"/>
  <c r="D2725"/>
  <c r="C2726"/>
  <c r="D2726"/>
  <c r="C2727"/>
  <c r="D2727"/>
  <c r="C2728"/>
  <c r="D2728"/>
  <c r="C2729"/>
  <c r="D2729"/>
  <c r="C2730"/>
  <c r="D2730"/>
  <c r="C2731"/>
  <c r="D2731"/>
  <c r="C2732"/>
  <c r="D2732"/>
  <c r="C2733"/>
  <c r="D2733"/>
  <c r="C2734"/>
  <c r="D2734"/>
  <c r="C2735"/>
  <c r="D2735"/>
  <c r="C2736"/>
  <c r="D2736"/>
  <c r="C2737"/>
  <c r="D2737"/>
  <c r="C2738"/>
  <c r="D2738"/>
  <c r="C2739"/>
  <c r="D2739"/>
  <c r="C2740"/>
  <c r="D2740"/>
  <c r="C2741"/>
  <c r="D2741"/>
  <c r="C2742"/>
  <c r="D2742"/>
  <c r="C2743"/>
  <c r="D2743"/>
  <c r="C2744"/>
  <c r="D2744"/>
  <c r="C2745"/>
  <c r="D2745"/>
  <c r="C2746"/>
  <c r="D2746"/>
  <c r="C2747"/>
  <c r="D2747"/>
  <c r="C2748"/>
  <c r="D2748"/>
  <c r="C2749"/>
  <c r="D2749"/>
  <c r="C2750"/>
  <c r="D2750"/>
  <c r="C2751"/>
  <c r="D2751"/>
  <c r="C2752"/>
  <c r="D2752"/>
  <c r="C2753"/>
  <c r="D2753"/>
  <c r="C2754"/>
  <c r="D2754"/>
  <c r="C2755"/>
  <c r="D2755"/>
  <c r="C2756"/>
  <c r="D2756"/>
  <c r="C2757"/>
  <c r="D2757"/>
  <c r="C2758"/>
  <c r="D2758"/>
  <c r="C2759"/>
  <c r="D2759"/>
  <c r="C2760"/>
  <c r="D2760"/>
  <c r="C2761"/>
  <c r="D2761"/>
  <c r="C2762"/>
  <c r="D2762"/>
  <c r="C2763"/>
  <c r="D2763"/>
  <c r="C2764"/>
  <c r="D2764"/>
  <c r="C2765"/>
  <c r="D2765"/>
  <c r="C2766"/>
  <c r="D2766"/>
  <c r="C2767"/>
  <c r="D2767"/>
  <c r="C2768"/>
  <c r="D2768"/>
  <c r="C2769"/>
  <c r="D2769"/>
  <c r="C2770"/>
  <c r="D2770"/>
  <c r="C2771"/>
  <c r="D2771"/>
  <c r="C2772"/>
  <c r="D2772"/>
  <c r="C2773"/>
  <c r="D2773"/>
  <c r="C2774"/>
  <c r="D2774"/>
  <c r="C2775"/>
  <c r="D2775"/>
  <c r="C2776"/>
  <c r="D2776"/>
  <c r="C2777"/>
  <c r="D2777"/>
  <c r="C2778"/>
  <c r="D2778"/>
  <c r="C2779"/>
  <c r="D2779"/>
  <c r="C2780"/>
  <c r="D2780"/>
  <c r="C2781"/>
  <c r="D2781"/>
  <c r="C2782"/>
  <c r="D2782"/>
  <c r="C2783"/>
  <c r="D2783"/>
  <c r="C2784"/>
  <c r="D2784"/>
  <c r="C2785"/>
  <c r="D2785"/>
  <c r="C2786"/>
  <c r="D2786"/>
  <c r="C2787"/>
  <c r="D2787"/>
  <c r="C2788"/>
  <c r="D2788"/>
  <c r="C2789"/>
  <c r="D2789"/>
  <c r="C2790"/>
  <c r="D2790"/>
  <c r="C2791"/>
  <c r="D2791"/>
  <c r="C2792"/>
  <c r="D2792"/>
  <c r="C2793"/>
  <c r="D2793"/>
  <c r="C2794"/>
  <c r="D2794"/>
  <c r="C2795"/>
  <c r="D2795"/>
  <c r="C2796"/>
  <c r="D2796"/>
  <c r="C2797"/>
  <c r="D2797"/>
  <c r="C2798"/>
  <c r="D2798"/>
  <c r="C2799"/>
  <c r="D2799"/>
  <c r="C2800"/>
  <c r="D2800"/>
  <c r="C2801"/>
  <c r="D2801"/>
  <c r="C2802"/>
  <c r="D2802"/>
  <c r="C2803"/>
  <c r="D2803"/>
  <c r="C2804"/>
  <c r="D2804"/>
  <c r="C2805"/>
  <c r="D2805"/>
  <c r="C2806"/>
  <c r="D2806"/>
  <c r="C2807"/>
  <c r="D2807"/>
  <c r="C2808"/>
  <c r="D2808"/>
  <c r="C2809"/>
  <c r="D2809"/>
  <c r="C2810"/>
  <c r="D2810"/>
  <c r="C2811"/>
  <c r="D2811"/>
  <c r="C2812"/>
  <c r="D2812"/>
  <c r="C2813"/>
  <c r="D2813"/>
  <c r="C2814"/>
  <c r="D2814"/>
  <c r="C2815"/>
  <c r="D2815"/>
  <c r="C2816"/>
  <c r="D2816"/>
  <c r="C2817"/>
  <c r="D2817"/>
  <c r="C2818"/>
  <c r="D2818"/>
  <c r="C2819"/>
  <c r="D2819"/>
  <c r="C2820"/>
  <c r="D2820"/>
  <c r="C2821"/>
  <c r="D2821"/>
  <c r="C2822"/>
  <c r="D2822"/>
  <c r="C2823"/>
  <c r="D2823"/>
  <c r="C2824"/>
  <c r="D2824"/>
  <c r="C2825"/>
  <c r="D2825"/>
  <c r="C2826"/>
  <c r="D2826"/>
  <c r="C2827"/>
  <c r="D2827"/>
  <c r="C2828"/>
  <c r="D2828"/>
  <c r="C2829"/>
  <c r="D2829"/>
  <c r="C2830"/>
  <c r="D2830"/>
  <c r="C2831"/>
  <c r="D2831"/>
  <c r="C2832"/>
  <c r="D2832"/>
  <c r="C2833"/>
  <c r="D2833"/>
  <c r="C2834"/>
  <c r="D2834"/>
  <c r="C2835"/>
  <c r="D2835"/>
  <c r="C2836"/>
  <c r="D2836"/>
  <c r="C2837"/>
  <c r="D2837"/>
  <c r="C2838"/>
  <c r="D2838"/>
  <c r="C2839"/>
  <c r="D2839"/>
  <c r="C2840"/>
  <c r="D2840"/>
  <c r="C2841"/>
  <c r="D2841"/>
  <c r="C2842"/>
  <c r="D2842"/>
  <c r="C2843"/>
  <c r="D2843"/>
  <c r="C2844"/>
  <c r="D2844"/>
  <c r="C2845"/>
  <c r="D2845"/>
  <c r="C2846"/>
  <c r="D2846"/>
  <c r="C2847"/>
  <c r="D2847"/>
  <c r="C2848"/>
  <c r="D2848"/>
  <c r="C2849"/>
  <c r="D2849"/>
  <c r="C2850"/>
  <c r="D2850"/>
  <c r="C2851"/>
  <c r="D2851"/>
  <c r="C2852"/>
  <c r="D2852"/>
  <c r="C2853"/>
  <c r="D2853"/>
  <c r="C2854"/>
  <c r="D2854"/>
  <c r="C2855"/>
  <c r="D2855"/>
  <c r="C2856"/>
  <c r="D2856"/>
  <c r="C2857"/>
  <c r="D2857"/>
  <c r="C2858"/>
  <c r="D2858"/>
  <c r="C2859"/>
  <c r="D2859"/>
  <c r="C2860"/>
  <c r="D2860"/>
  <c r="C2861"/>
  <c r="D2861"/>
  <c r="C2862"/>
  <c r="D2862"/>
  <c r="C2863"/>
  <c r="D2863"/>
  <c r="C2864"/>
  <c r="D2864"/>
  <c r="C2865"/>
  <c r="D2865"/>
  <c r="C2866"/>
  <c r="D2866"/>
  <c r="C2867"/>
  <c r="D2867"/>
  <c r="C2868"/>
  <c r="D2868"/>
  <c r="C2869"/>
  <c r="D2869"/>
  <c r="C2870"/>
  <c r="D2870"/>
  <c r="C2871"/>
  <c r="D2871"/>
  <c r="C2872"/>
  <c r="D2872"/>
  <c r="C2873"/>
  <c r="D2873"/>
  <c r="C2874"/>
  <c r="D2874"/>
  <c r="C2875"/>
  <c r="D2875"/>
  <c r="C2876"/>
  <c r="D2876"/>
  <c r="C2877"/>
  <c r="D2877"/>
  <c r="C2878"/>
  <c r="D2878"/>
  <c r="C2879"/>
  <c r="D2879"/>
  <c r="C2880"/>
  <c r="D2880"/>
  <c r="C2881"/>
  <c r="D2881"/>
  <c r="C2882"/>
  <c r="D2882"/>
  <c r="C2883"/>
  <c r="D2883"/>
  <c r="C2884"/>
  <c r="D2884"/>
  <c r="C2885"/>
  <c r="D2885"/>
  <c r="C2886"/>
  <c r="D2886"/>
  <c r="C2887"/>
  <c r="D2887"/>
  <c r="C2888"/>
  <c r="D2888"/>
  <c r="C2889"/>
  <c r="D2889"/>
  <c r="C2890"/>
  <c r="D2890"/>
  <c r="C2891"/>
  <c r="D2891"/>
  <c r="C2892"/>
  <c r="D2892"/>
  <c r="C2893"/>
  <c r="D2893"/>
  <c r="C2894"/>
  <c r="D2894"/>
  <c r="C2895"/>
  <c r="D2895"/>
  <c r="C2896"/>
  <c r="D2896"/>
  <c r="C2897"/>
  <c r="D2897"/>
  <c r="C2898"/>
  <c r="D2898"/>
  <c r="C2899"/>
  <c r="D2899"/>
  <c r="C2900"/>
  <c r="D2900"/>
  <c r="C2901"/>
  <c r="D2901"/>
  <c r="C2902"/>
  <c r="D2902"/>
  <c r="C2903"/>
  <c r="D2903"/>
  <c r="C2904"/>
  <c r="D2904"/>
  <c r="C2905"/>
  <c r="D2905"/>
  <c r="C2906"/>
  <c r="D2906"/>
  <c r="C2907"/>
  <c r="D2907"/>
  <c r="C2908"/>
  <c r="D2908"/>
  <c r="C2909"/>
  <c r="D2909"/>
  <c r="C2910"/>
  <c r="D2910"/>
  <c r="C2911"/>
  <c r="D2911"/>
  <c r="C2912"/>
  <c r="D2912"/>
  <c r="C2913"/>
  <c r="D2913"/>
  <c r="C2914"/>
  <c r="D2914"/>
  <c r="C2915"/>
  <c r="D2915"/>
  <c r="C2916"/>
  <c r="D2916"/>
  <c r="C2917"/>
  <c r="D2917"/>
  <c r="C2918"/>
  <c r="D2918"/>
  <c r="C2919"/>
  <c r="D2919"/>
  <c r="C2920"/>
  <c r="D2920"/>
  <c r="C2921"/>
  <c r="D2921"/>
  <c r="C2922"/>
  <c r="D2922"/>
  <c r="C2923"/>
  <c r="D2923"/>
  <c r="C2924"/>
  <c r="D2924"/>
  <c r="C2925"/>
  <c r="D2925"/>
  <c r="C2926"/>
  <c r="D2926"/>
  <c r="C2927"/>
  <c r="D2927"/>
  <c r="C2928"/>
  <c r="D2928"/>
  <c r="C2929"/>
  <c r="D2929"/>
  <c r="C2930"/>
  <c r="D2930"/>
  <c r="C2931"/>
  <c r="D2931"/>
  <c r="C2932"/>
  <c r="D2932"/>
  <c r="C2933"/>
  <c r="D2933"/>
  <c r="C2934"/>
  <c r="D2934"/>
  <c r="C2935"/>
  <c r="D2935"/>
  <c r="C2936"/>
  <c r="D2936"/>
  <c r="C2937"/>
  <c r="D2937"/>
  <c r="C2938"/>
  <c r="D2938"/>
  <c r="C2939"/>
  <c r="D2939"/>
  <c r="C2940"/>
  <c r="D2940"/>
  <c r="C2941"/>
  <c r="D2941"/>
  <c r="C2942"/>
  <c r="D2942"/>
  <c r="C2943"/>
  <c r="D2943"/>
  <c r="C2944"/>
  <c r="D2944"/>
  <c r="C2945"/>
  <c r="D2945"/>
  <c r="C2946"/>
  <c r="D2946"/>
  <c r="C2947"/>
  <c r="D2947"/>
  <c r="C2948"/>
  <c r="D2948"/>
  <c r="C2949"/>
  <c r="D2949"/>
  <c r="C2950"/>
  <c r="D2950"/>
  <c r="C2951"/>
  <c r="D2951"/>
  <c r="C2952"/>
  <c r="D2952"/>
  <c r="C2953"/>
  <c r="D2953"/>
  <c r="C2954"/>
  <c r="D2954"/>
  <c r="C2955"/>
  <c r="D2955"/>
  <c r="C2956"/>
  <c r="D2956"/>
  <c r="C2957"/>
  <c r="D2957"/>
  <c r="C2958"/>
  <c r="D2958"/>
  <c r="C2959"/>
  <c r="D2959"/>
  <c r="C2960"/>
  <c r="D2960"/>
  <c r="C2961"/>
  <c r="D2961"/>
  <c r="C2962"/>
  <c r="D2962"/>
  <c r="C2963"/>
  <c r="D2963"/>
  <c r="C2964"/>
  <c r="D2964"/>
  <c r="C2965"/>
  <c r="D2965"/>
  <c r="C2966"/>
  <c r="D2966"/>
  <c r="C2967"/>
  <c r="D2967"/>
  <c r="C2968"/>
  <c r="D2968"/>
  <c r="C2969"/>
  <c r="D2969"/>
  <c r="C2970"/>
  <c r="D2970"/>
  <c r="C2971"/>
  <c r="D2971"/>
  <c r="C2972"/>
  <c r="D2972"/>
  <c r="C2973"/>
  <c r="D2973"/>
  <c r="C2974"/>
  <c r="D2974"/>
  <c r="C2975"/>
  <c r="D2975"/>
  <c r="C2976"/>
  <c r="D2976"/>
  <c r="C2977"/>
  <c r="D2977"/>
  <c r="C2978"/>
  <c r="D2978"/>
  <c r="C2979"/>
  <c r="D2979"/>
  <c r="C2980"/>
  <c r="D2980"/>
  <c r="C2981"/>
  <c r="D2981"/>
  <c r="C2982"/>
  <c r="D2982"/>
  <c r="C2983"/>
  <c r="D2983"/>
  <c r="C2984"/>
  <c r="D2984"/>
  <c r="C2985"/>
  <c r="D2985"/>
  <c r="C2986"/>
  <c r="D2986"/>
  <c r="C2987"/>
  <c r="D2987"/>
  <c r="C2988"/>
  <c r="D2988"/>
  <c r="C2989"/>
  <c r="D2989"/>
  <c r="C2990"/>
  <c r="D2990"/>
  <c r="C2991"/>
  <c r="D2991"/>
  <c r="C2992"/>
  <c r="D2992"/>
  <c r="C2993"/>
  <c r="D2993"/>
  <c r="C2994"/>
  <c r="D2994"/>
  <c r="C2995"/>
  <c r="D2995"/>
  <c r="C2996"/>
  <c r="D2996"/>
  <c r="C2997"/>
  <c r="D2997"/>
  <c r="C2998"/>
  <c r="D2998"/>
  <c r="C2999"/>
  <c r="D2999"/>
  <c r="C3000"/>
  <c r="D3000"/>
  <c r="C3001"/>
  <c r="D3001"/>
  <c r="C3002"/>
  <c r="D3002"/>
  <c r="C3003"/>
  <c r="D3003"/>
  <c r="C3004"/>
  <c r="D3004"/>
  <c r="C3005"/>
  <c r="D3005"/>
  <c r="C3006"/>
  <c r="D3006"/>
  <c r="C3007"/>
  <c r="D3007"/>
  <c r="C3008"/>
  <c r="D3008"/>
  <c r="C3009"/>
  <c r="D3009"/>
  <c r="C3010"/>
  <c r="D3010"/>
  <c r="C3011"/>
  <c r="D3011"/>
  <c r="C3012"/>
  <c r="D3012"/>
  <c r="C3013"/>
  <c r="D3013"/>
  <c r="C3014"/>
  <c r="D3014"/>
  <c r="C3015"/>
  <c r="D3015"/>
  <c r="C3016"/>
  <c r="D3016"/>
  <c r="C3017"/>
  <c r="D3017"/>
  <c r="C3018"/>
  <c r="D3018"/>
  <c r="C3019"/>
  <c r="D3019"/>
  <c r="C3020"/>
  <c r="D3020"/>
  <c r="C3021"/>
  <c r="D3021"/>
  <c r="C3022"/>
  <c r="D3022"/>
  <c r="C3023"/>
  <c r="D3023"/>
  <c r="C3024"/>
  <c r="D3024"/>
  <c r="C3025"/>
  <c r="D3025"/>
  <c r="C3026"/>
  <c r="D3026"/>
  <c r="C3027"/>
  <c r="D3027"/>
  <c r="C3028"/>
  <c r="D3028"/>
  <c r="C3029"/>
  <c r="D3029"/>
  <c r="C3030"/>
  <c r="D3030"/>
  <c r="C3031"/>
  <c r="D3031"/>
  <c r="C3032"/>
  <c r="D3032"/>
  <c r="C3033"/>
  <c r="D3033"/>
  <c r="C3034"/>
  <c r="D3034"/>
  <c r="C3035"/>
  <c r="D3035"/>
  <c r="C3036"/>
  <c r="D3036"/>
  <c r="C3037"/>
  <c r="D3037"/>
  <c r="C3038"/>
  <c r="D3038"/>
  <c r="C3039"/>
  <c r="D3039"/>
  <c r="C3040"/>
  <c r="D3040"/>
  <c r="C3041"/>
  <c r="D3041"/>
  <c r="C3042"/>
  <c r="D3042"/>
  <c r="C3043"/>
  <c r="D3043"/>
  <c r="C3044"/>
  <c r="D3044"/>
  <c r="C3045"/>
  <c r="D3045"/>
  <c r="C3046"/>
  <c r="D3046"/>
  <c r="C3047"/>
  <c r="D3047"/>
  <c r="C3048"/>
  <c r="D3048"/>
  <c r="C3049"/>
  <c r="D3049"/>
  <c r="C3050"/>
  <c r="D3050"/>
  <c r="C3051"/>
  <c r="D3051"/>
  <c r="C3052"/>
  <c r="D3052"/>
  <c r="C3053"/>
  <c r="D3053"/>
  <c r="C3054"/>
  <c r="D3054"/>
  <c r="C3055"/>
  <c r="D3055"/>
  <c r="C3056"/>
  <c r="D3056"/>
  <c r="C3057"/>
  <c r="D3057"/>
  <c r="C3058"/>
  <c r="D3058"/>
  <c r="C3059"/>
  <c r="D3059"/>
  <c r="C3060"/>
  <c r="D3060"/>
  <c r="C3061"/>
  <c r="D3061"/>
  <c r="C3062"/>
  <c r="D3062"/>
  <c r="C3063"/>
  <c r="D3063"/>
  <c r="C3064"/>
  <c r="D3064"/>
  <c r="C3065"/>
  <c r="D3065"/>
  <c r="C3066"/>
  <c r="D3066"/>
  <c r="C3067"/>
  <c r="D3067"/>
  <c r="C3068"/>
  <c r="D3068"/>
  <c r="C3069"/>
  <c r="D3069"/>
  <c r="C3070"/>
  <c r="D3070"/>
  <c r="C3071"/>
  <c r="D3071"/>
  <c r="C3072"/>
  <c r="D3072"/>
  <c r="C3073"/>
  <c r="D3073"/>
  <c r="C3074"/>
  <c r="D3074"/>
  <c r="C3075"/>
  <c r="D3075"/>
  <c r="C3076"/>
  <c r="D3076"/>
  <c r="C3077"/>
  <c r="D3077"/>
  <c r="C3078"/>
  <c r="D3078"/>
  <c r="C3079"/>
  <c r="D3079"/>
  <c r="C3080"/>
  <c r="D3080"/>
  <c r="C3081"/>
  <c r="D3081"/>
  <c r="C3082"/>
  <c r="D3082"/>
  <c r="C3083"/>
  <c r="D3083"/>
  <c r="C3084"/>
  <c r="D3084"/>
  <c r="C3085"/>
  <c r="D3085"/>
  <c r="C3086"/>
  <c r="D3086"/>
  <c r="C3087"/>
  <c r="D3087"/>
  <c r="C3088"/>
  <c r="D3088"/>
  <c r="C3089"/>
  <c r="D3089"/>
  <c r="C3090"/>
  <c r="D3090"/>
  <c r="C3091"/>
  <c r="D3091"/>
  <c r="C3092"/>
  <c r="D3092"/>
  <c r="C3093"/>
  <c r="D3093"/>
  <c r="C3094"/>
  <c r="D3094"/>
  <c r="C3095"/>
  <c r="D3095"/>
  <c r="C3096"/>
  <c r="D3096"/>
  <c r="C3097"/>
  <c r="D3097"/>
  <c r="C3098"/>
  <c r="D3098"/>
  <c r="C3099"/>
  <c r="D3099"/>
  <c r="C3100"/>
  <c r="D3100"/>
  <c r="C3101"/>
  <c r="D3101"/>
  <c r="C3102"/>
  <c r="D3102"/>
  <c r="C3103"/>
  <c r="D3103"/>
  <c r="C3104"/>
  <c r="D3104"/>
  <c r="C3105"/>
  <c r="D3105"/>
  <c r="C3106"/>
  <c r="D3106"/>
  <c r="C3107"/>
  <c r="D3107"/>
  <c r="C3108"/>
  <c r="D3108"/>
  <c r="C3109"/>
  <c r="D3109"/>
  <c r="C3110"/>
  <c r="D3110"/>
  <c r="C3111"/>
  <c r="D3111"/>
  <c r="C3112"/>
  <c r="D3112"/>
  <c r="C3113"/>
  <c r="D3113"/>
  <c r="C3114"/>
  <c r="D3114"/>
  <c r="C3115"/>
  <c r="D3115"/>
  <c r="C3116"/>
  <c r="D3116"/>
  <c r="C3117"/>
  <c r="D3117"/>
  <c r="C3118"/>
  <c r="D3118"/>
  <c r="C3119"/>
  <c r="D3119"/>
  <c r="C3120"/>
  <c r="D3120"/>
  <c r="C3121"/>
  <c r="D3121"/>
  <c r="C3122"/>
  <c r="D3122"/>
  <c r="C3123"/>
  <c r="D3123"/>
  <c r="C3124"/>
  <c r="D3124"/>
  <c r="C3125"/>
  <c r="D3125"/>
  <c r="C3126"/>
  <c r="D3126"/>
  <c r="C3127"/>
  <c r="D3127"/>
  <c r="C3128"/>
  <c r="D3128"/>
  <c r="C3129"/>
  <c r="D3129"/>
  <c r="C3130"/>
  <c r="D3130"/>
  <c r="C3131"/>
  <c r="D3131"/>
  <c r="C3132"/>
  <c r="D3132"/>
  <c r="C3133"/>
  <c r="D3133"/>
  <c r="C3134"/>
  <c r="D3134"/>
  <c r="C3135"/>
  <c r="D3135"/>
  <c r="C3136"/>
  <c r="D3136"/>
  <c r="C3137"/>
  <c r="D3137"/>
  <c r="C3138"/>
  <c r="D3138"/>
  <c r="C3139"/>
  <c r="D3139"/>
  <c r="C3140"/>
  <c r="D3140"/>
  <c r="C3141"/>
  <c r="D3141"/>
  <c r="C3142"/>
  <c r="D3142"/>
  <c r="C3143"/>
  <c r="D3143"/>
  <c r="C3144"/>
  <c r="D3144"/>
  <c r="C3145"/>
  <c r="D3145"/>
  <c r="C3146"/>
  <c r="D3146"/>
  <c r="C3147"/>
  <c r="D3147"/>
  <c r="C3148"/>
  <c r="D3148"/>
  <c r="C3149"/>
  <c r="D3149"/>
  <c r="C3150"/>
  <c r="D3150"/>
  <c r="C3151"/>
  <c r="D3151"/>
  <c r="C3152"/>
  <c r="D3152"/>
  <c r="C3153"/>
  <c r="D3153"/>
  <c r="C3154"/>
  <c r="D3154"/>
  <c r="C3155"/>
  <c r="D3155"/>
  <c r="C3156"/>
  <c r="D3156"/>
  <c r="C3157"/>
  <c r="D3157"/>
  <c r="C3158"/>
  <c r="D3158"/>
  <c r="C3159"/>
  <c r="D3159"/>
  <c r="C3160"/>
  <c r="D3160"/>
  <c r="C3161"/>
  <c r="D3161"/>
  <c r="C3162"/>
  <c r="D3162"/>
  <c r="C3163"/>
  <c r="D3163"/>
  <c r="C3164"/>
  <c r="D3164"/>
  <c r="C3165"/>
  <c r="D3165"/>
  <c r="C3166"/>
  <c r="D3166"/>
  <c r="C3167"/>
  <c r="D3167"/>
  <c r="C3168"/>
  <c r="D3168"/>
  <c r="C3169"/>
  <c r="D3169"/>
  <c r="C3170"/>
  <c r="D3170"/>
  <c r="C3171"/>
  <c r="D3171"/>
  <c r="C3172"/>
  <c r="D3172"/>
  <c r="C3173"/>
  <c r="D3173"/>
  <c r="C3174"/>
  <c r="D3174"/>
  <c r="C3175"/>
  <c r="D3175"/>
  <c r="C3176"/>
  <c r="D3176"/>
  <c r="C3177"/>
  <c r="D3177"/>
  <c r="C3178"/>
  <c r="D3178"/>
  <c r="C3179"/>
  <c r="D3179"/>
  <c r="C3180"/>
  <c r="D3180"/>
  <c r="C3181"/>
  <c r="D3181"/>
  <c r="C3182"/>
  <c r="D3182"/>
  <c r="C3183"/>
  <c r="D3183"/>
  <c r="C3184"/>
  <c r="D3184"/>
  <c r="C3185"/>
  <c r="D3185"/>
  <c r="C3186"/>
  <c r="D3186"/>
  <c r="C3187"/>
  <c r="D3187"/>
  <c r="C3188"/>
  <c r="D3188"/>
  <c r="C3189"/>
  <c r="D3189"/>
  <c r="C3190"/>
  <c r="D3190"/>
  <c r="C3191"/>
  <c r="D3191"/>
  <c r="C3192"/>
  <c r="D3192"/>
  <c r="C3193"/>
  <c r="D3193"/>
  <c r="C3194"/>
  <c r="D3194"/>
  <c r="C3195"/>
  <c r="D3195"/>
  <c r="C3196"/>
  <c r="D3196"/>
  <c r="C3197"/>
  <c r="D3197"/>
  <c r="C3198"/>
  <c r="D3198"/>
  <c r="C3199"/>
  <c r="D3199"/>
  <c r="C3200"/>
  <c r="D3200"/>
  <c r="C3201"/>
  <c r="D3201"/>
  <c r="C3202"/>
  <c r="D3202"/>
  <c r="C3203"/>
  <c r="D3203"/>
  <c r="C3204"/>
  <c r="D3204"/>
  <c r="C3205"/>
  <c r="D3205"/>
  <c r="C3206"/>
  <c r="D3206"/>
  <c r="C3207"/>
  <c r="D3207"/>
  <c r="C3208"/>
  <c r="D3208"/>
  <c r="C3209"/>
  <c r="D3209"/>
  <c r="C3210"/>
  <c r="D3210"/>
  <c r="C3211"/>
  <c r="D3211"/>
  <c r="C3212"/>
  <c r="D3212"/>
  <c r="C3213"/>
  <c r="D3213"/>
  <c r="C3214"/>
  <c r="D3214"/>
  <c r="C3215"/>
  <c r="D3215"/>
  <c r="C3216"/>
  <c r="D3216"/>
  <c r="C3217"/>
  <c r="D3217"/>
  <c r="C3218"/>
  <c r="D3218"/>
  <c r="C3219"/>
  <c r="D3219"/>
  <c r="C3220"/>
  <c r="D3220"/>
  <c r="C3221"/>
  <c r="D3221"/>
  <c r="C3222"/>
  <c r="D3222"/>
  <c r="C3223"/>
  <c r="D3223"/>
  <c r="C3224"/>
  <c r="D3224"/>
  <c r="C3225"/>
  <c r="D3225"/>
  <c r="C3226"/>
  <c r="D3226"/>
  <c r="C3227"/>
  <c r="D3227"/>
  <c r="C3228"/>
  <c r="D3228"/>
  <c r="C3229"/>
  <c r="D3229"/>
  <c r="C3230"/>
  <c r="D3230"/>
  <c r="C3231"/>
  <c r="D3231"/>
  <c r="C3232"/>
  <c r="D3232"/>
  <c r="C3233"/>
  <c r="D3233"/>
  <c r="C3234"/>
  <c r="D3234"/>
  <c r="C3235"/>
  <c r="D3235"/>
  <c r="C3236"/>
  <c r="D3236"/>
  <c r="C3237"/>
  <c r="D3237"/>
  <c r="C3238"/>
  <c r="D3238"/>
  <c r="C3239"/>
  <c r="D3239"/>
  <c r="C3240"/>
  <c r="D3240"/>
  <c r="C3241"/>
  <c r="D3241"/>
  <c r="C3242"/>
  <c r="D3242"/>
  <c r="C3243"/>
  <c r="D3243"/>
  <c r="C3244"/>
  <c r="D3244"/>
  <c r="C3245"/>
  <c r="D3245"/>
  <c r="C3246"/>
  <c r="D3246"/>
  <c r="C3247"/>
  <c r="D3247"/>
  <c r="C3248"/>
  <c r="D3248"/>
  <c r="C3249"/>
  <c r="D3249"/>
  <c r="C3250"/>
  <c r="D3250"/>
  <c r="C3251"/>
  <c r="D3251"/>
  <c r="C3252"/>
  <c r="D3252"/>
  <c r="C3253"/>
  <c r="D3253"/>
  <c r="C3254"/>
  <c r="D3254"/>
  <c r="C3255"/>
  <c r="D3255"/>
  <c r="C3256"/>
  <c r="D3256"/>
  <c r="C3257"/>
  <c r="D3257"/>
  <c r="C3258"/>
  <c r="D3258"/>
  <c r="C3259"/>
  <c r="D3259"/>
  <c r="C3260"/>
  <c r="D3260"/>
  <c r="C3261"/>
  <c r="D3261"/>
  <c r="C3262"/>
  <c r="D3262"/>
  <c r="C3263"/>
  <c r="D3263"/>
  <c r="C3264"/>
  <c r="D3264"/>
  <c r="C3265"/>
  <c r="D3265"/>
  <c r="C3266"/>
  <c r="D3266"/>
  <c r="C3267"/>
  <c r="D3267"/>
  <c r="C3268"/>
  <c r="D3268"/>
  <c r="C3269"/>
  <c r="D3269"/>
  <c r="C3270"/>
  <c r="D3270"/>
  <c r="C3271"/>
  <c r="D3271"/>
  <c r="C3272"/>
  <c r="D3272"/>
  <c r="C3273"/>
  <c r="D3273"/>
  <c r="C3274"/>
  <c r="D3274"/>
  <c r="C3275"/>
  <c r="D3275"/>
  <c r="C3276"/>
  <c r="D3276"/>
  <c r="C3277"/>
  <c r="D3277"/>
  <c r="C3278"/>
  <c r="D3278"/>
  <c r="C3279"/>
  <c r="D3279"/>
  <c r="C3280"/>
  <c r="D3280"/>
  <c r="C3281"/>
  <c r="D3281"/>
  <c r="C3282"/>
  <c r="D3282"/>
  <c r="C3283"/>
  <c r="D3283"/>
  <c r="C3284"/>
  <c r="D3284"/>
  <c r="C3285"/>
  <c r="D3285"/>
  <c r="C3286"/>
  <c r="D3286"/>
  <c r="C3287"/>
  <c r="D3287"/>
  <c r="C3288"/>
  <c r="D3288"/>
  <c r="C3289"/>
  <c r="D3289"/>
  <c r="C3290"/>
  <c r="D3290"/>
  <c r="C3291"/>
  <c r="D3291"/>
  <c r="C3292"/>
  <c r="D3292"/>
  <c r="C3293"/>
  <c r="D3293"/>
  <c r="C3294"/>
  <c r="D3294"/>
  <c r="C3295"/>
  <c r="D3295"/>
  <c r="C3296"/>
  <c r="D3296"/>
  <c r="C3297"/>
  <c r="D3297"/>
  <c r="C3298"/>
  <c r="D3298"/>
  <c r="C3299"/>
  <c r="D3299"/>
  <c r="C3300"/>
  <c r="D3300"/>
  <c r="C3301"/>
  <c r="D3301"/>
  <c r="C3302"/>
  <c r="D3302"/>
  <c r="C3303"/>
  <c r="D3303"/>
  <c r="C3304"/>
  <c r="D3304"/>
  <c r="C3305"/>
  <c r="D3305"/>
  <c r="C3306"/>
  <c r="D3306"/>
  <c r="C3307"/>
  <c r="D3307"/>
  <c r="C3308"/>
  <c r="D3308"/>
  <c r="C3309"/>
  <c r="D3309"/>
  <c r="C3310"/>
  <c r="D3310"/>
  <c r="C3311"/>
  <c r="D3311"/>
  <c r="C3312"/>
  <c r="D3312"/>
  <c r="C3313"/>
  <c r="D3313"/>
  <c r="C3314"/>
  <c r="D3314"/>
  <c r="C3315"/>
  <c r="D3315"/>
  <c r="C3316"/>
  <c r="D3316"/>
  <c r="C3317"/>
  <c r="D3317"/>
  <c r="C3318"/>
  <c r="D3318"/>
  <c r="C3319"/>
  <c r="D3319"/>
  <c r="C3320"/>
  <c r="D3320"/>
  <c r="C3321"/>
  <c r="D3321"/>
  <c r="C3322"/>
  <c r="D3322"/>
  <c r="C3323"/>
  <c r="D3323"/>
  <c r="C3324"/>
  <c r="D3324"/>
  <c r="C3325"/>
  <c r="D3325"/>
  <c r="C3326"/>
  <c r="D3326"/>
  <c r="C3327"/>
  <c r="D3327"/>
  <c r="C3328"/>
  <c r="D3328"/>
  <c r="C3329"/>
  <c r="D3329"/>
  <c r="C3330"/>
  <c r="D3330"/>
  <c r="C3331"/>
  <c r="D3331"/>
  <c r="C3332"/>
  <c r="D3332"/>
  <c r="C3333"/>
  <c r="D3333"/>
  <c r="C3334"/>
  <c r="D3334"/>
  <c r="C3335"/>
  <c r="D3335"/>
  <c r="C3336"/>
  <c r="D3336"/>
  <c r="C3337"/>
  <c r="D3337"/>
  <c r="C3338"/>
  <c r="D3338"/>
  <c r="C3339"/>
  <c r="D3339"/>
  <c r="C3340"/>
  <c r="D3340"/>
  <c r="C3341"/>
  <c r="D3341"/>
  <c r="C3342"/>
  <c r="D3342"/>
  <c r="C3343"/>
  <c r="D3343"/>
  <c r="C3344"/>
  <c r="D3344"/>
  <c r="C3345"/>
  <c r="D3345"/>
  <c r="C3346"/>
  <c r="D3346"/>
  <c r="C3347"/>
  <c r="D3347"/>
  <c r="C3348"/>
  <c r="D3348"/>
  <c r="C3349"/>
  <c r="D3349"/>
  <c r="C3350"/>
  <c r="D3350"/>
  <c r="C3351"/>
  <c r="D3351"/>
  <c r="C3352"/>
  <c r="D3352"/>
  <c r="C3353"/>
  <c r="D3353"/>
  <c r="C3354"/>
  <c r="D3354"/>
  <c r="C3355"/>
  <c r="D3355"/>
  <c r="C3356"/>
  <c r="D3356"/>
  <c r="C3357"/>
  <c r="D3357"/>
  <c r="C3358"/>
  <c r="D3358"/>
  <c r="C3359"/>
  <c r="D3359"/>
  <c r="C3360"/>
  <c r="D3360"/>
  <c r="C3361"/>
  <c r="D3361"/>
  <c r="C3362"/>
  <c r="D3362"/>
  <c r="C3363"/>
  <c r="D3363"/>
  <c r="C3364"/>
  <c r="D3364"/>
  <c r="C3365"/>
  <c r="D3365"/>
  <c r="C3366"/>
  <c r="D3366"/>
  <c r="C3367"/>
  <c r="D3367"/>
  <c r="C3368"/>
  <c r="D3368"/>
  <c r="C3369"/>
  <c r="D3369"/>
  <c r="C3370"/>
  <c r="D3370"/>
  <c r="C3371"/>
  <c r="D3371"/>
  <c r="C3372"/>
  <c r="D3372"/>
  <c r="C3373"/>
  <c r="D3373"/>
  <c r="C3374"/>
  <c r="D3374"/>
  <c r="C3375"/>
  <c r="D3375"/>
  <c r="C3376"/>
  <c r="D3376"/>
  <c r="C3377"/>
  <c r="D3377"/>
  <c r="C3378"/>
  <c r="D3378"/>
  <c r="C3379"/>
  <c r="D3379"/>
  <c r="C3380"/>
  <c r="D3380"/>
  <c r="C3381"/>
  <c r="D3381"/>
  <c r="C3382"/>
  <c r="D3382"/>
  <c r="C3383"/>
  <c r="D3383"/>
  <c r="C3384"/>
  <c r="D3384"/>
  <c r="C3385"/>
  <c r="D3385"/>
  <c r="C3386"/>
  <c r="D3386"/>
  <c r="C3387"/>
  <c r="D3387"/>
  <c r="C3388"/>
  <c r="D3388"/>
  <c r="C3389"/>
  <c r="D3389"/>
  <c r="C3390"/>
  <c r="D3390"/>
  <c r="C3391"/>
  <c r="D3391"/>
  <c r="C3392"/>
  <c r="D3392"/>
  <c r="C3393"/>
  <c r="D3393"/>
  <c r="C3394"/>
  <c r="D3394"/>
  <c r="C3395"/>
  <c r="D3395"/>
  <c r="C3396"/>
  <c r="D3396"/>
  <c r="C3397"/>
  <c r="D3397"/>
  <c r="C3398"/>
  <c r="D3398"/>
  <c r="C3399"/>
  <c r="D3399"/>
  <c r="C3400"/>
  <c r="D3400"/>
  <c r="C3401"/>
  <c r="D3401"/>
  <c r="C3402"/>
  <c r="D3402"/>
  <c r="C3403"/>
  <c r="D3403"/>
  <c r="C3404"/>
  <c r="D3404"/>
  <c r="C3405"/>
  <c r="D3405"/>
  <c r="C3406"/>
  <c r="D3406"/>
  <c r="C3407"/>
  <c r="D3407"/>
  <c r="C3408"/>
  <c r="D3408"/>
  <c r="C3409"/>
  <c r="D3409"/>
  <c r="C3410"/>
  <c r="D3410"/>
  <c r="C3411"/>
  <c r="D3411"/>
  <c r="C3412"/>
  <c r="D3412"/>
  <c r="C3413"/>
  <c r="D3413"/>
  <c r="C3414"/>
  <c r="D3414"/>
  <c r="C3415"/>
  <c r="D3415"/>
  <c r="C3416"/>
  <c r="D3416"/>
  <c r="C3417"/>
  <c r="D3417"/>
  <c r="C3418"/>
  <c r="D3418"/>
  <c r="C3419"/>
  <c r="D3419"/>
  <c r="C3420"/>
  <c r="D3420"/>
  <c r="C3421"/>
  <c r="D3421"/>
  <c r="C3422"/>
  <c r="D3422"/>
  <c r="C3423"/>
  <c r="D3423"/>
  <c r="C3424"/>
  <c r="D3424"/>
  <c r="C3425"/>
  <c r="D3425"/>
  <c r="C3426"/>
  <c r="D3426"/>
  <c r="C3427"/>
  <c r="D3427"/>
  <c r="C3428"/>
  <c r="D3428"/>
  <c r="C3429"/>
  <c r="D3429"/>
  <c r="C3430"/>
  <c r="D3430"/>
  <c r="C3431"/>
  <c r="D3431"/>
  <c r="C3432"/>
  <c r="D3432"/>
  <c r="C3433"/>
  <c r="D3433"/>
  <c r="C3434"/>
  <c r="D3434"/>
  <c r="C3435"/>
  <c r="D3435"/>
  <c r="C3436"/>
  <c r="D3436"/>
  <c r="C3437"/>
  <c r="D3437"/>
  <c r="C3438"/>
  <c r="D3438"/>
  <c r="C3439"/>
  <c r="D3439"/>
  <c r="C3440"/>
  <c r="D3440"/>
  <c r="C3441"/>
  <c r="D3441"/>
  <c r="C3442"/>
  <c r="D3442"/>
  <c r="C3443"/>
  <c r="D3443"/>
  <c r="C3444"/>
  <c r="D3444"/>
  <c r="C3445"/>
  <c r="D3445"/>
  <c r="C3446"/>
  <c r="D3446"/>
  <c r="C3447"/>
  <c r="D3447"/>
  <c r="C3448"/>
  <c r="D3448"/>
  <c r="C3449"/>
  <c r="D3449"/>
  <c r="C3450"/>
  <c r="D3450"/>
  <c r="C3451"/>
  <c r="D3451"/>
  <c r="C3452"/>
  <c r="D3452"/>
  <c r="C3453"/>
  <c r="D3453"/>
  <c r="C3454"/>
  <c r="D3454"/>
  <c r="C3455"/>
  <c r="D3455"/>
  <c r="C3456"/>
  <c r="D3456"/>
  <c r="C3457"/>
  <c r="D3457"/>
  <c r="C3458"/>
  <c r="D3458"/>
  <c r="C3459"/>
  <c r="D3459"/>
  <c r="C3460"/>
  <c r="D3460"/>
  <c r="C3461"/>
  <c r="D3461"/>
  <c r="C3462"/>
  <c r="D3462"/>
  <c r="C3463"/>
  <c r="D3463"/>
  <c r="C3464"/>
  <c r="D3464"/>
  <c r="C3465"/>
  <c r="D3465"/>
  <c r="C3466"/>
  <c r="D3466"/>
  <c r="C3467"/>
  <c r="D3467"/>
  <c r="C3468"/>
  <c r="D3468"/>
  <c r="C3469"/>
  <c r="D3469"/>
  <c r="C3470"/>
  <c r="D3470"/>
  <c r="C3471"/>
  <c r="D3471"/>
  <c r="C3472"/>
  <c r="D3472"/>
  <c r="C3473"/>
  <c r="D3473"/>
  <c r="C3474"/>
  <c r="D3474"/>
  <c r="C3475"/>
  <c r="D3475"/>
  <c r="C3476"/>
  <c r="D3476"/>
  <c r="C3477"/>
  <c r="D3477"/>
  <c r="C3478"/>
  <c r="D3478"/>
  <c r="C3479"/>
  <c r="D3479"/>
  <c r="C3480"/>
  <c r="D3480"/>
  <c r="C3481"/>
  <c r="D3481"/>
  <c r="C3482"/>
  <c r="D3482"/>
  <c r="C3483"/>
  <c r="D3483"/>
  <c r="C3484"/>
  <c r="D3484"/>
  <c r="C3485"/>
  <c r="D3485"/>
  <c r="C3486"/>
  <c r="D3486"/>
  <c r="C3487"/>
  <c r="D3487"/>
  <c r="C3488"/>
  <c r="D3488"/>
  <c r="C3489"/>
  <c r="D3489"/>
  <c r="C3490"/>
  <c r="D3490"/>
  <c r="C3491"/>
  <c r="D3491"/>
  <c r="C3492"/>
  <c r="D3492"/>
  <c r="C3493"/>
  <c r="D3493"/>
  <c r="C3494"/>
  <c r="D3494"/>
  <c r="C3495"/>
  <c r="D3495"/>
  <c r="C3496"/>
  <c r="D3496"/>
  <c r="C3497"/>
  <c r="D3497"/>
  <c r="C3498"/>
  <c r="D3498"/>
  <c r="C3499"/>
  <c r="D3499"/>
  <c r="C3500"/>
  <c r="D3500"/>
  <c r="C3501"/>
  <c r="D3501"/>
  <c r="C3502"/>
  <c r="D3502"/>
  <c r="C3503"/>
  <c r="D3503"/>
  <c r="C3504"/>
  <c r="D3504"/>
  <c r="C3505"/>
  <c r="D3505"/>
  <c r="C3506"/>
  <c r="D3506"/>
  <c r="C3507"/>
  <c r="D3507"/>
  <c r="C3508"/>
  <c r="D3508"/>
  <c r="C3509"/>
  <c r="D3509"/>
  <c r="C3510"/>
  <c r="D3510"/>
  <c r="C3511"/>
  <c r="D3511"/>
  <c r="C3512"/>
  <c r="D3512"/>
  <c r="C3513"/>
  <c r="D3513"/>
  <c r="C3514"/>
  <c r="D3514"/>
  <c r="C3515"/>
  <c r="D3515"/>
  <c r="C3516"/>
  <c r="D3516"/>
  <c r="C3517"/>
  <c r="D3517"/>
  <c r="C3518"/>
  <c r="D3518"/>
  <c r="C3519"/>
  <c r="D3519"/>
  <c r="C3520"/>
  <c r="D3520"/>
  <c r="C3521"/>
  <c r="D3521"/>
  <c r="C3522"/>
  <c r="D3522"/>
  <c r="C3523"/>
  <c r="D3523"/>
  <c r="C3524"/>
  <c r="D3524"/>
  <c r="C3525"/>
  <c r="D3525"/>
  <c r="C3526"/>
  <c r="D3526"/>
  <c r="C3527"/>
  <c r="D3527"/>
  <c r="C3528"/>
  <c r="D3528"/>
  <c r="C3529"/>
  <c r="D3529"/>
  <c r="C3530"/>
  <c r="D3530"/>
  <c r="C3531"/>
  <c r="D3531"/>
  <c r="C3532"/>
  <c r="D3532"/>
  <c r="C3533"/>
  <c r="D3533"/>
  <c r="C3534"/>
  <c r="D3534"/>
  <c r="C3535"/>
  <c r="D3535"/>
  <c r="C3536"/>
  <c r="D3536"/>
  <c r="C3537"/>
  <c r="D3537"/>
  <c r="C3538"/>
  <c r="D3538"/>
  <c r="C3539"/>
  <c r="D3539"/>
  <c r="C3540"/>
  <c r="D3540"/>
  <c r="C3541"/>
  <c r="D3541"/>
  <c r="C3542"/>
  <c r="D3542"/>
  <c r="C3543"/>
  <c r="D3543"/>
  <c r="C3544"/>
  <c r="D3544"/>
  <c r="C3545"/>
  <c r="D3545"/>
  <c r="C3546"/>
  <c r="D3546"/>
  <c r="C3547"/>
  <c r="D3547"/>
  <c r="C3548"/>
  <c r="D3548"/>
  <c r="C3549"/>
  <c r="D3549"/>
  <c r="C3550"/>
  <c r="D3550"/>
  <c r="C3551"/>
  <c r="D3551"/>
  <c r="C3552"/>
  <c r="D3552"/>
  <c r="C3553"/>
  <c r="D3553"/>
  <c r="C3554"/>
  <c r="D3554"/>
  <c r="C3555"/>
  <c r="D3555"/>
  <c r="C3556"/>
  <c r="D3556"/>
  <c r="C3557"/>
  <c r="D3557"/>
  <c r="C3558"/>
  <c r="D3558"/>
  <c r="C3559"/>
  <c r="D3559"/>
  <c r="C3560"/>
  <c r="D3560"/>
  <c r="C3561"/>
  <c r="D3561"/>
  <c r="C3562"/>
  <c r="D3562"/>
  <c r="C3563"/>
  <c r="D3563"/>
  <c r="C3564"/>
  <c r="D3564"/>
  <c r="C3565"/>
  <c r="D3565"/>
  <c r="C3566"/>
  <c r="D3566"/>
  <c r="C3567"/>
  <c r="D3567"/>
  <c r="C3568"/>
  <c r="D3568"/>
  <c r="C3569"/>
  <c r="D3569"/>
  <c r="C3570"/>
  <c r="D3570"/>
  <c r="C3571"/>
  <c r="D3571"/>
  <c r="C3572"/>
  <c r="D3572"/>
  <c r="C3573"/>
  <c r="D3573"/>
  <c r="C3574"/>
  <c r="D3574"/>
  <c r="C3575"/>
  <c r="D3575"/>
  <c r="C3576"/>
  <c r="D3576"/>
  <c r="C3577"/>
  <c r="D3577"/>
  <c r="C3578"/>
  <c r="D3578"/>
  <c r="C3579"/>
  <c r="D3579"/>
  <c r="C3580"/>
  <c r="D3580"/>
  <c r="C3581"/>
  <c r="D3581"/>
  <c r="C3582"/>
  <c r="D3582"/>
  <c r="C3583"/>
  <c r="D3583"/>
  <c r="C3584"/>
  <c r="D3584"/>
  <c r="C3585"/>
  <c r="D3585"/>
  <c r="C3586"/>
  <c r="D3586"/>
  <c r="C3587"/>
  <c r="D3587"/>
  <c r="C3588"/>
  <c r="D3588"/>
  <c r="C3589"/>
  <c r="D3589"/>
  <c r="C3590"/>
  <c r="D3590"/>
  <c r="C3591"/>
  <c r="D3591"/>
  <c r="C3592"/>
  <c r="D3592"/>
  <c r="C3593"/>
  <c r="D3593"/>
  <c r="C3594"/>
  <c r="D3594"/>
  <c r="C3595"/>
  <c r="D3595"/>
  <c r="C3596"/>
  <c r="D3596"/>
  <c r="C3597"/>
  <c r="D3597"/>
  <c r="C3598"/>
  <c r="D3598"/>
  <c r="C3599"/>
  <c r="D3599"/>
  <c r="C3600"/>
  <c r="D3600"/>
  <c r="C3601"/>
  <c r="D3601"/>
  <c r="C3602"/>
  <c r="D3602"/>
  <c r="C3603"/>
  <c r="D3603"/>
  <c r="C3604"/>
  <c r="D3604"/>
  <c r="C3605"/>
  <c r="D3605"/>
  <c r="C3606"/>
  <c r="D3606"/>
  <c r="C3607"/>
  <c r="D3607"/>
  <c r="C3608"/>
  <c r="D3608"/>
  <c r="C3609"/>
  <c r="D3609"/>
  <c r="C3610"/>
  <c r="D3610"/>
  <c r="C3611"/>
  <c r="D3611"/>
  <c r="C3612"/>
  <c r="D3612"/>
  <c r="C3613"/>
  <c r="D3613"/>
  <c r="C3614"/>
  <c r="D3614"/>
  <c r="C3615"/>
  <c r="D3615"/>
  <c r="C3616"/>
  <c r="D3616"/>
  <c r="C3617"/>
  <c r="D3617"/>
  <c r="C3618"/>
  <c r="D3618"/>
  <c r="C3619"/>
  <c r="D3619"/>
  <c r="C3620"/>
  <c r="D3620"/>
  <c r="C3621"/>
  <c r="D3621"/>
  <c r="C3622"/>
  <c r="D3622"/>
  <c r="C3623"/>
  <c r="D3623"/>
  <c r="C3624"/>
  <c r="D3624"/>
  <c r="C3625"/>
  <c r="D3625"/>
  <c r="C3626"/>
  <c r="D3626"/>
  <c r="C3627"/>
  <c r="D3627"/>
  <c r="C3628"/>
  <c r="D3628"/>
  <c r="C3629"/>
  <c r="D3629"/>
  <c r="C3630"/>
  <c r="D3630"/>
  <c r="C3631"/>
  <c r="D3631"/>
  <c r="C3632"/>
  <c r="D3632"/>
  <c r="C3633"/>
  <c r="D3633"/>
  <c r="C3634"/>
  <c r="D3634"/>
  <c r="C3635"/>
  <c r="D3635"/>
  <c r="C3636"/>
  <c r="D3636"/>
  <c r="C3637"/>
  <c r="D3637"/>
  <c r="C3638"/>
  <c r="D3638"/>
  <c r="C3639"/>
  <c r="D3639"/>
  <c r="C3640"/>
  <c r="D3640"/>
  <c r="C3641"/>
  <c r="D3641"/>
  <c r="C3642"/>
  <c r="D3642"/>
  <c r="C3643"/>
  <c r="D3643"/>
  <c r="C3644"/>
  <c r="D3644"/>
  <c r="C3645"/>
  <c r="D3645"/>
  <c r="C3646"/>
  <c r="D3646"/>
  <c r="C3647"/>
  <c r="D3647"/>
  <c r="C3648"/>
  <c r="D3648"/>
  <c r="C3649"/>
  <c r="D3649"/>
  <c r="C3650"/>
  <c r="D3650"/>
  <c r="C3651"/>
  <c r="D3651"/>
  <c r="C3652"/>
  <c r="D3652"/>
  <c r="C3653"/>
  <c r="D3653"/>
  <c r="C3654"/>
  <c r="D3654"/>
  <c r="C3655"/>
  <c r="D3655"/>
  <c r="C3656"/>
  <c r="D3656"/>
  <c r="C3657"/>
  <c r="D3657"/>
  <c r="C3658"/>
  <c r="D3658"/>
  <c r="C3659"/>
  <c r="D3659"/>
  <c r="C3660"/>
  <c r="D3660"/>
  <c r="C3661"/>
  <c r="D3661"/>
  <c r="C3662"/>
  <c r="D3662"/>
  <c r="C3663"/>
  <c r="D3663"/>
  <c r="C3664"/>
  <c r="D3664"/>
  <c r="C3665"/>
  <c r="D3665"/>
  <c r="C3666"/>
  <c r="D3666"/>
  <c r="C3667"/>
  <c r="D3667"/>
  <c r="C3668"/>
  <c r="D3668"/>
  <c r="C3669"/>
  <c r="D3669"/>
  <c r="C3670"/>
  <c r="D3670"/>
  <c r="C3671"/>
  <c r="D3671"/>
  <c r="C3672"/>
  <c r="D3672"/>
  <c r="C3673"/>
  <c r="D3673"/>
  <c r="C3674"/>
  <c r="D3674"/>
  <c r="C3675"/>
  <c r="D3675"/>
  <c r="C3676"/>
  <c r="D3676"/>
  <c r="C3677"/>
  <c r="D3677"/>
  <c r="C3678"/>
  <c r="D3678"/>
  <c r="C3679"/>
  <c r="D3679"/>
  <c r="C3680"/>
  <c r="D3680"/>
  <c r="C3681"/>
  <c r="D3681"/>
  <c r="C3682"/>
  <c r="D3682"/>
  <c r="C3683"/>
  <c r="D3683"/>
  <c r="C3684"/>
  <c r="D3684"/>
  <c r="C3685"/>
  <c r="D3685"/>
  <c r="C3686"/>
  <c r="D3686"/>
  <c r="C3687"/>
  <c r="D3687"/>
  <c r="C3688"/>
  <c r="D3688"/>
  <c r="C3689"/>
  <c r="D3689"/>
  <c r="C3690"/>
  <c r="D3690"/>
  <c r="C3691"/>
  <c r="D3691"/>
  <c r="C3692"/>
  <c r="D3692"/>
  <c r="C3693"/>
  <c r="D3693"/>
  <c r="C3694"/>
  <c r="D3694"/>
  <c r="C3695"/>
  <c r="D3695"/>
  <c r="C3696"/>
  <c r="D3696"/>
  <c r="C3697"/>
  <c r="D3697"/>
  <c r="C3698"/>
  <c r="D3698"/>
  <c r="C3699"/>
  <c r="D3699"/>
  <c r="C3700"/>
  <c r="D3700"/>
  <c r="C3701"/>
  <c r="D3701"/>
  <c r="C3702"/>
  <c r="D3702"/>
  <c r="C3703"/>
  <c r="D3703"/>
  <c r="C3704"/>
  <c r="D3704"/>
  <c r="C3705"/>
  <c r="D3705"/>
  <c r="C3706"/>
  <c r="D3706"/>
  <c r="C3707"/>
  <c r="D3707"/>
  <c r="C3708"/>
  <c r="D3708"/>
  <c r="C3709"/>
  <c r="D3709"/>
  <c r="C3710"/>
  <c r="D3710"/>
  <c r="C3711"/>
  <c r="D3711"/>
  <c r="C3712"/>
  <c r="D3712"/>
  <c r="C3713"/>
  <c r="D3713"/>
  <c r="C3714"/>
  <c r="D3714"/>
  <c r="C3715"/>
  <c r="D3715"/>
  <c r="C3716"/>
  <c r="D3716"/>
  <c r="C3717"/>
  <c r="D3717"/>
  <c r="C3718"/>
  <c r="D3718"/>
  <c r="C3719"/>
  <c r="D3719"/>
  <c r="C3720"/>
  <c r="D3720"/>
  <c r="C3721"/>
  <c r="D3721"/>
  <c r="C3722"/>
  <c r="D3722"/>
  <c r="C3723"/>
  <c r="D3723"/>
  <c r="C3724"/>
  <c r="D3724"/>
  <c r="C3725"/>
  <c r="D3725"/>
  <c r="C3726"/>
  <c r="D3726"/>
  <c r="C3727"/>
  <c r="D3727"/>
  <c r="C3728"/>
  <c r="D3728"/>
  <c r="C3729"/>
  <c r="D3729"/>
  <c r="C3730"/>
  <c r="D3730"/>
  <c r="C3731"/>
  <c r="D3731"/>
  <c r="C3732"/>
  <c r="D3732"/>
  <c r="C3733"/>
  <c r="D3733"/>
  <c r="C3734"/>
  <c r="D3734"/>
  <c r="C3735"/>
  <c r="D3735"/>
  <c r="C3736"/>
  <c r="D3736"/>
  <c r="C3737"/>
  <c r="D3737"/>
  <c r="C3738"/>
  <c r="D3738"/>
  <c r="C3739"/>
  <c r="D3739"/>
  <c r="C3740"/>
  <c r="D3740"/>
  <c r="C3741"/>
  <c r="D3741"/>
  <c r="C3742"/>
  <c r="D3742"/>
  <c r="C3743"/>
  <c r="D3743"/>
  <c r="C3744"/>
  <c r="D3744"/>
  <c r="C3745"/>
  <c r="D3745"/>
  <c r="C3746"/>
  <c r="D3746"/>
  <c r="C3747"/>
  <c r="D3747"/>
  <c r="C3748"/>
  <c r="D3748"/>
  <c r="C3749"/>
  <c r="D3749"/>
  <c r="C3750"/>
  <c r="D3750"/>
  <c r="C3751"/>
  <c r="D3751"/>
  <c r="C3752"/>
  <c r="D3752"/>
  <c r="C3753"/>
  <c r="D3753"/>
  <c r="C3754"/>
  <c r="D3754"/>
  <c r="C3755"/>
  <c r="D3755"/>
  <c r="C3756"/>
  <c r="D3756"/>
  <c r="C3757"/>
  <c r="D3757"/>
  <c r="C3758"/>
  <c r="D3758"/>
  <c r="C3759"/>
  <c r="D3759"/>
  <c r="C3760"/>
  <c r="D3760"/>
  <c r="C3761"/>
  <c r="D3761"/>
  <c r="C3762"/>
  <c r="D3762"/>
  <c r="C3763"/>
  <c r="D3763"/>
  <c r="C3764"/>
  <c r="D3764"/>
  <c r="C3765"/>
  <c r="D3765"/>
  <c r="C3766"/>
  <c r="D3766"/>
  <c r="C3767"/>
  <c r="D3767"/>
  <c r="C3768"/>
  <c r="D3768"/>
  <c r="C3769"/>
  <c r="D3769"/>
  <c r="C3770"/>
  <c r="D3770"/>
  <c r="C3771"/>
  <c r="D3771"/>
  <c r="C3772"/>
  <c r="D3772"/>
  <c r="C3773"/>
  <c r="D3773"/>
  <c r="C3774"/>
  <c r="D3774"/>
  <c r="C3775"/>
  <c r="D3775"/>
  <c r="C3776"/>
  <c r="D3776"/>
  <c r="C3777"/>
  <c r="D3777"/>
  <c r="C3778"/>
  <c r="D3778"/>
  <c r="C3779"/>
  <c r="D3779"/>
  <c r="C3780"/>
  <c r="D3780"/>
  <c r="C3781"/>
  <c r="D3781"/>
  <c r="C3782"/>
  <c r="D3782"/>
  <c r="C3783"/>
  <c r="D3783"/>
  <c r="C3784"/>
  <c r="D3784"/>
  <c r="C3785"/>
  <c r="D3785"/>
  <c r="C3786"/>
  <c r="D3786"/>
  <c r="C3787"/>
  <c r="D3787"/>
  <c r="C3788"/>
  <c r="D3788"/>
  <c r="C3789"/>
  <c r="D3789"/>
  <c r="C3790"/>
  <c r="D3790"/>
  <c r="C3791"/>
  <c r="D3791"/>
  <c r="C3792"/>
  <c r="D3792"/>
  <c r="C3793"/>
  <c r="D3793"/>
  <c r="C3794"/>
  <c r="D3794"/>
  <c r="C3795"/>
  <c r="D3795"/>
  <c r="C3796"/>
  <c r="D3796"/>
  <c r="C3797"/>
  <c r="D3797"/>
  <c r="C3798"/>
  <c r="D3798"/>
  <c r="C3799"/>
  <c r="D3799"/>
  <c r="C3800"/>
  <c r="D3800"/>
  <c r="C3801"/>
  <c r="D3801"/>
  <c r="C3802"/>
  <c r="D3802"/>
  <c r="C3803"/>
  <c r="D3803"/>
  <c r="C3804"/>
  <c r="D3804"/>
  <c r="C3805"/>
  <c r="D3805"/>
  <c r="C3806"/>
  <c r="D3806"/>
  <c r="C3807"/>
  <c r="D3807"/>
  <c r="C3808"/>
  <c r="D3808"/>
  <c r="C3809"/>
  <c r="D3809"/>
  <c r="C3810"/>
  <c r="D3810"/>
  <c r="C3811"/>
  <c r="D3811"/>
  <c r="C3812"/>
  <c r="D3812"/>
  <c r="C3813"/>
  <c r="D3813"/>
  <c r="C3814"/>
  <c r="D3814"/>
  <c r="C3815"/>
  <c r="D3815"/>
  <c r="C3816"/>
  <c r="D3816"/>
  <c r="C3817"/>
  <c r="D3817"/>
  <c r="C3818"/>
  <c r="D3818"/>
  <c r="C3819"/>
  <c r="D3819"/>
  <c r="C3820"/>
  <c r="D3820"/>
  <c r="C3821"/>
  <c r="D3821"/>
  <c r="C3822"/>
  <c r="D3822"/>
  <c r="C3823"/>
  <c r="D3823"/>
  <c r="C3824"/>
  <c r="D3824"/>
  <c r="C3825"/>
  <c r="D3825"/>
  <c r="C3826"/>
  <c r="D3826"/>
  <c r="C3827"/>
  <c r="D3827"/>
  <c r="C3828"/>
  <c r="D3828"/>
  <c r="C3829"/>
  <c r="D3829"/>
  <c r="C3830"/>
  <c r="D3830"/>
  <c r="C3831"/>
  <c r="D3831"/>
  <c r="C3832"/>
  <c r="D3832"/>
  <c r="C3833"/>
  <c r="D3833"/>
  <c r="C3834"/>
  <c r="D3834"/>
  <c r="C3835"/>
  <c r="D3835"/>
  <c r="C3836"/>
  <c r="D3836"/>
  <c r="C3837"/>
  <c r="D3837"/>
  <c r="C3838"/>
  <c r="D3838"/>
  <c r="C3839"/>
  <c r="D3839"/>
  <c r="C3840"/>
  <c r="D3840"/>
  <c r="C3841"/>
  <c r="D3841"/>
  <c r="C3842"/>
  <c r="D3842"/>
  <c r="C3843"/>
  <c r="D3843"/>
  <c r="C3844"/>
  <c r="D3844"/>
  <c r="C3845"/>
  <c r="D3845"/>
  <c r="C3846"/>
  <c r="D3846"/>
  <c r="C3847"/>
  <c r="D3847"/>
  <c r="C3848"/>
  <c r="D3848"/>
  <c r="C3849"/>
  <c r="D3849"/>
  <c r="C3850"/>
  <c r="D3850"/>
  <c r="C3851"/>
  <c r="D3851"/>
  <c r="C3852"/>
  <c r="D3852"/>
  <c r="C3853"/>
  <c r="D3853"/>
  <c r="C3854"/>
  <c r="D3854"/>
  <c r="C3855"/>
  <c r="D3855"/>
  <c r="C3856"/>
  <c r="D3856"/>
  <c r="C3857"/>
  <c r="D3857"/>
  <c r="C3858"/>
  <c r="D3858"/>
  <c r="C3859"/>
  <c r="D3859"/>
  <c r="C3860"/>
  <c r="D3860"/>
  <c r="C3861"/>
  <c r="D3861"/>
  <c r="C3862"/>
  <c r="D3862"/>
  <c r="C3863"/>
  <c r="D3863"/>
  <c r="C3864"/>
  <c r="D3864"/>
  <c r="C3865"/>
  <c r="D3865"/>
  <c r="C3866"/>
  <c r="D3866"/>
  <c r="C3867"/>
  <c r="D3867"/>
  <c r="C3868"/>
  <c r="D3868"/>
  <c r="C3869"/>
  <c r="D3869"/>
  <c r="C3870"/>
  <c r="D3870"/>
  <c r="C3871"/>
  <c r="D3871"/>
  <c r="C3872"/>
  <c r="D3872"/>
  <c r="C3873"/>
  <c r="D3873"/>
  <c r="C3874"/>
  <c r="D3874"/>
  <c r="C3875"/>
  <c r="D3875"/>
  <c r="C3876"/>
  <c r="D3876"/>
  <c r="C3877"/>
  <c r="D3877"/>
  <c r="C3878"/>
  <c r="D3878"/>
  <c r="C3879"/>
  <c r="D3879"/>
  <c r="C3880"/>
  <c r="D3880"/>
  <c r="C3881"/>
  <c r="D3881"/>
  <c r="C3882"/>
  <c r="D3882"/>
  <c r="C3883"/>
  <c r="D3883"/>
  <c r="C3884"/>
  <c r="D3884"/>
  <c r="C3885"/>
  <c r="D3885"/>
  <c r="C3886"/>
  <c r="D3886"/>
  <c r="C3887"/>
  <c r="D3887"/>
  <c r="C3888"/>
  <c r="D3888"/>
  <c r="C3889"/>
  <c r="D3889"/>
  <c r="C3890"/>
  <c r="D3890"/>
  <c r="C3891"/>
  <c r="D3891"/>
  <c r="C3892"/>
  <c r="D3892"/>
  <c r="C3893"/>
  <c r="D3893"/>
  <c r="C3894"/>
  <c r="D3894"/>
  <c r="C3895"/>
  <c r="D3895"/>
  <c r="C3896"/>
  <c r="D3896"/>
  <c r="C3897"/>
  <c r="D3897"/>
  <c r="C3898"/>
  <c r="D3898"/>
  <c r="C3899"/>
  <c r="D3899"/>
  <c r="C3900"/>
  <c r="D3900"/>
  <c r="C3901"/>
  <c r="D3901"/>
  <c r="C3902"/>
  <c r="D3902"/>
  <c r="C3903"/>
  <c r="D3903"/>
  <c r="C3904"/>
  <c r="D3904"/>
  <c r="C3905"/>
  <c r="D3905"/>
  <c r="C3906"/>
  <c r="D3906"/>
  <c r="C3907"/>
  <c r="D3907"/>
  <c r="C3908"/>
  <c r="D3908"/>
  <c r="C3909"/>
  <c r="D3909"/>
  <c r="C3910"/>
  <c r="D3910"/>
  <c r="C3911"/>
  <c r="D3911"/>
  <c r="C3912"/>
  <c r="D3912"/>
  <c r="C3913"/>
  <c r="D3913"/>
  <c r="C3914"/>
  <c r="D3914"/>
  <c r="C3915"/>
  <c r="D3915"/>
  <c r="C3916"/>
  <c r="D3916"/>
  <c r="C3917"/>
  <c r="D3917"/>
  <c r="C3918"/>
  <c r="D3918"/>
  <c r="C3919"/>
  <c r="D3919"/>
  <c r="C3920"/>
  <c r="D3920"/>
  <c r="C3921"/>
  <c r="D3921"/>
  <c r="C3922"/>
  <c r="D3922"/>
  <c r="C3923"/>
  <c r="D3923"/>
  <c r="C3924"/>
  <c r="D3924"/>
  <c r="C3925"/>
  <c r="D3925"/>
  <c r="C3926"/>
  <c r="D3926"/>
  <c r="C3927"/>
  <c r="D3927"/>
  <c r="C3928"/>
  <c r="D3928"/>
  <c r="C3929"/>
  <c r="D3929"/>
  <c r="C3930"/>
  <c r="D3930"/>
  <c r="C3931"/>
  <c r="D3931"/>
  <c r="C3932"/>
  <c r="D3932"/>
  <c r="C3933"/>
  <c r="D3933"/>
  <c r="C3934"/>
  <c r="D3934"/>
  <c r="C3935"/>
  <c r="D3935"/>
  <c r="C3936"/>
  <c r="D3936"/>
  <c r="C3937"/>
  <c r="D3937"/>
  <c r="C3938"/>
  <c r="D3938"/>
  <c r="C3939"/>
  <c r="D3939"/>
  <c r="C3940"/>
  <c r="D3940"/>
  <c r="C3941"/>
  <c r="D3941"/>
  <c r="C3942"/>
  <c r="D3942"/>
  <c r="C3943"/>
  <c r="D3943"/>
  <c r="C3944"/>
  <c r="D3944"/>
  <c r="C3945"/>
  <c r="D3945"/>
  <c r="C3946"/>
  <c r="D3946"/>
  <c r="C3947"/>
  <c r="D3947"/>
  <c r="C3948"/>
  <c r="D3948"/>
  <c r="C3949"/>
  <c r="D3949"/>
  <c r="C3950"/>
  <c r="D3950"/>
  <c r="C3951"/>
  <c r="D3951"/>
  <c r="C3952"/>
  <c r="D3952"/>
  <c r="C3953"/>
  <c r="D3953"/>
  <c r="C3954"/>
  <c r="D3954"/>
  <c r="C3955"/>
  <c r="D3955"/>
  <c r="C3956"/>
  <c r="D3956"/>
  <c r="C3957"/>
  <c r="D3957"/>
  <c r="C3958"/>
  <c r="D3958"/>
  <c r="C3959"/>
  <c r="D3959"/>
  <c r="C3960"/>
  <c r="D3960"/>
  <c r="C3961"/>
  <c r="D3961"/>
  <c r="C3962"/>
  <c r="D3962"/>
  <c r="C3963"/>
  <c r="D3963"/>
  <c r="C3964"/>
  <c r="D3964"/>
  <c r="C3965"/>
  <c r="D3965"/>
  <c r="C3966"/>
  <c r="D3966"/>
  <c r="C3967"/>
  <c r="D3967"/>
  <c r="C3968"/>
  <c r="D3968"/>
  <c r="C3969"/>
  <c r="D3969"/>
  <c r="C3970"/>
  <c r="D3970"/>
  <c r="C3971"/>
  <c r="D3971"/>
  <c r="C3972"/>
  <c r="D3972"/>
  <c r="C3973"/>
  <c r="D3973"/>
  <c r="C3974"/>
  <c r="D3974"/>
  <c r="C3975"/>
  <c r="D3975"/>
  <c r="C3976"/>
  <c r="D3976"/>
  <c r="C3977"/>
  <c r="D3977"/>
  <c r="C3978"/>
  <c r="D3978"/>
  <c r="C3979"/>
  <c r="D3979"/>
  <c r="C3980"/>
  <c r="D3980"/>
  <c r="C3981"/>
  <c r="D3981"/>
  <c r="C3982"/>
  <c r="D3982"/>
  <c r="C3983"/>
  <c r="D3983"/>
  <c r="C3984"/>
  <c r="D3984"/>
  <c r="C3985"/>
  <c r="D3985"/>
  <c r="C3986"/>
  <c r="D3986"/>
  <c r="C3987"/>
  <c r="D3987"/>
  <c r="C3988"/>
  <c r="D3988"/>
  <c r="C3989"/>
  <c r="D3989"/>
  <c r="C3990"/>
  <c r="D3990"/>
  <c r="C3991"/>
  <c r="D3991"/>
  <c r="C3992"/>
  <c r="D3992"/>
  <c r="C3993"/>
  <c r="D3993"/>
  <c r="C3994"/>
  <c r="D3994"/>
  <c r="C3995"/>
  <c r="D3995"/>
  <c r="C3996"/>
  <c r="D3996"/>
  <c r="C3997"/>
  <c r="D3997"/>
  <c r="C3998"/>
  <c r="D3998"/>
  <c r="C3999"/>
  <c r="D3999"/>
  <c r="C4000"/>
  <c r="D4000"/>
  <c r="C4001"/>
  <c r="D4001"/>
  <c r="C4002"/>
  <c r="D4002"/>
  <c r="C4003"/>
  <c r="D4003"/>
  <c r="C4004"/>
  <c r="D4004"/>
  <c r="C4005"/>
  <c r="D4005"/>
  <c r="C4006"/>
  <c r="D4006"/>
  <c r="C4007"/>
  <c r="D4007"/>
  <c r="C4008"/>
  <c r="D4008"/>
  <c r="C4009"/>
  <c r="D4009"/>
  <c r="C4010"/>
  <c r="D4010"/>
  <c r="C4011"/>
  <c r="D4011"/>
  <c r="C4012"/>
  <c r="D4012"/>
  <c r="C4013"/>
  <c r="D4013"/>
  <c r="C4014"/>
  <c r="D4014"/>
  <c r="C4015"/>
  <c r="D4015"/>
  <c r="C4016"/>
  <c r="D4016"/>
  <c r="C4017"/>
  <c r="D4017"/>
  <c r="C4018"/>
  <c r="D4018"/>
  <c r="C4019"/>
  <c r="D4019"/>
  <c r="C4020"/>
  <c r="D4020"/>
  <c r="C4021"/>
  <c r="D4021"/>
  <c r="C4022"/>
  <c r="D4022"/>
  <c r="C4023"/>
  <c r="D4023"/>
  <c r="C4024"/>
  <c r="D4024"/>
  <c r="C4025"/>
  <c r="D4025"/>
  <c r="C4026"/>
  <c r="D4026"/>
  <c r="C4027"/>
  <c r="D4027"/>
  <c r="C4028"/>
  <c r="D4028"/>
  <c r="C4029"/>
  <c r="D4029"/>
  <c r="C4030"/>
  <c r="D4030"/>
  <c r="C4031"/>
  <c r="D4031"/>
  <c r="C4032"/>
  <c r="D4032"/>
  <c r="C4033"/>
  <c r="D4033"/>
  <c r="C4034"/>
  <c r="D4034"/>
  <c r="C4035"/>
  <c r="D4035"/>
  <c r="C4036"/>
  <c r="D4036"/>
  <c r="C4037"/>
  <c r="D4037"/>
  <c r="C4038"/>
  <c r="D4038"/>
  <c r="C4039"/>
  <c r="D4039"/>
  <c r="C4040"/>
  <c r="D4040"/>
  <c r="C4041"/>
  <c r="D4041"/>
  <c r="C4042"/>
  <c r="D4042"/>
  <c r="C4043"/>
  <c r="D4043"/>
  <c r="C4044"/>
  <c r="D4044"/>
  <c r="C4045"/>
  <c r="D4045"/>
  <c r="C4046"/>
  <c r="D4046"/>
  <c r="C4047"/>
  <c r="D4047"/>
  <c r="C4048"/>
  <c r="D4048"/>
  <c r="C4049"/>
  <c r="D4049"/>
  <c r="C4050"/>
  <c r="D4050"/>
  <c r="C4051"/>
  <c r="D4051"/>
  <c r="C4052"/>
  <c r="D4052"/>
  <c r="C4053"/>
  <c r="D4053"/>
  <c r="C4054"/>
  <c r="D4054"/>
  <c r="C4055"/>
  <c r="D4055"/>
  <c r="C4056"/>
  <c r="D4056"/>
  <c r="C4057"/>
  <c r="D4057"/>
  <c r="C4058"/>
  <c r="D4058"/>
  <c r="C4059"/>
  <c r="D4059"/>
  <c r="C4060"/>
  <c r="D4060"/>
  <c r="C4061"/>
  <c r="D4061"/>
  <c r="C4062"/>
  <c r="D4062"/>
  <c r="C4063"/>
  <c r="D4063"/>
  <c r="C4064"/>
  <c r="D4064"/>
  <c r="C4065"/>
  <c r="D4065"/>
  <c r="C4066"/>
  <c r="D4066"/>
  <c r="C4067"/>
  <c r="D4067"/>
  <c r="C4068"/>
  <c r="D4068"/>
  <c r="C4069"/>
  <c r="D4069"/>
  <c r="C4070"/>
  <c r="D4070"/>
  <c r="C4071"/>
  <c r="D4071"/>
  <c r="C4072"/>
  <c r="D4072"/>
  <c r="C4073"/>
  <c r="D4073"/>
  <c r="C4074"/>
  <c r="D4074"/>
  <c r="C4075"/>
  <c r="D4075"/>
  <c r="C4076"/>
  <c r="D4076"/>
  <c r="C4077"/>
  <c r="D4077"/>
  <c r="C4078"/>
  <c r="D4078"/>
  <c r="C4079"/>
  <c r="D4079"/>
  <c r="C4080"/>
  <c r="D4080"/>
  <c r="C4081"/>
  <c r="D4081"/>
  <c r="C4082"/>
  <c r="D4082"/>
  <c r="C4083"/>
  <c r="D4083"/>
  <c r="C4084"/>
  <c r="D4084"/>
  <c r="C4085"/>
  <c r="D4085"/>
  <c r="C4086"/>
  <c r="D4086"/>
  <c r="C4087"/>
  <c r="D4087"/>
  <c r="C4088"/>
  <c r="D4088"/>
  <c r="C4089"/>
  <c r="D4089"/>
  <c r="C4090"/>
  <c r="D4090"/>
  <c r="C4091"/>
  <c r="D4091"/>
  <c r="C4092"/>
  <c r="D4092"/>
  <c r="C4093"/>
  <c r="D4093"/>
  <c r="C4094"/>
  <c r="D4094"/>
  <c r="C4095"/>
  <c r="D4095"/>
  <c r="C4096"/>
  <c r="D4096"/>
  <c r="C4097"/>
  <c r="D4097"/>
  <c r="C4098"/>
  <c r="D4098"/>
  <c r="C4099"/>
  <c r="D4099"/>
  <c r="C4100"/>
  <c r="D4100"/>
  <c r="C4101"/>
  <c r="D4101"/>
  <c r="C4102"/>
  <c r="D4102"/>
  <c r="C4103"/>
  <c r="D4103"/>
  <c r="C4104"/>
  <c r="D4104"/>
  <c r="C4105"/>
  <c r="D4105"/>
  <c r="C4106"/>
  <c r="D4106"/>
  <c r="C4107"/>
  <c r="D4107"/>
  <c r="C4108"/>
  <c r="D4108"/>
  <c r="C4109"/>
  <c r="D4109"/>
  <c r="C4110"/>
  <c r="D4110"/>
  <c r="C4111"/>
  <c r="D4111"/>
  <c r="C4112"/>
  <c r="D4112"/>
  <c r="C4113"/>
  <c r="D4113"/>
  <c r="C4114"/>
  <c r="D4114"/>
  <c r="C4115"/>
  <c r="D4115"/>
  <c r="C4116"/>
  <c r="D4116"/>
  <c r="C4117"/>
  <c r="D4117"/>
  <c r="C4118"/>
  <c r="D4118"/>
  <c r="C4119"/>
  <c r="D4119"/>
  <c r="C4120"/>
  <c r="D4120"/>
  <c r="C4121"/>
  <c r="D4121"/>
  <c r="C4122"/>
  <c r="D4122"/>
  <c r="C4123"/>
  <c r="D4123"/>
  <c r="C4124"/>
  <c r="D4124"/>
  <c r="C4125"/>
  <c r="D4125"/>
  <c r="C4126"/>
  <c r="D4126"/>
  <c r="C4127"/>
  <c r="D4127"/>
  <c r="C4128"/>
  <c r="D4128"/>
  <c r="C4129"/>
  <c r="D4129"/>
  <c r="C4130"/>
  <c r="D4130"/>
  <c r="C4131"/>
  <c r="D4131"/>
  <c r="C4132"/>
  <c r="D4132"/>
  <c r="C4133"/>
  <c r="D4133"/>
  <c r="C4134"/>
  <c r="D4134"/>
  <c r="C4135"/>
  <c r="D4135"/>
  <c r="C4136"/>
  <c r="D4136"/>
  <c r="C4137"/>
  <c r="D4137"/>
  <c r="C4138"/>
  <c r="D4138"/>
  <c r="C4139"/>
  <c r="D4139"/>
  <c r="C4140"/>
  <c r="D4140"/>
  <c r="C4141"/>
  <c r="D4141"/>
  <c r="C4142"/>
  <c r="D4142"/>
  <c r="C4143"/>
  <c r="D4143"/>
  <c r="C4144"/>
  <c r="D4144"/>
  <c r="C4145"/>
  <c r="D4145"/>
  <c r="C4146"/>
  <c r="D4146"/>
  <c r="C4147"/>
  <c r="D4147"/>
  <c r="C4148"/>
  <c r="D4148"/>
  <c r="C4149"/>
  <c r="D4149"/>
  <c r="C4150"/>
  <c r="D4150"/>
  <c r="C4151"/>
  <c r="D4151"/>
  <c r="C4152"/>
  <c r="D4152"/>
  <c r="C4153"/>
  <c r="D4153"/>
  <c r="C4154"/>
  <c r="D4154"/>
  <c r="C4155"/>
  <c r="D4155"/>
  <c r="C4156"/>
  <c r="D4156"/>
  <c r="C4157"/>
  <c r="D4157"/>
  <c r="C4158"/>
  <c r="D4158"/>
  <c r="C4159"/>
  <c r="D4159"/>
  <c r="C4160"/>
  <c r="D4160"/>
  <c r="C4161"/>
  <c r="D4161"/>
  <c r="C4162"/>
  <c r="D4162"/>
  <c r="C4163"/>
  <c r="D4163"/>
  <c r="C4164"/>
  <c r="D4164"/>
  <c r="C4165"/>
  <c r="D4165"/>
  <c r="C4166"/>
  <c r="D4166"/>
  <c r="C4167"/>
  <c r="D4167"/>
  <c r="C4168"/>
  <c r="D4168"/>
  <c r="C4169"/>
  <c r="D4169"/>
  <c r="C4170"/>
  <c r="D4170"/>
  <c r="C4171"/>
  <c r="D4171"/>
  <c r="C4172"/>
  <c r="D4172"/>
  <c r="C4173"/>
  <c r="D4173"/>
  <c r="C4174"/>
  <c r="D4174"/>
  <c r="C4175"/>
  <c r="D4175"/>
  <c r="C4176"/>
  <c r="D4176"/>
  <c r="C4177"/>
  <c r="D4177"/>
  <c r="C4178"/>
  <c r="D4178"/>
  <c r="C4179"/>
  <c r="D4179"/>
  <c r="C4180"/>
  <c r="D4180"/>
  <c r="C4181"/>
  <c r="D4181"/>
  <c r="C4182"/>
  <c r="D4182"/>
  <c r="C4183"/>
  <c r="D4183"/>
  <c r="C4184"/>
  <c r="D4184"/>
  <c r="C4185"/>
  <c r="D4185"/>
  <c r="C4186"/>
  <c r="D4186"/>
  <c r="C4187"/>
  <c r="D4187"/>
  <c r="C4188"/>
  <c r="D4188"/>
  <c r="C4189"/>
  <c r="D4189"/>
  <c r="C4190"/>
  <c r="D4190"/>
  <c r="C4191"/>
  <c r="D4191"/>
  <c r="C4192"/>
  <c r="D4192"/>
  <c r="C4193"/>
  <c r="D4193"/>
  <c r="C4194"/>
  <c r="D4194"/>
  <c r="C4195"/>
  <c r="D4195"/>
  <c r="C4196"/>
  <c r="D4196"/>
  <c r="C4197"/>
  <c r="D4197"/>
  <c r="C4198"/>
  <c r="D4198"/>
  <c r="C4199"/>
  <c r="D4199"/>
  <c r="C4200"/>
  <c r="D4200"/>
  <c r="C4201"/>
  <c r="D4201"/>
  <c r="C4202"/>
  <c r="D4202"/>
  <c r="C4203"/>
  <c r="D4203"/>
  <c r="C4204"/>
  <c r="D4204"/>
  <c r="C4205"/>
  <c r="D4205"/>
  <c r="C4206"/>
  <c r="D4206"/>
  <c r="C4207"/>
  <c r="D4207"/>
  <c r="C4208"/>
  <c r="D4208"/>
  <c r="C4209"/>
  <c r="D4209"/>
  <c r="C4210"/>
  <c r="D4210"/>
  <c r="C4211"/>
  <c r="D4211"/>
  <c r="C4212"/>
  <c r="D4212"/>
  <c r="C4213"/>
  <c r="D4213"/>
  <c r="C4214"/>
  <c r="D4214"/>
  <c r="C4215"/>
  <c r="D4215"/>
  <c r="C4216"/>
  <c r="D4216"/>
  <c r="C4217"/>
  <c r="D4217"/>
  <c r="C4218"/>
  <c r="D4218"/>
  <c r="C4219"/>
  <c r="D4219"/>
  <c r="C4220"/>
  <c r="D4220"/>
  <c r="C4221"/>
  <c r="D4221"/>
  <c r="C4222"/>
  <c r="D4222"/>
  <c r="C4223"/>
  <c r="D4223"/>
  <c r="C4224"/>
  <c r="D4224"/>
  <c r="C4225"/>
  <c r="D4225"/>
  <c r="C4226"/>
  <c r="D4226"/>
  <c r="C4227"/>
  <c r="D4227"/>
  <c r="C4228"/>
  <c r="D4228"/>
  <c r="C4229"/>
  <c r="D4229"/>
  <c r="C4230"/>
  <c r="D4230"/>
  <c r="C4231"/>
  <c r="D4231"/>
  <c r="C4232"/>
  <c r="D4232"/>
  <c r="C4233"/>
  <c r="D4233"/>
  <c r="C4234"/>
  <c r="D4234"/>
  <c r="C4235"/>
  <c r="D4235"/>
  <c r="C4236"/>
  <c r="D4236"/>
  <c r="C4237"/>
  <c r="D4237"/>
  <c r="C4238"/>
  <c r="D4238"/>
  <c r="C4239"/>
  <c r="D4239"/>
  <c r="C4240"/>
  <c r="D4240"/>
  <c r="C4241"/>
  <c r="D4241"/>
  <c r="C4242"/>
  <c r="D4242"/>
  <c r="C4243"/>
  <c r="D4243"/>
  <c r="C4244"/>
  <c r="D4244"/>
  <c r="C4245"/>
  <c r="D4245"/>
  <c r="C4246"/>
  <c r="D4246"/>
  <c r="C4247"/>
  <c r="D4247"/>
  <c r="C4248"/>
  <c r="D4248"/>
  <c r="C4249"/>
  <c r="D4249"/>
  <c r="C4250"/>
  <c r="D4250"/>
  <c r="C4251"/>
  <c r="D4251"/>
  <c r="C4252"/>
  <c r="D4252"/>
  <c r="C4253"/>
  <c r="D4253"/>
  <c r="C4254"/>
  <c r="D4254"/>
  <c r="C4255"/>
  <c r="D4255"/>
  <c r="C4256"/>
  <c r="D4256"/>
  <c r="C4257"/>
  <c r="D4257"/>
  <c r="C4258"/>
  <c r="D4258"/>
  <c r="C4259"/>
  <c r="D4259"/>
  <c r="C4260"/>
  <c r="D4260"/>
  <c r="C4261"/>
  <c r="D4261"/>
  <c r="C4262"/>
  <c r="D4262"/>
  <c r="C4263"/>
  <c r="D4263"/>
  <c r="C4264"/>
  <c r="D4264"/>
  <c r="C4265"/>
  <c r="D4265"/>
  <c r="C4266"/>
  <c r="D4266"/>
  <c r="C4267"/>
  <c r="D4267"/>
  <c r="C4268"/>
  <c r="D4268"/>
  <c r="C4269"/>
  <c r="D4269"/>
  <c r="C4270"/>
  <c r="D4270"/>
  <c r="C4271"/>
  <c r="D4271"/>
  <c r="C4272"/>
  <c r="D4272"/>
  <c r="C4273"/>
  <c r="D4273"/>
  <c r="C4274"/>
  <c r="D4274"/>
  <c r="C4275"/>
  <c r="D4275"/>
  <c r="C4276"/>
  <c r="D4276"/>
  <c r="C4277"/>
  <c r="D4277"/>
  <c r="C4278"/>
  <c r="D4278"/>
  <c r="C4279"/>
  <c r="D4279"/>
  <c r="C4280"/>
  <c r="D4280"/>
  <c r="C4281"/>
  <c r="D4281"/>
  <c r="C4282"/>
  <c r="D4282"/>
  <c r="C4283"/>
  <c r="D4283"/>
  <c r="C4284"/>
  <c r="D4284"/>
  <c r="C4285"/>
  <c r="D4285"/>
  <c r="C4286"/>
  <c r="D4286"/>
  <c r="C4287"/>
  <c r="D4287"/>
  <c r="C4288"/>
  <c r="D4288"/>
  <c r="C4289"/>
  <c r="D4289"/>
  <c r="C4290"/>
  <c r="D4290"/>
  <c r="C4291"/>
  <c r="D4291"/>
  <c r="C4292"/>
  <c r="D4292"/>
  <c r="C4293"/>
  <c r="D4293"/>
  <c r="C4294"/>
  <c r="D4294"/>
  <c r="C4295"/>
  <c r="D4295"/>
  <c r="C4296"/>
  <c r="D4296"/>
  <c r="C4297"/>
  <c r="D4297"/>
  <c r="C4298"/>
  <c r="D4298"/>
  <c r="C4299"/>
  <c r="D4299"/>
  <c r="C4300"/>
  <c r="D4300"/>
  <c r="C4301"/>
  <c r="D4301"/>
  <c r="C4302"/>
  <c r="D4302"/>
  <c r="C4303"/>
  <c r="D4303"/>
  <c r="C4304"/>
  <c r="D4304"/>
  <c r="C4305"/>
  <c r="D4305"/>
  <c r="C4306"/>
  <c r="D4306"/>
  <c r="C4307"/>
  <c r="D4307"/>
  <c r="C4308"/>
  <c r="D4308"/>
  <c r="C4309"/>
  <c r="D4309"/>
  <c r="C4310"/>
  <c r="D4310"/>
  <c r="C4311"/>
  <c r="D4311"/>
  <c r="C4312"/>
  <c r="D4312"/>
  <c r="C4313"/>
  <c r="D4313"/>
  <c r="C4314"/>
  <c r="D4314"/>
  <c r="C4315"/>
  <c r="D4315"/>
  <c r="C4316"/>
  <c r="D4316"/>
  <c r="C4317"/>
  <c r="D4317"/>
  <c r="C4318"/>
  <c r="D4318"/>
  <c r="C4319"/>
  <c r="D4319"/>
  <c r="C4320"/>
  <c r="D4320"/>
  <c r="C4321"/>
  <c r="D4321"/>
  <c r="C4322"/>
  <c r="D4322"/>
  <c r="C4323"/>
  <c r="D4323"/>
  <c r="C4324"/>
  <c r="D4324"/>
  <c r="C4325"/>
  <c r="D4325"/>
  <c r="C4326"/>
  <c r="D4326"/>
  <c r="C4327"/>
  <c r="D4327"/>
  <c r="C4328"/>
  <c r="D4328"/>
  <c r="C4329"/>
  <c r="D4329"/>
  <c r="C4330"/>
  <c r="D4330"/>
  <c r="C4331"/>
  <c r="D4331"/>
  <c r="C4332"/>
  <c r="D4332"/>
  <c r="C4333"/>
  <c r="D4333"/>
  <c r="C4334"/>
  <c r="D4334"/>
  <c r="C4335"/>
  <c r="D4335"/>
  <c r="C4336"/>
  <c r="D4336"/>
  <c r="C4337"/>
  <c r="D4337"/>
  <c r="C4338"/>
  <c r="D4338"/>
  <c r="C4339"/>
  <c r="D4339"/>
  <c r="C4340"/>
  <c r="D4340"/>
  <c r="C4341"/>
  <c r="D4341"/>
  <c r="C4342"/>
  <c r="D4342"/>
  <c r="C4343"/>
  <c r="D4343"/>
  <c r="C4344"/>
  <c r="D4344"/>
  <c r="C4345"/>
  <c r="D4345"/>
  <c r="C4346"/>
  <c r="D4346"/>
  <c r="C4347"/>
  <c r="D4347"/>
  <c r="C4348"/>
  <c r="D4348"/>
  <c r="C4349"/>
  <c r="D4349"/>
  <c r="C4350"/>
  <c r="D4350"/>
  <c r="C4351"/>
  <c r="D4351"/>
  <c r="C4352"/>
  <c r="D4352"/>
  <c r="C4353"/>
  <c r="D4353"/>
  <c r="C4354"/>
  <c r="D4354"/>
  <c r="C4355"/>
  <c r="D4355"/>
  <c r="C4356"/>
  <c r="D4356"/>
  <c r="C4357"/>
  <c r="D4357"/>
  <c r="C4358"/>
  <c r="D4358"/>
  <c r="C4359"/>
  <c r="D4359"/>
  <c r="C4360"/>
  <c r="D4360"/>
  <c r="C4361"/>
  <c r="D4361"/>
  <c r="C4362"/>
  <c r="D4362"/>
  <c r="C4363"/>
  <c r="D4363"/>
  <c r="C4364"/>
  <c r="D4364"/>
  <c r="C4365"/>
  <c r="D4365"/>
  <c r="C4366"/>
  <c r="D4366"/>
  <c r="C4367"/>
  <c r="D4367"/>
  <c r="C4368"/>
  <c r="D4368"/>
  <c r="C4369"/>
  <c r="D4369"/>
  <c r="C4370"/>
  <c r="D4370"/>
  <c r="C4371"/>
  <c r="D4371"/>
  <c r="C4372"/>
  <c r="D4372"/>
  <c r="C4373"/>
  <c r="D4373"/>
  <c r="C4374"/>
  <c r="D4374"/>
  <c r="C4375"/>
  <c r="D4375"/>
  <c r="C4376"/>
  <c r="D4376"/>
  <c r="C4377"/>
  <c r="D4377"/>
  <c r="C4378"/>
  <c r="D4378"/>
  <c r="C4379"/>
  <c r="D4379"/>
  <c r="C4380"/>
  <c r="D4380"/>
  <c r="C4381"/>
  <c r="D4381"/>
  <c r="C4382"/>
  <c r="D4382"/>
  <c r="C4383"/>
  <c r="D4383"/>
  <c r="C4384"/>
  <c r="D4384"/>
  <c r="C4385"/>
  <c r="D4385"/>
  <c r="C4386"/>
  <c r="D4386"/>
  <c r="C4387"/>
  <c r="D4387"/>
  <c r="C4388"/>
  <c r="D4388"/>
  <c r="C4389"/>
  <c r="D4389"/>
  <c r="C4390"/>
  <c r="D4390"/>
  <c r="C4391"/>
  <c r="D4391"/>
  <c r="C4392"/>
  <c r="D4392"/>
  <c r="C4393"/>
  <c r="D4393"/>
  <c r="C4394"/>
  <c r="D4394"/>
  <c r="C4395"/>
  <c r="D4395"/>
  <c r="C4396"/>
  <c r="D4396"/>
  <c r="C4397"/>
  <c r="D4397"/>
  <c r="C4398"/>
  <c r="D4398"/>
  <c r="C4399"/>
  <c r="D4399"/>
  <c r="C4400"/>
  <c r="D4400"/>
  <c r="C4401"/>
  <c r="D4401"/>
  <c r="C4402"/>
  <c r="D4402"/>
  <c r="C4403"/>
  <c r="D4403"/>
  <c r="C4404"/>
  <c r="D4404"/>
  <c r="C4405"/>
  <c r="D4405"/>
  <c r="C4406"/>
  <c r="D4406"/>
  <c r="C4407"/>
  <c r="D4407"/>
  <c r="C4408"/>
  <c r="D4408"/>
  <c r="C4409"/>
  <c r="D4409"/>
  <c r="C4410"/>
  <c r="D4410"/>
  <c r="C4411"/>
  <c r="D4411"/>
  <c r="C4412"/>
  <c r="D4412"/>
  <c r="C4413"/>
  <c r="D4413"/>
  <c r="C4414"/>
  <c r="D4414"/>
  <c r="C4415"/>
  <c r="D4415"/>
  <c r="C4416"/>
  <c r="D4416"/>
  <c r="C4417"/>
  <c r="D4417"/>
  <c r="C4418"/>
  <c r="D4418"/>
  <c r="C4419"/>
  <c r="D4419"/>
  <c r="C4420"/>
  <c r="D4420"/>
  <c r="C4421"/>
  <c r="D4421"/>
  <c r="C4422"/>
  <c r="D4422"/>
  <c r="C4423"/>
  <c r="D4423"/>
  <c r="C4424"/>
  <c r="D4424"/>
  <c r="C4425"/>
  <c r="D4425"/>
  <c r="C4426"/>
  <c r="D4426"/>
  <c r="C4427"/>
  <c r="D4427"/>
  <c r="C4428"/>
  <c r="D4428"/>
  <c r="C4429"/>
  <c r="D4429"/>
  <c r="C4430"/>
  <c r="D4430"/>
  <c r="C4431"/>
  <c r="D4431"/>
  <c r="C4432"/>
  <c r="D4432"/>
  <c r="C4433"/>
  <c r="D4433"/>
  <c r="C4434"/>
  <c r="D4434"/>
  <c r="C4435"/>
  <c r="D4435"/>
  <c r="C4436"/>
  <c r="D4436"/>
  <c r="C4437"/>
  <c r="D4437"/>
  <c r="C4438"/>
  <c r="D4438"/>
  <c r="C4439"/>
  <c r="D4439"/>
  <c r="C4440"/>
  <c r="D4440"/>
  <c r="C4441"/>
  <c r="D4441"/>
  <c r="C4442"/>
  <c r="D4442"/>
  <c r="C4443"/>
  <c r="D4443"/>
  <c r="C4444"/>
  <c r="D4444"/>
  <c r="C4445"/>
  <c r="D4445"/>
  <c r="C4446"/>
  <c r="D4446"/>
  <c r="C4447"/>
  <c r="D4447"/>
  <c r="C4448"/>
  <c r="D4448"/>
  <c r="C4449"/>
  <c r="D4449"/>
  <c r="C4450"/>
  <c r="D4450"/>
  <c r="C4451"/>
  <c r="D4451"/>
  <c r="C4452"/>
  <c r="D4452"/>
  <c r="C4453"/>
  <c r="D4453"/>
  <c r="C4454"/>
  <c r="D4454"/>
  <c r="C4455"/>
  <c r="D4455"/>
  <c r="C4456"/>
  <c r="D4456"/>
  <c r="C4457"/>
  <c r="D4457"/>
  <c r="C4458"/>
  <c r="D4458"/>
  <c r="C4459"/>
  <c r="D4459"/>
  <c r="C4460"/>
  <c r="D4460"/>
  <c r="C4461"/>
  <c r="D4461"/>
  <c r="C4462"/>
  <c r="D4462"/>
  <c r="C4463"/>
  <c r="D4463"/>
  <c r="C4464"/>
  <c r="D4464"/>
  <c r="C4465"/>
  <c r="D4465"/>
  <c r="C4466"/>
  <c r="D4466"/>
  <c r="C4467"/>
  <c r="D4467"/>
  <c r="C4468"/>
  <c r="D4468"/>
  <c r="C4469"/>
  <c r="D4469"/>
  <c r="C4470"/>
  <c r="D4470"/>
  <c r="C4471"/>
  <c r="D4471"/>
  <c r="C4472"/>
  <c r="D4472"/>
  <c r="C4473"/>
  <c r="D4473"/>
  <c r="C4474"/>
  <c r="D4474"/>
  <c r="C4475"/>
  <c r="D4475"/>
  <c r="C4476"/>
  <c r="D4476"/>
  <c r="C4477"/>
  <c r="D4477"/>
  <c r="C4478"/>
  <c r="D4478"/>
  <c r="C4479"/>
  <c r="D4479"/>
  <c r="C4480"/>
  <c r="D4480"/>
  <c r="C4481"/>
  <c r="D4481"/>
  <c r="C4482"/>
  <c r="D4482"/>
  <c r="C4483"/>
  <c r="D4483"/>
  <c r="C4484"/>
  <c r="D4484"/>
  <c r="C4485"/>
  <c r="D4485"/>
  <c r="C4486"/>
  <c r="D4486"/>
  <c r="C4487"/>
  <c r="D4487"/>
  <c r="C4488"/>
  <c r="D4488"/>
  <c r="C4489"/>
  <c r="D4489"/>
  <c r="C4490"/>
  <c r="D4490"/>
  <c r="C4491"/>
  <c r="D4491"/>
  <c r="C4492"/>
  <c r="D4492"/>
  <c r="C4493"/>
  <c r="D4493"/>
  <c r="C4494"/>
  <c r="D4494"/>
  <c r="C4495"/>
  <c r="D4495"/>
  <c r="C4496"/>
  <c r="D4496"/>
  <c r="C4497"/>
  <c r="D4497"/>
  <c r="C4498"/>
  <c r="D4498"/>
  <c r="C4499"/>
  <c r="D4499"/>
  <c r="C4500"/>
  <c r="D4500"/>
  <c r="C4501"/>
  <c r="D4501"/>
  <c r="C4502"/>
  <c r="D4502"/>
  <c r="C4503"/>
  <c r="D4503"/>
  <c r="C4504"/>
  <c r="D4504"/>
  <c r="C4505"/>
  <c r="D4505"/>
  <c r="C4506"/>
  <c r="D4506"/>
  <c r="C4507"/>
  <c r="D4507"/>
  <c r="C4508"/>
  <c r="D4508"/>
  <c r="C4509"/>
  <c r="D4509"/>
  <c r="C4510"/>
  <c r="D4510"/>
  <c r="C4511"/>
  <c r="D4511"/>
  <c r="C4512"/>
  <c r="D4512"/>
  <c r="C4513"/>
  <c r="D4513"/>
  <c r="C4514"/>
  <c r="D4514"/>
  <c r="C4515"/>
  <c r="D4515"/>
  <c r="C4516"/>
  <c r="D4516"/>
  <c r="C4517"/>
  <c r="D4517"/>
  <c r="C4518"/>
  <c r="D4518"/>
  <c r="C4519"/>
  <c r="D4519"/>
  <c r="C4520"/>
  <c r="D4520"/>
  <c r="C4521"/>
  <c r="D4521"/>
  <c r="C4522"/>
  <c r="D4522"/>
  <c r="C4523"/>
  <c r="D4523"/>
  <c r="C4524"/>
  <c r="D4524"/>
  <c r="C4525"/>
  <c r="D4525"/>
  <c r="C4526"/>
  <c r="D4526"/>
  <c r="C4527"/>
  <c r="D4527"/>
  <c r="C4528"/>
  <c r="D4528"/>
  <c r="C4529"/>
  <c r="D4529"/>
  <c r="C4530"/>
  <c r="D4530"/>
  <c r="C4531"/>
  <c r="D4531"/>
  <c r="C4532"/>
  <c r="D4532"/>
  <c r="C4533"/>
  <c r="D4533"/>
  <c r="C4534"/>
  <c r="D4534"/>
  <c r="C4535"/>
  <c r="D4535"/>
  <c r="C4536"/>
  <c r="D4536"/>
  <c r="C4537"/>
  <c r="D4537"/>
  <c r="C4538"/>
  <c r="D4538"/>
  <c r="C4539"/>
  <c r="D4539"/>
  <c r="C4540"/>
  <c r="D4540"/>
  <c r="C4541"/>
  <c r="D4541"/>
  <c r="C4542"/>
  <c r="D4542"/>
  <c r="C4543"/>
  <c r="D4543"/>
  <c r="C4544"/>
  <c r="D4544"/>
  <c r="C4545"/>
  <c r="D4545"/>
  <c r="C4546"/>
  <c r="D4546"/>
  <c r="C4547"/>
  <c r="D4547"/>
  <c r="C4548"/>
  <c r="D4548"/>
  <c r="C4549"/>
  <c r="D4549"/>
  <c r="C4550"/>
  <c r="D4550"/>
  <c r="C4551"/>
  <c r="D4551"/>
  <c r="C4552"/>
  <c r="D4552"/>
  <c r="C4553"/>
  <c r="D4553"/>
  <c r="C4554"/>
  <c r="D4554"/>
  <c r="C4555"/>
  <c r="D4555"/>
  <c r="C4556"/>
  <c r="D4556"/>
  <c r="C4557"/>
  <c r="D4557"/>
  <c r="C4558"/>
  <c r="D4558"/>
  <c r="C4559"/>
  <c r="D4559"/>
  <c r="C4560"/>
  <c r="D4560"/>
  <c r="C4561"/>
  <c r="D4561"/>
  <c r="C4562"/>
  <c r="D4562"/>
  <c r="C4563"/>
  <c r="D4563"/>
  <c r="C4564"/>
  <c r="D4564"/>
  <c r="C4565"/>
  <c r="D4565"/>
  <c r="C4566"/>
  <c r="D4566"/>
  <c r="C4567"/>
  <c r="D4567"/>
  <c r="C4568"/>
  <c r="D4568"/>
  <c r="C4569"/>
  <c r="D4569"/>
  <c r="C4570"/>
  <c r="D4570"/>
  <c r="C4571"/>
  <c r="D4571"/>
  <c r="C4572"/>
  <c r="D4572"/>
  <c r="C4573"/>
  <c r="D4573"/>
  <c r="C4574"/>
  <c r="D4574"/>
  <c r="C4575"/>
  <c r="D4575"/>
  <c r="C4576"/>
  <c r="D4576"/>
  <c r="C4577"/>
  <c r="D4577"/>
  <c r="C4578"/>
  <c r="D4578"/>
  <c r="C4579"/>
  <c r="D4579"/>
  <c r="C4580"/>
  <c r="D4580"/>
  <c r="C4581"/>
  <c r="D4581"/>
  <c r="C4582"/>
  <c r="D4582"/>
  <c r="C4583"/>
  <c r="D4583"/>
  <c r="C4584"/>
  <c r="D4584"/>
  <c r="C4585"/>
  <c r="D4585"/>
  <c r="C4586"/>
  <c r="D4586"/>
  <c r="C4587"/>
  <c r="D4587"/>
  <c r="C4588"/>
  <c r="D4588"/>
  <c r="C4589"/>
  <c r="D4589"/>
  <c r="C4590"/>
  <c r="D4590"/>
  <c r="C4591"/>
  <c r="D4591"/>
  <c r="C4592"/>
  <c r="D4592"/>
  <c r="C4593"/>
  <c r="D4593"/>
  <c r="C4594"/>
  <c r="D4594"/>
  <c r="C4595"/>
  <c r="D4595"/>
  <c r="C4596"/>
  <c r="D4596"/>
  <c r="C4597"/>
  <c r="D4597"/>
  <c r="C4598"/>
  <c r="D4598"/>
  <c r="C4599"/>
  <c r="D4599"/>
  <c r="C4600"/>
  <c r="D4600"/>
  <c r="C4601"/>
  <c r="D4601"/>
  <c r="C4602"/>
  <c r="D4602"/>
  <c r="C4603"/>
  <c r="D4603"/>
  <c r="C4604"/>
  <c r="D4604"/>
  <c r="C4605"/>
  <c r="D4605"/>
  <c r="C4606"/>
  <c r="D4606"/>
  <c r="C4607"/>
  <c r="D4607"/>
  <c r="C4608"/>
  <c r="D4608"/>
  <c r="C4609"/>
  <c r="D4609"/>
  <c r="C4610"/>
  <c r="D4610"/>
  <c r="C4611"/>
  <c r="D4611"/>
  <c r="C4612"/>
  <c r="D4612"/>
  <c r="C4613"/>
  <c r="D4613"/>
  <c r="C4614"/>
  <c r="D4614"/>
  <c r="C4615"/>
  <c r="D4615"/>
  <c r="C4616"/>
  <c r="D4616"/>
  <c r="C4617"/>
  <c r="D4617"/>
  <c r="C4618"/>
  <c r="D4618"/>
  <c r="C4619"/>
  <c r="D4619"/>
  <c r="C4620"/>
  <c r="D4620"/>
  <c r="C4621"/>
  <c r="D4621"/>
  <c r="C4622"/>
  <c r="D4622"/>
  <c r="C4623"/>
  <c r="D4623"/>
  <c r="C4624"/>
  <c r="D4624"/>
  <c r="C4625"/>
  <c r="D4625"/>
  <c r="C4626"/>
  <c r="D4626"/>
  <c r="C4627"/>
  <c r="D4627"/>
  <c r="C4628"/>
  <c r="D4628"/>
  <c r="C4629"/>
  <c r="D4629"/>
  <c r="C4630"/>
  <c r="D4630"/>
  <c r="C4631"/>
  <c r="D4631"/>
  <c r="C4632"/>
  <c r="D4632"/>
  <c r="C4633"/>
  <c r="D4633"/>
  <c r="C4634"/>
  <c r="D4634"/>
  <c r="C4635"/>
  <c r="D4635"/>
  <c r="C4636"/>
  <c r="D4636"/>
  <c r="C4637"/>
  <c r="D4637"/>
  <c r="C4638"/>
  <c r="D4638"/>
  <c r="C4639"/>
  <c r="D4639"/>
  <c r="C4640"/>
  <c r="D4640"/>
  <c r="C4641"/>
  <c r="D4641"/>
  <c r="C4642"/>
  <c r="D4642"/>
  <c r="C4643"/>
  <c r="D4643"/>
  <c r="C4644"/>
  <c r="D4644"/>
  <c r="C4645"/>
  <c r="D4645"/>
  <c r="C4646"/>
  <c r="D4646"/>
  <c r="C4647"/>
  <c r="D4647"/>
  <c r="C4648"/>
  <c r="D4648"/>
  <c r="C4649"/>
  <c r="D4649"/>
  <c r="C4650"/>
  <c r="D4650"/>
  <c r="C4651"/>
  <c r="D4651"/>
  <c r="C4652"/>
  <c r="D4652"/>
  <c r="C4653"/>
  <c r="D4653"/>
  <c r="C4654"/>
  <c r="D4654"/>
  <c r="C4655"/>
  <c r="D4655"/>
  <c r="C4656"/>
  <c r="D4656"/>
  <c r="C4657"/>
  <c r="D4657"/>
  <c r="C4658"/>
  <c r="D4658"/>
  <c r="C4659"/>
  <c r="D4659"/>
  <c r="C4660"/>
  <c r="D4660"/>
  <c r="C4661"/>
  <c r="D4661"/>
  <c r="C4662"/>
  <c r="D4662"/>
  <c r="C4663"/>
  <c r="D4663"/>
  <c r="C4664"/>
  <c r="D4664"/>
  <c r="C4665"/>
  <c r="D4665"/>
  <c r="C4666"/>
  <c r="D4666"/>
  <c r="C4667"/>
  <c r="D4667"/>
  <c r="C4668"/>
  <c r="D4668"/>
  <c r="C4669"/>
  <c r="D4669"/>
  <c r="C4670"/>
  <c r="D4670"/>
  <c r="C4671"/>
  <c r="D4671"/>
  <c r="C4672"/>
  <c r="D4672"/>
  <c r="C4673"/>
  <c r="D4673"/>
  <c r="C4674"/>
  <c r="D4674"/>
  <c r="C4675"/>
  <c r="D4675"/>
  <c r="C4676"/>
  <c r="D4676"/>
  <c r="C4677"/>
  <c r="D4677"/>
  <c r="C4678"/>
  <c r="D4678"/>
  <c r="C4679"/>
  <c r="D4679"/>
  <c r="C4680"/>
  <c r="D4680"/>
  <c r="C4681"/>
  <c r="D4681"/>
  <c r="C4682"/>
  <c r="D4682"/>
  <c r="C4683"/>
  <c r="D4683"/>
  <c r="C4684"/>
  <c r="D4684"/>
  <c r="C4685"/>
  <c r="D4685"/>
  <c r="C4686"/>
  <c r="D4686"/>
  <c r="C4687"/>
  <c r="D4687"/>
  <c r="C4688"/>
  <c r="D4688"/>
  <c r="C4689"/>
  <c r="D4689"/>
  <c r="C4690"/>
  <c r="D4690"/>
  <c r="C4691"/>
  <c r="D4691"/>
  <c r="C4692"/>
  <c r="D4692"/>
  <c r="C4693"/>
  <c r="D4693"/>
  <c r="C4694"/>
  <c r="D4694"/>
  <c r="C4695"/>
  <c r="D4695"/>
  <c r="C4696"/>
  <c r="D4696"/>
  <c r="C4697"/>
  <c r="D4697"/>
  <c r="C4698"/>
  <c r="D4698"/>
  <c r="C4699"/>
  <c r="D4699"/>
  <c r="C4700"/>
  <c r="D4700"/>
  <c r="C4701"/>
  <c r="D4701"/>
  <c r="C4702"/>
  <c r="D4702"/>
  <c r="C4703"/>
  <c r="D4703"/>
  <c r="C4704"/>
  <c r="D4704"/>
  <c r="C4705"/>
  <c r="D4705"/>
  <c r="C4706"/>
  <c r="D4706"/>
  <c r="C4707"/>
  <c r="D4707"/>
  <c r="C4708"/>
  <c r="D4708"/>
  <c r="C4709"/>
  <c r="D4709"/>
  <c r="C4710"/>
  <c r="D4710"/>
  <c r="C4711"/>
  <c r="D4711"/>
  <c r="C4712"/>
  <c r="D4712"/>
  <c r="C4713"/>
  <c r="D4713"/>
  <c r="C4714"/>
  <c r="D4714"/>
  <c r="C4715"/>
  <c r="D4715"/>
  <c r="C4716"/>
  <c r="D4716"/>
  <c r="C4717"/>
  <c r="D4717"/>
  <c r="C4718"/>
  <c r="D4718"/>
  <c r="C4719"/>
  <c r="D4719"/>
  <c r="C4720"/>
  <c r="D4720"/>
  <c r="C4721"/>
  <c r="D4721"/>
  <c r="C4722"/>
  <c r="D4722"/>
  <c r="C4723"/>
  <c r="D4723"/>
  <c r="C4724"/>
  <c r="D4724"/>
  <c r="C4725"/>
  <c r="D4725"/>
  <c r="C4726"/>
  <c r="D4726"/>
  <c r="C4727"/>
  <c r="D4727"/>
  <c r="C4728"/>
  <c r="D4728"/>
  <c r="C4729"/>
  <c r="D4729"/>
  <c r="C4730"/>
  <c r="D4730"/>
  <c r="C4731"/>
  <c r="D4731"/>
  <c r="C4732"/>
  <c r="D4732"/>
  <c r="C4733"/>
  <c r="D4733"/>
  <c r="C4734"/>
  <c r="D4734"/>
  <c r="C4735"/>
  <c r="D4735"/>
  <c r="C4736"/>
  <c r="D4736"/>
  <c r="C4737"/>
  <c r="D4737"/>
  <c r="C4738"/>
  <c r="D4738"/>
  <c r="C4739"/>
  <c r="D4739"/>
  <c r="C4740"/>
  <c r="D4740"/>
  <c r="C4741"/>
  <c r="D4741"/>
  <c r="C4742"/>
  <c r="D4742"/>
  <c r="C4743"/>
  <c r="D4743"/>
  <c r="C4744"/>
  <c r="D4744"/>
  <c r="C4745"/>
  <c r="D4745"/>
  <c r="C4746"/>
  <c r="D4746"/>
  <c r="C4747"/>
  <c r="D4747"/>
  <c r="C4748"/>
  <c r="D4748"/>
  <c r="C4749"/>
  <c r="D4749"/>
  <c r="C4750"/>
  <c r="D4750"/>
  <c r="C4751"/>
  <c r="D4751"/>
  <c r="C4752"/>
  <c r="D4752"/>
  <c r="C4753"/>
  <c r="D4753"/>
  <c r="C4754"/>
  <c r="D4754"/>
  <c r="C4755"/>
  <c r="D4755"/>
  <c r="C4756"/>
  <c r="D4756"/>
  <c r="C4757"/>
  <c r="D4757"/>
  <c r="C4758"/>
  <c r="D4758"/>
  <c r="C4759"/>
  <c r="D4759"/>
  <c r="C4760"/>
  <c r="D4760"/>
  <c r="C4761"/>
  <c r="D4761"/>
  <c r="C4762"/>
  <c r="D4762"/>
  <c r="C4763"/>
  <c r="D4763"/>
  <c r="C4764"/>
  <c r="D4764"/>
  <c r="C4765"/>
  <c r="D4765"/>
  <c r="C4766"/>
  <c r="D4766"/>
  <c r="C4767"/>
  <c r="D4767"/>
  <c r="C4768"/>
  <c r="D4768"/>
  <c r="C4769"/>
  <c r="D4769"/>
  <c r="C4770"/>
  <c r="D4770"/>
  <c r="C4771"/>
  <c r="D4771"/>
  <c r="C4772"/>
  <c r="D4772"/>
  <c r="C4773"/>
  <c r="D4773"/>
  <c r="C4774"/>
  <c r="D4774"/>
  <c r="C4775"/>
  <c r="D4775"/>
  <c r="C4776"/>
  <c r="D4776"/>
  <c r="C4777"/>
  <c r="D4777"/>
  <c r="C4778"/>
  <c r="D4778"/>
  <c r="C4779"/>
  <c r="D4779"/>
  <c r="C4780"/>
  <c r="D4780"/>
  <c r="C4781"/>
  <c r="D4781"/>
  <c r="C4782"/>
  <c r="D4782"/>
  <c r="C4783"/>
  <c r="D4783"/>
  <c r="C4784"/>
  <c r="D4784"/>
  <c r="C4785"/>
  <c r="D4785"/>
  <c r="C4786"/>
  <c r="D4786"/>
  <c r="C4787"/>
  <c r="D4787"/>
  <c r="C4788"/>
  <c r="D4788"/>
  <c r="C4789"/>
  <c r="D4789"/>
  <c r="C4790"/>
  <c r="D4790"/>
  <c r="C4791"/>
  <c r="D4791"/>
  <c r="C4792"/>
  <c r="D4792"/>
  <c r="C4793"/>
  <c r="D4793"/>
  <c r="C4794"/>
  <c r="D4794"/>
  <c r="C4795"/>
  <c r="D4795"/>
  <c r="C4796"/>
  <c r="D4796"/>
  <c r="C4797"/>
  <c r="D4797"/>
  <c r="C4798"/>
  <c r="D4798"/>
  <c r="C4799"/>
  <c r="D4799"/>
  <c r="C4800"/>
  <c r="D4800"/>
  <c r="C4801"/>
  <c r="D4801"/>
  <c r="C4802"/>
  <c r="D4802"/>
  <c r="C4803"/>
  <c r="D4803"/>
  <c r="C4804"/>
  <c r="D4804"/>
  <c r="C4805"/>
  <c r="D4805"/>
  <c r="C4806"/>
  <c r="D4806"/>
  <c r="C4807"/>
  <c r="D4807"/>
  <c r="C4808"/>
  <c r="D4808"/>
  <c r="C4809"/>
  <c r="D4809"/>
  <c r="C4810"/>
  <c r="D4810"/>
  <c r="C4811"/>
  <c r="D4811"/>
  <c r="C4812"/>
  <c r="D4812"/>
  <c r="C4813"/>
  <c r="D4813"/>
  <c r="C4814"/>
  <c r="D4814"/>
  <c r="C4815"/>
  <c r="D4815"/>
  <c r="C4816"/>
  <c r="D4816"/>
  <c r="C4817"/>
  <c r="D4817"/>
  <c r="C4818"/>
  <c r="D4818"/>
  <c r="C4819"/>
  <c r="D4819"/>
  <c r="C4820"/>
  <c r="D4820"/>
  <c r="C4821"/>
  <c r="D4821"/>
  <c r="C4822"/>
  <c r="D4822"/>
  <c r="C4823"/>
  <c r="D4823"/>
  <c r="C4824"/>
  <c r="D4824"/>
  <c r="C4825"/>
  <c r="D4825"/>
  <c r="C4826"/>
  <c r="D4826"/>
  <c r="C4827"/>
  <c r="D4827"/>
  <c r="C4828"/>
  <c r="D4828"/>
  <c r="C4829"/>
  <c r="D4829"/>
  <c r="C4830"/>
  <c r="D4830"/>
  <c r="C4831"/>
  <c r="D4831"/>
  <c r="C4832"/>
  <c r="D4832"/>
  <c r="C4833"/>
  <c r="D4833"/>
  <c r="C4834"/>
  <c r="D4834"/>
  <c r="C4835"/>
  <c r="D4835"/>
  <c r="C4836"/>
  <c r="D4836"/>
  <c r="C4837"/>
  <c r="D4837"/>
  <c r="C4838"/>
  <c r="D4838"/>
  <c r="C4839"/>
  <c r="D4839"/>
  <c r="C4840"/>
  <c r="D4840"/>
  <c r="C4841"/>
  <c r="D4841"/>
  <c r="C4842"/>
  <c r="D4842"/>
  <c r="C4843"/>
  <c r="D4843"/>
  <c r="C4844"/>
  <c r="D4844"/>
  <c r="C4845"/>
  <c r="D4845"/>
  <c r="C4846"/>
  <c r="D4846"/>
  <c r="C4847"/>
  <c r="D4847"/>
  <c r="C4848"/>
  <c r="D4848"/>
  <c r="C4849"/>
  <c r="D4849"/>
  <c r="C4850"/>
  <c r="D4850"/>
  <c r="C4851"/>
  <c r="D4851"/>
  <c r="C4852"/>
  <c r="D4852"/>
  <c r="C4853"/>
  <c r="D4853"/>
  <c r="C4854"/>
  <c r="D4854"/>
  <c r="C4855"/>
  <c r="D4855"/>
  <c r="C4856"/>
  <c r="D4856"/>
  <c r="C4857"/>
  <c r="D4857"/>
  <c r="C4858"/>
  <c r="D4858"/>
  <c r="C4859"/>
  <c r="D4859"/>
  <c r="C4860"/>
  <c r="D4860"/>
  <c r="C4861"/>
  <c r="D4861"/>
  <c r="C4862"/>
  <c r="D4862"/>
  <c r="C4863"/>
  <c r="D4863"/>
  <c r="C4864"/>
  <c r="D4864"/>
  <c r="C4865"/>
  <c r="D4865"/>
  <c r="C4866"/>
  <c r="D4866"/>
  <c r="C4867"/>
  <c r="D4867"/>
  <c r="C4868"/>
  <c r="D4868"/>
  <c r="C4869"/>
  <c r="D4869"/>
  <c r="C4870"/>
  <c r="D4870"/>
  <c r="C4871"/>
  <c r="D4871"/>
  <c r="C4872"/>
  <c r="D4872"/>
  <c r="C4873"/>
  <c r="D4873"/>
  <c r="C4874"/>
  <c r="D4874"/>
  <c r="C4875"/>
  <c r="D4875"/>
  <c r="C4876"/>
  <c r="D4876"/>
  <c r="C4877"/>
  <c r="D4877"/>
  <c r="C4878"/>
  <c r="D4878"/>
  <c r="C4879"/>
  <c r="D4879"/>
  <c r="C4880"/>
  <c r="D4880"/>
  <c r="C4881"/>
  <c r="D4881"/>
  <c r="C4882"/>
  <c r="D4882"/>
  <c r="C4883"/>
  <c r="D4883"/>
  <c r="C4884"/>
  <c r="D4884"/>
  <c r="C4885"/>
  <c r="D4885"/>
  <c r="C4886"/>
  <c r="D4886"/>
  <c r="C4887"/>
  <c r="D4887"/>
  <c r="C4888"/>
  <c r="D4888"/>
  <c r="C4889"/>
  <c r="D4889"/>
  <c r="C4890"/>
  <c r="D4890"/>
  <c r="C4891"/>
  <c r="D4891"/>
  <c r="C4892"/>
  <c r="D4892"/>
  <c r="C4893"/>
  <c r="D4893"/>
  <c r="C4894"/>
  <c r="D4894"/>
  <c r="C4895"/>
  <c r="D4895"/>
  <c r="C4896"/>
  <c r="D4896"/>
  <c r="C4897"/>
  <c r="D4897"/>
  <c r="C4898"/>
  <c r="D4898"/>
  <c r="C4899"/>
  <c r="D4899"/>
  <c r="C4900"/>
  <c r="D4900"/>
  <c r="C4901"/>
  <c r="D4901"/>
  <c r="C4902"/>
  <c r="D4902"/>
  <c r="C4903"/>
  <c r="D4903"/>
  <c r="C4904"/>
  <c r="D4904"/>
  <c r="C4905"/>
  <c r="D4905"/>
  <c r="C4906"/>
  <c r="D4906"/>
  <c r="C4907"/>
  <c r="D4907"/>
  <c r="C4908"/>
  <c r="D4908"/>
  <c r="C4909"/>
  <c r="D4909"/>
  <c r="C4910"/>
  <c r="D4910"/>
  <c r="C4911"/>
  <c r="D4911"/>
  <c r="C4912"/>
  <c r="D4912"/>
  <c r="C4913"/>
  <c r="D4913"/>
  <c r="C4914"/>
  <c r="D4914"/>
  <c r="C4915"/>
  <c r="D4915"/>
  <c r="C4916"/>
  <c r="D4916"/>
  <c r="C4917"/>
  <c r="D4917"/>
  <c r="C4918"/>
  <c r="D4918"/>
  <c r="C4919"/>
  <c r="D4919"/>
  <c r="C4920"/>
  <c r="D4920"/>
  <c r="C4921"/>
  <c r="D4921"/>
  <c r="C4922"/>
  <c r="D4922"/>
  <c r="C4923"/>
  <c r="D4923"/>
  <c r="C4924"/>
  <c r="D4924"/>
  <c r="C4925"/>
  <c r="D4925"/>
  <c r="C4926"/>
  <c r="D4926"/>
  <c r="C4927"/>
  <c r="D4927"/>
  <c r="C4928"/>
  <c r="D4928"/>
  <c r="C4929"/>
  <c r="D4929"/>
  <c r="C4930"/>
  <c r="D4930"/>
  <c r="C4931"/>
  <c r="D4931"/>
  <c r="C4932"/>
  <c r="D4932"/>
  <c r="C4933"/>
  <c r="D4933"/>
  <c r="C4934"/>
  <c r="D4934"/>
  <c r="C4935"/>
  <c r="D4935"/>
  <c r="C4936"/>
  <c r="D4936"/>
  <c r="C4937"/>
  <c r="D4937"/>
  <c r="C4938"/>
  <c r="D4938"/>
  <c r="C4939"/>
  <c r="D4939"/>
  <c r="C4940"/>
  <c r="D4940"/>
  <c r="C4941"/>
  <c r="D4941"/>
  <c r="C4942"/>
  <c r="D4942"/>
  <c r="C4943"/>
  <c r="D4943"/>
  <c r="C4944"/>
  <c r="D4944"/>
  <c r="C4945"/>
  <c r="D4945"/>
  <c r="C4946"/>
  <c r="D4946"/>
  <c r="C4947"/>
  <c r="D4947"/>
  <c r="C4948"/>
  <c r="D4948"/>
  <c r="C4949"/>
  <c r="D4949"/>
  <c r="C4950"/>
  <c r="D4950"/>
  <c r="C4951"/>
  <c r="D4951"/>
  <c r="C4952"/>
  <c r="D4952"/>
  <c r="C4953"/>
  <c r="D4953"/>
  <c r="C4954"/>
  <c r="D4954"/>
  <c r="C4955"/>
  <c r="D4955"/>
  <c r="C4956"/>
  <c r="D4956"/>
  <c r="C4957"/>
  <c r="D4957"/>
  <c r="C4958"/>
  <c r="D4958"/>
  <c r="C4959"/>
  <c r="D4959"/>
  <c r="C4960"/>
  <c r="D4960"/>
  <c r="C4961"/>
  <c r="D4961"/>
  <c r="C4962"/>
  <c r="D4962"/>
  <c r="C4963"/>
  <c r="D4963"/>
  <c r="C4964"/>
  <c r="D4964"/>
  <c r="C4965"/>
  <c r="D4965"/>
  <c r="C4966"/>
  <c r="D4966"/>
  <c r="C4967"/>
  <c r="D4967"/>
  <c r="C4968"/>
  <c r="D4968"/>
  <c r="C4969"/>
  <c r="D4969"/>
  <c r="C4970"/>
  <c r="D4970"/>
  <c r="C4971"/>
  <c r="D4971"/>
  <c r="C4972"/>
  <c r="D4972"/>
  <c r="C4973"/>
  <c r="D4973"/>
  <c r="C4974"/>
  <c r="D4974"/>
  <c r="C4975"/>
  <c r="D4975"/>
  <c r="C4976"/>
  <c r="D4976"/>
  <c r="C4977"/>
  <c r="D4977"/>
  <c r="C4978"/>
  <c r="D4978"/>
  <c r="C4979"/>
  <c r="D4979"/>
  <c r="C4980"/>
  <c r="D4980"/>
  <c r="C4981"/>
  <c r="D4981"/>
  <c r="C4982"/>
  <c r="D4982"/>
  <c r="C4983"/>
  <c r="D4983"/>
  <c r="C4984"/>
  <c r="D4984"/>
  <c r="C4985"/>
  <c r="D4985"/>
  <c r="C4986"/>
  <c r="D4986"/>
  <c r="C4987"/>
  <c r="D4987"/>
  <c r="C4988"/>
  <c r="D4988"/>
  <c r="C4989"/>
  <c r="D4989"/>
  <c r="C4990"/>
  <c r="D4990"/>
  <c r="C4991"/>
  <c r="D4991"/>
  <c r="C4992"/>
  <c r="D4992"/>
  <c r="C4993"/>
  <c r="D4993"/>
  <c r="C4994"/>
  <c r="D4994"/>
  <c r="C4995"/>
  <c r="D4995"/>
  <c r="C4996"/>
  <c r="D4996"/>
  <c r="C4997"/>
  <c r="D4997"/>
  <c r="C4998"/>
  <c r="D4998"/>
  <c r="C4999"/>
  <c r="D4999"/>
  <c r="C5000"/>
  <c r="D5000"/>
  <c r="C5001"/>
  <c r="D5001"/>
  <c r="C5002"/>
  <c r="D5002"/>
  <c r="C5003"/>
  <c r="D5003"/>
  <c r="C5004"/>
  <c r="D5004"/>
  <c r="C5005"/>
  <c r="D5005"/>
  <c r="C5006"/>
  <c r="D5006"/>
  <c r="C5007"/>
  <c r="D5007"/>
  <c r="C5008"/>
  <c r="D5008"/>
  <c r="C5009"/>
  <c r="D5009"/>
  <c r="C5010"/>
  <c r="D5010"/>
  <c r="C5011"/>
  <c r="D5011"/>
  <c r="C5012"/>
  <c r="D5012"/>
  <c r="C5013"/>
  <c r="D5013"/>
  <c r="C5014"/>
  <c r="D5014"/>
  <c r="C5015"/>
  <c r="D5015"/>
  <c r="C5016"/>
  <c r="D5016"/>
  <c r="C5017"/>
  <c r="D5017"/>
  <c r="C5018"/>
  <c r="D5018"/>
  <c r="C5019"/>
  <c r="D5019"/>
  <c r="C5020"/>
  <c r="D5020"/>
  <c r="C5021"/>
  <c r="D5021"/>
  <c r="C5022"/>
  <c r="D5022"/>
  <c r="C5023"/>
  <c r="D5023"/>
  <c r="C5024"/>
  <c r="D5024"/>
  <c r="C5025"/>
  <c r="D5025"/>
  <c r="C5026"/>
  <c r="D5026"/>
  <c r="C5027"/>
  <c r="D5027"/>
  <c r="C5028"/>
  <c r="D5028"/>
  <c r="C5029"/>
  <c r="D5029"/>
  <c r="C5030"/>
  <c r="D5030"/>
  <c r="C5031"/>
  <c r="D5031"/>
  <c r="C5032"/>
  <c r="D5032"/>
  <c r="C5033"/>
  <c r="D5033"/>
  <c r="C5034"/>
  <c r="D5034"/>
  <c r="C5035"/>
  <c r="D5035"/>
  <c r="C5036"/>
  <c r="D5036"/>
  <c r="C5037"/>
  <c r="D5037"/>
  <c r="C5038"/>
  <c r="D5038"/>
  <c r="C5039"/>
  <c r="D5039"/>
  <c r="C5040"/>
  <c r="D5040"/>
  <c r="C5041"/>
  <c r="D5041"/>
  <c r="C5042"/>
  <c r="D5042"/>
  <c r="C5043"/>
  <c r="D5043"/>
  <c r="C5044"/>
  <c r="D5044"/>
  <c r="C5045"/>
  <c r="D5045"/>
  <c r="C5046"/>
  <c r="D5046"/>
  <c r="C5047"/>
  <c r="D5047"/>
  <c r="C5048"/>
  <c r="D5048"/>
  <c r="C5049"/>
  <c r="D5049"/>
  <c r="C5050"/>
  <c r="D5050"/>
  <c r="C5051"/>
  <c r="D5051"/>
  <c r="C5052"/>
  <c r="D5052"/>
  <c r="C5053"/>
  <c r="D5053"/>
  <c r="C5054"/>
  <c r="D5054"/>
  <c r="C5055"/>
  <c r="D5055"/>
  <c r="C5056"/>
  <c r="D5056"/>
  <c r="C5057"/>
  <c r="D5057"/>
  <c r="C5058"/>
  <c r="D5058"/>
  <c r="C5059"/>
  <c r="D5059"/>
  <c r="C5060"/>
  <c r="D5060"/>
  <c r="C5061"/>
  <c r="D5061"/>
  <c r="C5062"/>
  <c r="D5062"/>
  <c r="C5063"/>
  <c r="D5063"/>
  <c r="C5064"/>
  <c r="D5064"/>
  <c r="C5065"/>
  <c r="D5065"/>
  <c r="C5066"/>
  <c r="D5066"/>
  <c r="C5067"/>
  <c r="D5067"/>
  <c r="C5068"/>
  <c r="D5068"/>
  <c r="C5069"/>
  <c r="D5069"/>
  <c r="C5070"/>
  <c r="D5070"/>
  <c r="C5071"/>
  <c r="D5071"/>
  <c r="C5072"/>
  <c r="D5072"/>
  <c r="C5073"/>
  <c r="D5073"/>
  <c r="C5074"/>
  <c r="D5074"/>
  <c r="C5075"/>
  <c r="D5075"/>
  <c r="C5076"/>
  <c r="D5076"/>
  <c r="C5077"/>
  <c r="D5077"/>
  <c r="C5078"/>
  <c r="D5078"/>
  <c r="C5079"/>
  <c r="D5079"/>
  <c r="C5080"/>
  <c r="D5080"/>
  <c r="C5081"/>
  <c r="D5081"/>
  <c r="C5082"/>
  <c r="D5082"/>
  <c r="C5083"/>
  <c r="D5083"/>
  <c r="C5084"/>
  <c r="D5084"/>
  <c r="C5085"/>
  <c r="D5085"/>
  <c r="C5086"/>
  <c r="D5086"/>
  <c r="C5087"/>
  <c r="D5087"/>
  <c r="C5088"/>
  <c r="D5088"/>
  <c r="C5089"/>
  <c r="D5089"/>
  <c r="C5090"/>
  <c r="D5090"/>
  <c r="C5091"/>
  <c r="D5091"/>
  <c r="C5092"/>
  <c r="D5092"/>
  <c r="C5093"/>
  <c r="D5093"/>
  <c r="C5094"/>
  <c r="D5094"/>
  <c r="C5095"/>
  <c r="D5095"/>
  <c r="C5096"/>
  <c r="D5096"/>
  <c r="C5097"/>
  <c r="D5097"/>
  <c r="C5098"/>
  <c r="D5098"/>
  <c r="C5099"/>
  <c r="D5099"/>
  <c r="C5100"/>
  <c r="D5100"/>
  <c r="C5101"/>
  <c r="D5101"/>
  <c r="C5102"/>
  <c r="D5102"/>
  <c r="C5103"/>
  <c r="D5103"/>
  <c r="C5104"/>
  <c r="D5104"/>
  <c r="C5105"/>
  <c r="D5105"/>
  <c r="C5106"/>
  <c r="D5106"/>
  <c r="C5107"/>
  <c r="D5107"/>
  <c r="C5108"/>
  <c r="D5108"/>
  <c r="C5109"/>
  <c r="D5109"/>
  <c r="C5110"/>
  <c r="D5110"/>
  <c r="C5111"/>
  <c r="D5111"/>
  <c r="C5112"/>
  <c r="D5112"/>
  <c r="C5113"/>
  <c r="D5113"/>
  <c r="C5114"/>
  <c r="D5114"/>
  <c r="C5115"/>
  <c r="D5115"/>
  <c r="C5116"/>
  <c r="D5116"/>
  <c r="C5117"/>
  <c r="D5117"/>
  <c r="C5118"/>
  <c r="D5118"/>
  <c r="C5119"/>
  <c r="D5119"/>
  <c r="C5120"/>
  <c r="D5120"/>
  <c r="C5121"/>
  <c r="D5121"/>
  <c r="C5122"/>
  <c r="D5122"/>
  <c r="C5123"/>
  <c r="D5123"/>
  <c r="C5124"/>
  <c r="D5124"/>
  <c r="C5125"/>
  <c r="D5125"/>
  <c r="C5126"/>
  <c r="D5126"/>
  <c r="C5127"/>
  <c r="D5127"/>
  <c r="C5128"/>
  <c r="D5128"/>
  <c r="C5129"/>
  <c r="D5129"/>
  <c r="C5130"/>
  <c r="D5130"/>
  <c r="C5131"/>
  <c r="D5131"/>
  <c r="C5132"/>
  <c r="D5132"/>
  <c r="C5133"/>
  <c r="D5133"/>
  <c r="C5134"/>
  <c r="D5134"/>
  <c r="C5135"/>
  <c r="D5135"/>
  <c r="C5136"/>
  <c r="D5136"/>
  <c r="C5137"/>
  <c r="D5137"/>
  <c r="C5138"/>
  <c r="D5138"/>
  <c r="C5139"/>
  <c r="D5139"/>
  <c r="C5140"/>
  <c r="D5140"/>
  <c r="C5141"/>
  <c r="D5141"/>
  <c r="C5142"/>
  <c r="D5142"/>
  <c r="C5143"/>
  <c r="D5143"/>
  <c r="C5144"/>
  <c r="D5144"/>
  <c r="C5145"/>
  <c r="D5145"/>
  <c r="C5146"/>
  <c r="D5146"/>
  <c r="C5147"/>
  <c r="D5147"/>
  <c r="C5148"/>
  <c r="D5148"/>
  <c r="C5149"/>
  <c r="D5149"/>
  <c r="C5150"/>
  <c r="D5150"/>
  <c r="C5151"/>
  <c r="D5151"/>
  <c r="C5152"/>
  <c r="D5152"/>
  <c r="C5153"/>
  <c r="D5153"/>
  <c r="C5154"/>
  <c r="D5154"/>
  <c r="C5155"/>
  <c r="D5155"/>
  <c r="C5156"/>
  <c r="D5156"/>
  <c r="C5157"/>
  <c r="D5157"/>
  <c r="C5158"/>
  <c r="D5158"/>
  <c r="C5159"/>
  <c r="D5159"/>
  <c r="C5160"/>
  <c r="D5160"/>
  <c r="C5161"/>
  <c r="D5161"/>
  <c r="C5162"/>
  <c r="D5162"/>
  <c r="C5163"/>
  <c r="D5163"/>
  <c r="C5164"/>
  <c r="D5164"/>
  <c r="C5165"/>
  <c r="D5165"/>
  <c r="C5166"/>
  <c r="D5166"/>
  <c r="C5167"/>
  <c r="D5167"/>
  <c r="C5168"/>
  <c r="D5168"/>
  <c r="C5169"/>
  <c r="D5169"/>
  <c r="C5170"/>
  <c r="D5170"/>
  <c r="C5171"/>
  <c r="D5171"/>
  <c r="C5172"/>
  <c r="D5172"/>
  <c r="C5173"/>
  <c r="D5173"/>
  <c r="C5174"/>
  <c r="D5174"/>
  <c r="C5175"/>
  <c r="D5175"/>
  <c r="C5176"/>
  <c r="D5176"/>
  <c r="C5177"/>
  <c r="D5177"/>
  <c r="C5178"/>
  <c r="D5178"/>
  <c r="C5179"/>
  <c r="D5179"/>
  <c r="C5180"/>
  <c r="D5180"/>
  <c r="C5181"/>
  <c r="D5181"/>
  <c r="C5182"/>
  <c r="D5182"/>
  <c r="C5183"/>
  <c r="D5183"/>
  <c r="C5184"/>
  <c r="D5184"/>
  <c r="C5185"/>
  <c r="D5185"/>
  <c r="C5186"/>
  <c r="D5186"/>
  <c r="C5187"/>
  <c r="D5187"/>
  <c r="C5188"/>
  <c r="D5188"/>
  <c r="C5189"/>
  <c r="D5189"/>
  <c r="C5190"/>
  <c r="D5190"/>
  <c r="C5191"/>
  <c r="D5191"/>
  <c r="C5192"/>
  <c r="D5192"/>
  <c r="C5193"/>
  <c r="D5193"/>
  <c r="C5194"/>
  <c r="D5194"/>
  <c r="C5195"/>
  <c r="D5195"/>
  <c r="C5196"/>
  <c r="D5196"/>
  <c r="C5197"/>
  <c r="D5197"/>
  <c r="C5198"/>
  <c r="D5198"/>
  <c r="C5199"/>
  <c r="D5199"/>
  <c r="C5200"/>
  <c r="D5200"/>
  <c r="C5201"/>
  <c r="D5201"/>
  <c r="C5202"/>
  <c r="D5202"/>
  <c r="C5203"/>
  <c r="D5203"/>
  <c r="C5204"/>
  <c r="D5204"/>
  <c r="C5205"/>
  <c r="D5205"/>
  <c r="C5206"/>
  <c r="D5206"/>
  <c r="C5207"/>
  <c r="D5207"/>
  <c r="C5208"/>
  <c r="D5208"/>
  <c r="C5209"/>
  <c r="D5209"/>
  <c r="C5210"/>
  <c r="D5210"/>
  <c r="C5211"/>
  <c r="D5211"/>
  <c r="C5212"/>
  <c r="D5212"/>
  <c r="C5213"/>
  <c r="D5213"/>
  <c r="C5214"/>
  <c r="D5214"/>
  <c r="C5215"/>
  <c r="D5215"/>
  <c r="C5216"/>
  <c r="D5216"/>
  <c r="C5217"/>
  <c r="D5217"/>
  <c r="C5218"/>
  <c r="D5218"/>
  <c r="C5219"/>
  <c r="D5219"/>
  <c r="C5220"/>
  <c r="D5220"/>
  <c r="C5221"/>
  <c r="D5221"/>
  <c r="C5222"/>
  <c r="D5222"/>
  <c r="C5223"/>
  <c r="D5223"/>
  <c r="C5224"/>
  <c r="D5224"/>
  <c r="C5225"/>
  <c r="D5225"/>
  <c r="C5226"/>
  <c r="D5226"/>
  <c r="C5227"/>
  <c r="D5227"/>
  <c r="C5228"/>
  <c r="D5228"/>
  <c r="C5229"/>
  <c r="D5229"/>
  <c r="C5230"/>
  <c r="D5230"/>
  <c r="C5231"/>
  <c r="D5231"/>
  <c r="C5232"/>
  <c r="D5232"/>
  <c r="C5233"/>
  <c r="D5233"/>
  <c r="C5234"/>
  <c r="D5234"/>
  <c r="C5235"/>
  <c r="D5235"/>
  <c r="C5236"/>
  <c r="D5236"/>
  <c r="C5237"/>
  <c r="D5237"/>
  <c r="C5238"/>
  <c r="D5238"/>
  <c r="C5239"/>
  <c r="D5239"/>
  <c r="C5240"/>
  <c r="D5240"/>
  <c r="C5241"/>
  <c r="D5241"/>
  <c r="C5242"/>
  <c r="D5242"/>
  <c r="C5243"/>
  <c r="D5243"/>
  <c r="C5244"/>
  <c r="D5244"/>
  <c r="C5245"/>
  <c r="D5245"/>
  <c r="C5246"/>
  <c r="D5246"/>
  <c r="C5247"/>
  <c r="D5247"/>
  <c r="C5248"/>
  <c r="D5248"/>
  <c r="C5249"/>
  <c r="D5249"/>
  <c r="C5250"/>
  <c r="D5250"/>
  <c r="C5251"/>
  <c r="D5251"/>
  <c r="C5252"/>
  <c r="D5252"/>
  <c r="C5253"/>
  <c r="D5253"/>
  <c r="C5254"/>
  <c r="D5254"/>
  <c r="C5255"/>
  <c r="D5255"/>
  <c r="C5256"/>
  <c r="D5256"/>
  <c r="C5257"/>
  <c r="D5257"/>
  <c r="C5258"/>
  <c r="D5258"/>
  <c r="C5259"/>
  <c r="D5259"/>
  <c r="C5260"/>
  <c r="D5260"/>
  <c r="C5261"/>
  <c r="D5261"/>
  <c r="C5262"/>
  <c r="D5262"/>
  <c r="C5263"/>
  <c r="D5263"/>
  <c r="C5264"/>
  <c r="D5264"/>
  <c r="C5265"/>
  <c r="D5265"/>
  <c r="C5266"/>
  <c r="D5266"/>
  <c r="C5267"/>
  <c r="D5267"/>
  <c r="C5268"/>
  <c r="D5268"/>
  <c r="C5269"/>
  <c r="D5269"/>
  <c r="C5270"/>
  <c r="D5270"/>
  <c r="C5271"/>
  <c r="D5271"/>
  <c r="C5272"/>
  <c r="D5272"/>
  <c r="C5273"/>
  <c r="D5273"/>
  <c r="C5274"/>
  <c r="D5274"/>
  <c r="C5275"/>
  <c r="D5275"/>
  <c r="C5276"/>
  <c r="D5276"/>
  <c r="C5277"/>
  <c r="D5277"/>
  <c r="C5278"/>
  <c r="D5278"/>
  <c r="C5279"/>
  <c r="D5279"/>
  <c r="C5280"/>
  <c r="D5280"/>
  <c r="C5281"/>
  <c r="D5281"/>
  <c r="C5282"/>
  <c r="D5282"/>
  <c r="C5283"/>
  <c r="D5283"/>
  <c r="C5284"/>
  <c r="D5284"/>
  <c r="C5285"/>
  <c r="D5285"/>
  <c r="C5286"/>
  <c r="D5286"/>
  <c r="C5287"/>
  <c r="D5287"/>
  <c r="C5288"/>
  <c r="D5288"/>
  <c r="C5289"/>
  <c r="D5289"/>
  <c r="C5290"/>
  <c r="D5290"/>
  <c r="C5291"/>
  <c r="D5291"/>
  <c r="C5292"/>
  <c r="D5292"/>
  <c r="C5293"/>
  <c r="D5293"/>
  <c r="C5294"/>
  <c r="D5294"/>
  <c r="C5295"/>
  <c r="D5295"/>
  <c r="C5296"/>
  <c r="D5296"/>
  <c r="C5297"/>
  <c r="D5297"/>
  <c r="C5298"/>
  <c r="D5298"/>
  <c r="C5299"/>
  <c r="D5299"/>
  <c r="C5300"/>
  <c r="D5300"/>
  <c r="C5301"/>
  <c r="D5301"/>
  <c r="C5302"/>
  <c r="D5302"/>
  <c r="C5303"/>
  <c r="D5303"/>
  <c r="C5304"/>
  <c r="D5304"/>
  <c r="C5305"/>
  <c r="D5305"/>
  <c r="C5306"/>
  <c r="D5306"/>
  <c r="C5307"/>
  <c r="D5307"/>
  <c r="C5308"/>
  <c r="D5308"/>
  <c r="C5309"/>
  <c r="D5309"/>
  <c r="C5310"/>
  <c r="D5310"/>
  <c r="C5311"/>
  <c r="D5311"/>
  <c r="C5312"/>
  <c r="D5312"/>
  <c r="C5313"/>
  <c r="D5313"/>
  <c r="C5314"/>
  <c r="D5314"/>
  <c r="C5315"/>
  <c r="D5315"/>
  <c r="C5316"/>
  <c r="D5316"/>
  <c r="C5317"/>
  <c r="D5317"/>
  <c r="C5318"/>
  <c r="D5318"/>
  <c r="C5319"/>
  <c r="D5319"/>
  <c r="C5320"/>
  <c r="D5320"/>
  <c r="C5321"/>
  <c r="D5321"/>
  <c r="C5322"/>
  <c r="D5322"/>
  <c r="C5323"/>
  <c r="D5323"/>
  <c r="C5324"/>
  <c r="D5324"/>
  <c r="C5325"/>
  <c r="D5325"/>
  <c r="C5326"/>
  <c r="D5326"/>
  <c r="C5327"/>
  <c r="D5327"/>
  <c r="C5328"/>
  <c r="D5328"/>
  <c r="C5329"/>
  <c r="D5329"/>
  <c r="C5330"/>
  <c r="D5330"/>
  <c r="C5331"/>
  <c r="D5331"/>
  <c r="C5332"/>
  <c r="D5332"/>
  <c r="C5333"/>
  <c r="D5333"/>
  <c r="C5334"/>
  <c r="D5334"/>
  <c r="C5335"/>
  <c r="D5335"/>
  <c r="C5336"/>
  <c r="D5336"/>
  <c r="C5337"/>
  <c r="D5337"/>
  <c r="C5338"/>
  <c r="D5338"/>
  <c r="C5339"/>
  <c r="D5339"/>
  <c r="C5340"/>
  <c r="D5340"/>
  <c r="C5341"/>
  <c r="D5341"/>
  <c r="C5342"/>
  <c r="D5342"/>
  <c r="C5343"/>
  <c r="D5343"/>
  <c r="C5344"/>
  <c r="D5344"/>
  <c r="C5345"/>
  <c r="D5345"/>
  <c r="C5346"/>
  <c r="D5346"/>
  <c r="C5347"/>
  <c r="D5347"/>
  <c r="C5348"/>
  <c r="D5348"/>
  <c r="C5349"/>
  <c r="D5349"/>
  <c r="C5350"/>
  <c r="D5350"/>
  <c r="C5351"/>
  <c r="D5351"/>
  <c r="C5352"/>
  <c r="D5352"/>
  <c r="C5353"/>
  <c r="D5353"/>
  <c r="C5354"/>
  <c r="D5354"/>
  <c r="C5355"/>
  <c r="D5355"/>
  <c r="C5356"/>
  <c r="D5356"/>
  <c r="C5357"/>
  <c r="D5357"/>
  <c r="C5358"/>
  <c r="D5358"/>
  <c r="C5359"/>
  <c r="D5359"/>
  <c r="C5360"/>
  <c r="D5360"/>
  <c r="C5361"/>
  <c r="D5361"/>
  <c r="C5362"/>
  <c r="D5362"/>
  <c r="C5363"/>
  <c r="D5363"/>
  <c r="C5364"/>
  <c r="D5364"/>
  <c r="C5365"/>
  <c r="D5365"/>
  <c r="C5366"/>
  <c r="D5366"/>
  <c r="C5367"/>
  <c r="D5367"/>
  <c r="C5368"/>
  <c r="D5368"/>
  <c r="C5369"/>
  <c r="D5369"/>
  <c r="C5370"/>
  <c r="D5370"/>
  <c r="C5371"/>
  <c r="D5371"/>
  <c r="C5372"/>
  <c r="D5372"/>
  <c r="C5373"/>
  <c r="D5373"/>
  <c r="C5374"/>
  <c r="D5374"/>
  <c r="C5375"/>
  <c r="D5375"/>
  <c r="C5376"/>
  <c r="D5376"/>
  <c r="C5377"/>
  <c r="D5377"/>
  <c r="C5378"/>
  <c r="D5378"/>
  <c r="C5379"/>
  <c r="D5379"/>
  <c r="C5380"/>
  <c r="D5380"/>
  <c r="C5381"/>
  <c r="D5381"/>
  <c r="C5382"/>
  <c r="D5382"/>
  <c r="C5383"/>
  <c r="D5383"/>
  <c r="C5384"/>
  <c r="D5384"/>
  <c r="C5385"/>
  <c r="D5385"/>
  <c r="C5386"/>
  <c r="D5386"/>
  <c r="C5387"/>
  <c r="D5387"/>
  <c r="C5388"/>
  <c r="D5388"/>
  <c r="C5389"/>
  <c r="D5389"/>
  <c r="C5390"/>
  <c r="D5390"/>
  <c r="C5391"/>
  <c r="D5391"/>
  <c r="C5392"/>
  <c r="D5392"/>
  <c r="C5393"/>
  <c r="D5393"/>
  <c r="C5394"/>
  <c r="D5394"/>
  <c r="C5395"/>
  <c r="D5395"/>
  <c r="C5396"/>
  <c r="D5396"/>
  <c r="C5397"/>
  <c r="D5397"/>
  <c r="C5398"/>
  <c r="D5398"/>
  <c r="C5399"/>
  <c r="D5399"/>
  <c r="C5400"/>
  <c r="D5400"/>
  <c r="C5401"/>
  <c r="D5401"/>
  <c r="C5402"/>
  <c r="D5402"/>
  <c r="C5403"/>
  <c r="D5403"/>
  <c r="C5404"/>
  <c r="D5404"/>
  <c r="C5405"/>
  <c r="D5405"/>
  <c r="C5406"/>
  <c r="D5406"/>
  <c r="C5407"/>
  <c r="D5407"/>
  <c r="C5408"/>
  <c r="D5408"/>
  <c r="C5409"/>
  <c r="D5409"/>
  <c r="C5410"/>
  <c r="D5410"/>
  <c r="C5411"/>
  <c r="D5411"/>
  <c r="C5412"/>
  <c r="D5412"/>
  <c r="C5413"/>
  <c r="D5413"/>
  <c r="C5414"/>
  <c r="D5414"/>
  <c r="C5415"/>
  <c r="D5415"/>
  <c r="C5416"/>
  <c r="D5416"/>
  <c r="C5417"/>
  <c r="D5417"/>
  <c r="C5418"/>
  <c r="D5418"/>
  <c r="C5419"/>
  <c r="D5419"/>
  <c r="C5420"/>
  <c r="D5420"/>
  <c r="C5421"/>
  <c r="D5421"/>
  <c r="C5422"/>
  <c r="D5422"/>
  <c r="C5423"/>
  <c r="D5423"/>
  <c r="C5424"/>
  <c r="D5424"/>
  <c r="C5425"/>
  <c r="D5425"/>
  <c r="C5426"/>
  <c r="D5426"/>
  <c r="C5427"/>
  <c r="D5427"/>
  <c r="C5428"/>
  <c r="D5428"/>
  <c r="C5429"/>
  <c r="D5429"/>
  <c r="C5430"/>
  <c r="D5430"/>
  <c r="C5431"/>
  <c r="D5431"/>
  <c r="C5432"/>
  <c r="D5432"/>
  <c r="C5433"/>
  <c r="D5433"/>
  <c r="C5434"/>
  <c r="D5434"/>
  <c r="C5435"/>
  <c r="D5435"/>
  <c r="C5436"/>
  <c r="D5436"/>
  <c r="C5437"/>
  <c r="D5437"/>
  <c r="C5438"/>
  <c r="D5438"/>
  <c r="C5439"/>
  <c r="D5439"/>
  <c r="C5440"/>
  <c r="D5440"/>
  <c r="C5441"/>
  <c r="D5441"/>
  <c r="C5442"/>
  <c r="D5442"/>
  <c r="C5443"/>
  <c r="D5443"/>
  <c r="C5444"/>
  <c r="D5444"/>
  <c r="C5445"/>
  <c r="D5445"/>
  <c r="C5446"/>
  <c r="D5446"/>
  <c r="C5447"/>
  <c r="D5447"/>
  <c r="C5448"/>
  <c r="D5448"/>
  <c r="C5449"/>
  <c r="D5449"/>
  <c r="C5450"/>
  <c r="D5450"/>
  <c r="C5451"/>
  <c r="D5451"/>
  <c r="C5452"/>
  <c r="D5452"/>
  <c r="C5453"/>
  <c r="D5453"/>
  <c r="C5454"/>
  <c r="D5454"/>
  <c r="C5455"/>
  <c r="D5455"/>
  <c r="C5456"/>
  <c r="D5456"/>
  <c r="C5457"/>
  <c r="D5457"/>
  <c r="C5458"/>
  <c r="D5458"/>
  <c r="C5459"/>
  <c r="D5459"/>
  <c r="C5460"/>
  <c r="D5460"/>
  <c r="C5461"/>
  <c r="D5461"/>
  <c r="C5462"/>
  <c r="D5462"/>
  <c r="C5463"/>
  <c r="D5463"/>
  <c r="C5464"/>
  <c r="D5464"/>
  <c r="C5465"/>
  <c r="D5465"/>
  <c r="C5466"/>
  <c r="D5466"/>
  <c r="C5467"/>
  <c r="D5467"/>
  <c r="C5468"/>
  <c r="D5468"/>
  <c r="C5469"/>
  <c r="D5469"/>
  <c r="C5470"/>
  <c r="D5470"/>
  <c r="C5471"/>
  <c r="D5471"/>
  <c r="C5472"/>
  <c r="D5472"/>
  <c r="C5473"/>
  <c r="D5473"/>
  <c r="C5474"/>
  <c r="D5474"/>
  <c r="C5475"/>
  <c r="D5475"/>
  <c r="C5476"/>
  <c r="D5476"/>
  <c r="C5477"/>
  <c r="D5477"/>
  <c r="C5478"/>
  <c r="D5478"/>
  <c r="C5479"/>
  <c r="D5479"/>
  <c r="C5480"/>
  <c r="D5480"/>
  <c r="C5481"/>
  <c r="D5481"/>
  <c r="C5482"/>
  <c r="D5482"/>
  <c r="C5483"/>
  <c r="D5483"/>
  <c r="C5484"/>
  <c r="D5484"/>
  <c r="C5485"/>
  <c r="D5485"/>
  <c r="C5486"/>
  <c r="D5486"/>
  <c r="C5487"/>
  <c r="D5487"/>
  <c r="C5488"/>
  <c r="D5488"/>
  <c r="C5489"/>
  <c r="D5489"/>
  <c r="C5490"/>
  <c r="D5490"/>
  <c r="C5491"/>
  <c r="D5491"/>
  <c r="C5492"/>
  <c r="D5492"/>
  <c r="C5493"/>
  <c r="D5493"/>
  <c r="C5494"/>
  <c r="D5494"/>
  <c r="C5495"/>
  <c r="D5495"/>
  <c r="C5496"/>
  <c r="D5496"/>
  <c r="C5497"/>
  <c r="D5497"/>
  <c r="C5498"/>
  <c r="D5498"/>
  <c r="C5499"/>
  <c r="D5499"/>
  <c r="C5500"/>
  <c r="D5500"/>
  <c r="C5501"/>
  <c r="D5501"/>
  <c r="C5502"/>
  <c r="D5502"/>
  <c r="C5503"/>
  <c r="D5503"/>
  <c r="C5504"/>
  <c r="D5504"/>
  <c r="C5505"/>
  <c r="D5505"/>
  <c r="C5506"/>
  <c r="D5506"/>
  <c r="C5507"/>
  <c r="D5507"/>
  <c r="C5508"/>
  <c r="D5508"/>
  <c r="C5509"/>
  <c r="D5509"/>
  <c r="C5510"/>
  <c r="D5510"/>
  <c r="C5511"/>
  <c r="D5511"/>
  <c r="C5512"/>
  <c r="D5512"/>
  <c r="C5513"/>
  <c r="D5513"/>
  <c r="C5514"/>
  <c r="D5514"/>
  <c r="C5515"/>
  <c r="D5515"/>
  <c r="C5516"/>
  <c r="D5516"/>
  <c r="C5517"/>
  <c r="D5517"/>
  <c r="C5518"/>
  <c r="D5518"/>
  <c r="C5519"/>
  <c r="D5519"/>
  <c r="C5520"/>
  <c r="D5520"/>
  <c r="C5521"/>
  <c r="D5521"/>
  <c r="C5522"/>
  <c r="D5522"/>
  <c r="C5523"/>
  <c r="D5523"/>
  <c r="C5524"/>
  <c r="D5524"/>
  <c r="C5525"/>
  <c r="D5525"/>
  <c r="C5526"/>
  <c r="D5526"/>
  <c r="C5527"/>
  <c r="D5527"/>
  <c r="C5528"/>
  <c r="D5528"/>
  <c r="C5529"/>
  <c r="D5529"/>
  <c r="C5530"/>
  <c r="D5530"/>
  <c r="C5531"/>
  <c r="D5531"/>
  <c r="C5532"/>
  <c r="D5532"/>
  <c r="C5533"/>
  <c r="D5533"/>
  <c r="C5534"/>
  <c r="D5534"/>
  <c r="C5535"/>
  <c r="D5535"/>
  <c r="C5536"/>
  <c r="D5536"/>
  <c r="C5537"/>
  <c r="D5537"/>
  <c r="C5538"/>
  <c r="D5538"/>
  <c r="C5539"/>
  <c r="D5539"/>
  <c r="C5540"/>
  <c r="D5540"/>
  <c r="C5541"/>
  <c r="D5541"/>
  <c r="C5542"/>
  <c r="D5542"/>
  <c r="C5543"/>
  <c r="D5543"/>
  <c r="C5544"/>
  <c r="D5544"/>
  <c r="C5545"/>
  <c r="D5545"/>
  <c r="C5546"/>
  <c r="D5546"/>
  <c r="C5547"/>
  <c r="D5547"/>
  <c r="C5548"/>
  <c r="D5548"/>
  <c r="C5549"/>
  <c r="D5549"/>
  <c r="C5550"/>
  <c r="D5550"/>
  <c r="C5551"/>
  <c r="D5551"/>
  <c r="C5552"/>
  <c r="D5552"/>
  <c r="C5553"/>
  <c r="D5553"/>
  <c r="C5554"/>
  <c r="D5554"/>
  <c r="C5555"/>
  <c r="D5555"/>
  <c r="C5556"/>
  <c r="D5556"/>
  <c r="C5557"/>
  <c r="D5557"/>
  <c r="C5558"/>
  <c r="D5558"/>
  <c r="C5559"/>
  <c r="D5559"/>
  <c r="C5560"/>
  <c r="D5560"/>
  <c r="C5561"/>
  <c r="D5561"/>
  <c r="C5562"/>
  <c r="D5562"/>
  <c r="C5563"/>
  <c r="D5563"/>
  <c r="C5564"/>
  <c r="D5564"/>
  <c r="C5565"/>
  <c r="D5565"/>
  <c r="C5566"/>
  <c r="D5566"/>
  <c r="C5567"/>
  <c r="D5567"/>
  <c r="C5568"/>
  <c r="D5568"/>
  <c r="C5569"/>
  <c r="D5569"/>
  <c r="C5570"/>
  <c r="D5570"/>
  <c r="C5571"/>
  <c r="D5571"/>
  <c r="C5572"/>
  <c r="D5572"/>
  <c r="C5573"/>
  <c r="D5573"/>
  <c r="C5574"/>
  <c r="D5574"/>
  <c r="C5575"/>
  <c r="D5575"/>
  <c r="C5576"/>
  <c r="D5576"/>
  <c r="C5577"/>
  <c r="D5577"/>
  <c r="C5578"/>
  <c r="D5578"/>
  <c r="C5579"/>
  <c r="D5579"/>
  <c r="C5580"/>
  <c r="D5580"/>
  <c r="C5581"/>
  <c r="D5581"/>
  <c r="C5582"/>
  <c r="D5582"/>
  <c r="C5583"/>
  <c r="D5583"/>
  <c r="C5584"/>
  <c r="D5584"/>
  <c r="C5585"/>
  <c r="D5585"/>
  <c r="C5586"/>
  <c r="D5586"/>
  <c r="C5587"/>
  <c r="D5587"/>
  <c r="C5588"/>
  <c r="D5588"/>
  <c r="C5589"/>
  <c r="D5589"/>
  <c r="C5590"/>
  <c r="D5590"/>
  <c r="C5591"/>
  <c r="D5591"/>
  <c r="C5592"/>
  <c r="D5592"/>
  <c r="C5593"/>
  <c r="D5593"/>
  <c r="C5594"/>
  <c r="D5594"/>
  <c r="C5595"/>
  <c r="D5595"/>
  <c r="C5596"/>
  <c r="D5596"/>
  <c r="C5597"/>
  <c r="D5597"/>
  <c r="C5598"/>
  <c r="D5598"/>
  <c r="C5599"/>
  <c r="D5599"/>
  <c r="C5600"/>
  <c r="D5600"/>
  <c r="C5601"/>
  <c r="D5601"/>
  <c r="C5602"/>
  <c r="D5602"/>
  <c r="C5603"/>
  <c r="D5603"/>
  <c r="C5604"/>
  <c r="D5604"/>
  <c r="C5605"/>
  <c r="D5605"/>
  <c r="C5606"/>
  <c r="D5606"/>
  <c r="C5607"/>
  <c r="D5607"/>
  <c r="C5608"/>
  <c r="D5608"/>
  <c r="C5609"/>
  <c r="D5609"/>
  <c r="C5610"/>
  <c r="D5610"/>
  <c r="C5611"/>
  <c r="D5611"/>
  <c r="C5612"/>
  <c r="D5612"/>
  <c r="C5613"/>
  <c r="D5613"/>
  <c r="C5614"/>
  <c r="D5614"/>
  <c r="C5615"/>
  <c r="D5615"/>
  <c r="C5616"/>
  <c r="D5616"/>
  <c r="C5617"/>
  <c r="D5617"/>
  <c r="C5618"/>
  <c r="D5618"/>
  <c r="C5619"/>
  <c r="D5619"/>
  <c r="C5620"/>
  <c r="D5620"/>
  <c r="C5621"/>
  <c r="D5621"/>
  <c r="C5622"/>
  <c r="D5622"/>
  <c r="C5623"/>
  <c r="D5623"/>
  <c r="C5624"/>
  <c r="D5624"/>
  <c r="C5625"/>
  <c r="D5625"/>
  <c r="C5626"/>
  <c r="D5626"/>
  <c r="C5627"/>
  <c r="D5627"/>
  <c r="C5628"/>
  <c r="D5628"/>
  <c r="C5629"/>
  <c r="D5629"/>
  <c r="C5630"/>
  <c r="D5630"/>
  <c r="C5631"/>
  <c r="D5631"/>
  <c r="C5632"/>
  <c r="D5632"/>
  <c r="C5633"/>
  <c r="D5633"/>
  <c r="C5634"/>
  <c r="D5634"/>
  <c r="C5635"/>
  <c r="D5635"/>
  <c r="C5636"/>
  <c r="D5636"/>
  <c r="C5637"/>
  <c r="D5637"/>
  <c r="C5638"/>
  <c r="D5638"/>
  <c r="C5639"/>
  <c r="D5639"/>
  <c r="C5640"/>
  <c r="D5640"/>
  <c r="C5641"/>
  <c r="D5641"/>
  <c r="C5642"/>
  <c r="D5642"/>
  <c r="C5643"/>
  <c r="D5643"/>
  <c r="C5644"/>
  <c r="D5644"/>
  <c r="C5645"/>
  <c r="D5645"/>
  <c r="C5646"/>
  <c r="D5646"/>
  <c r="C5647"/>
  <c r="D5647"/>
  <c r="C5648"/>
  <c r="D5648"/>
  <c r="C5649"/>
  <c r="D5649"/>
  <c r="C5650"/>
  <c r="D5650"/>
  <c r="C5651"/>
  <c r="D5651"/>
  <c r="C5652"/>
  <c r="D5652"/>
  <c r="C5653"/>
  <c r="D5653"/>
  <c r="C5654"/>
  <c r="D5654"/>
  <c r="C5655"/>
  <c r="D5655"/>
  <c r="C5656"/>
  <c r="D5656"/>
  <c r="C5657"/>
  <c r="D5657"/>
  <c r="C5658"/>
  <c r="D5658"/>
  <c r="C5659"/>
  <c r="D5659"/>
  <c r="C5660"/>
  <c r="D5660"/>
  <c r="C5661"/>
  <c r="D5661"/>
  <c r="C5662"/>
  <c r="D5662"/>
  <c r="C5663"/>
  <c r="D5663"/>
  <c r="C5664"/>
  <c r="D5664"/>
  <c r="C5665"/>
  <c r="D5665"/>
  <c r="C5666"/>
  <c r="D5666"/>
  <c r="C5667"/>
  <c r="D5667"/>
  <c r="C5668"/>
  <c r="D5668"/>
  <c r="C5669"/>
  <c r="D5669"/>
  <c r="C5670"/>
  <c r="D5670"/>
  <c r="C5671"/>
  <c r="D5671"/>
  <c r="C5672"/>
  <c r="D5672"/>
  <c r="C5673"/>
  <c r="D5673"/>
  <c r="C5674"/>
  <c r="D5674"/>
  <c r="C5675"/>
  <c r="D5675"/>
  <c r="C5676"/>
  <c r="D5676"/>
  <c r="C5677"/>
  <c r="D5677"/>
  <c r="C5678"/>
  <c r="D5678"/>
  <c r="C5679"/>
  <c r="D5679"/>
  <c r="C5680"/>
  <c r="D5680"/>
  <c r="C5681"/>
  <c r="D5681"/>
  <c r="C5682"/>
  <c r="D5682"/>
  <c r="C5683"/>
  <c r="D5683"/>
  <c r="C5684"/>
  <c r="D5684"/>
  <c r="C5685"/>
  <c r="D5685"/>
  <c r="C5686"/>
  <c r="D5686"/>
  <c r="C5687"/>
  <c r="D5687"/>
  <c r="C5688"/>
  <c r="D5688"/>
  <c r="C5689"/>
  <c r="D5689"/>
  <c r="C5690"/>
  <c r="D5690"/>
  <c r="C5691"/>
  <c r="D5691"/>
  <c r="C5692"/>
  <c r="D5692"/>
  <c r="C5693"/>
  <c r="D5693"/>
  <c r="C5694"/>
  <c r="D5694"/>
  <c r="C5695"/>
  <c r="D5695"/>
  <c r="C5696"/>
  <c r="D5696"/>
  <c r="C5697"/>
  <c r="D5697"/>
  <c r="C5698"/>
  <c r="D5698"/>
  <c r="C5699"/>
  <c r="D5699"/>
  <c r="C5700"/>
  <c r="D5700"/>
  <c r="C5701"/>
  <c r="D5701"/>
  <c r="C5702"/>
  <c r="D5702"/>
  <c r="C5703"/>
  <c r="D5703"/>
  <c r="C5704"/>
  <c r="D5704"/>
  <c r="C5705"/>
  <c r="D5705"/>
  <c r="C5706"/>
  <c r="D5706"/>
  <c r="C5707"/>
  <c r="D5707"/>
  <c r="C5708"/>
  <c r="D5708"/>
  <c r="C5709"/>
  <c r="D5709"/>
  <c r="C5710"/>
  <c r="D5710"/>
  <c r="C5711"/>
  <c r="D5711"/>
  <c r="C5712"/>
  <c r="D5712"/>
  <c r="C5713"/>
  <c r="D5713"/>
  <c r="C5714"/>
  <c r="D5714"/>
  <c r="C5715"/>
  <c r="D5715"/>
  <c r="C5716"/>
  <c r="D5716"/>
  <c r="C5717"/>
  <c r="D5717"/>
  <c r="C5718"/>
  <c r="D5718"/>
  <c r="C5719"/>
  <c r="D5719"/>
  <c r="C5720"/>
  <c r="D5720"/>
  <c r="C5721"/>
  <c r="D5721"/>
  <c r="C5722"/>
  <c r="D5722"/>
  <c r="C5723"/>
  <c r="D5723"/>
  <c r="C5724"/>
  <c r="D5724"/>
  <c r="C5725"/>
  <c r="D5725"/>
  <c r="C5726"/>
  <c r="D5726"/>
  <c r="C5727"/>
  <c r="D5727"/>
  <c r="C5728"/>
  <c r="D5728"/>
  <c r="C5729"/>
  <c r="D5729"/>
  <c r="C5730"/>
  <c r="D5730"/>
  <c r="C5731"/>
  <c r="D5731"/>
  <c r="C5732"/>
  <c r="D5732"/>
  <c r="C5733"/>
  <c r="D5733"/>
  <c r="C5734"/>
  <c r="D5734"/>
  <c r="C5735"/>
  <c r="D5735"/>
  <c r="C5736"/>
  <c r="D5736"/>
  <c r="C5737"/>
  <c r="D5737"/>
  <c r="C5738"/>
  <c r="D5738"/>
  <c r="C5739"/>
  <c r="D5739"/>
  <c r="C5740"/>
  <c r="D5740"/>
  <c r="C5741"/>
  <c r="D5741"/>
  <c r="C5742"/>
  <c r="D5742"/>
  <c r="C5743"/>
  <c r="D5743"/>
  <c r="C5744"/>
  <c r="D5744"/>
  <c r="C5745"/>
  <c r="D5745"/>
  <c r="C5746"/>
  <c r="D5746"/>
  <c r="C5747"/>
  <c r="D5747"/>
  <c r="C5748"/>
  <c r="D5748"/>
  <c r="C5749"/>
  <c r="D5749"/>
  <c r="C5750"/>
  <c r="D5750"/>
  <c r="C5751"/>
  <c r="D5751"/>
  <c r="C5752"/>
  <c r="D5752"/>
  <c r="C5753"/>
  <c r="D5753"/>
  <c r="C5754"/>
  <c r="D5754"/>
  <c r="C5755"/>
  <c r="D5755"/>
  <c r="C5756"/>
  <c r="D5756"/>
  <c r="C5757"/>
  <c r="D5757"/>
  <c r="C5758"/>
  <c r="D5758"/>
  <c r="C5759"/>
  <c r="D5759"/>
  <c r="C5760"/>
  <c r="D5760"/>
  <c r="C5761"/>
  <c r="D5761"/>
  <c r="C5762"/>
  <c r="D5762"/>
  <c r="C5763"/>
  <c r="D5763"/>
  <c r="C5764"/>
  <c r="D5764"/>
  <c r="C5765"/>
  <c r="D5765"/>
  <c r="C5766"/>
  <c r="D5766"/>
  <c r="C5767"/>
  <c r="D5767"/>
  <c r="C5768"/>
  <c r="D5768"/>
  <c r="C5769"/>
  <c r="D5769"/>
  <c r="C5770"/>
  <c r="D5770"/>
  <c r="C5771"/>
  <c r="D5771"/>
  <c r="C5772"/>
  <c r="D5772"/>
  <c r="C5773"/>
  <c r="D5773"/>
  <c r="C5774"/>
  <c r="D5774"/>
  <c r="C5775"/>
  <c r="D5775"/>
  <c r="C5776"/>
  <c r="D5776"/>
  <c r="C5777"/>
  <c r="D5777"/>
  <c r="C5778"/>
  <c r="D5778"/>
  <c r="C5779"/>
  <c r="D5779"/>
  <c r="C5780"/>
  <c r="D5780"/>
  <c r="C5781"/>
  <c r="D5781"/>
  <c r="C5782"/>
  <c r="D5782"/>
  <c r="C5783"/>
  <c r="D5783"/>
  <c r="C5784"/>
  <c r="D5784"/>
  <c r="C5785"/>
  <c r="D5785"/>
  <c r="C5786"/>
  <c r="D5786"/>
  <c r="C5787"/>
  <c r="D5787"/>
  <c r="C5788"/>
  <c r="D5788"/>
  <c r="C5789"/>
  <c r="D5789"/>
  <c r="C5790"/>
  <c r="D5790"/>
  <c r="C5791"/>
  <c r="D5791"/>
  <c r="C5792"/>
  <c r="D5792"/>
  <c r="C5793"/>
  <c r="D5793"/>
  <c r="C5794"/>
  <c r="D5794"/>
  <c r="C5795"/>
  <c r="D5795"/>
  <c r="C5796"/>
  <c r="D5796"/>
  <c r="C5797"/>
  <c r="D5797"/>
  <c r="C5798"/>
  <c r="D5798"/>
  <c r="C5799"/>
  <c r="D5799"/>
  <c r="C5800"/>
  <c r="D5800"/>
  <c r="C5801"/>
  <c r="D5801"/>
  <c r="C5802"/>
  <c r="D5802"/>
  <c r="C5803"/>
  <c r="D5803"/>
  <c r="C5804"/>
  <c r="D5804"/>
  <c r="C5805"/>
  <c r="D5805"/>
  <c r="C5806"/>
  <c r="D5806"/>
  <c r="C5807"/>
  <c r="D5807"/>
  <c r="C5808"/>
  <c r="D5808"/>
  <c r="C5809"/>
  <c r="D5809"/>
  <c r="C5810"/>
  <c r="D5810"/>
  <c r="C5811"/>
  <c r="D5811"/>
  <c r="C5812"/>
  <c r="D5812"/>
  <c r="C5813"/>
  <c r="D5813"/>
  <c r="C5814"/>
  <c r="D5814"/>
  <c r="C5815"/>
  <c r="D5815"/>
  <c r="C5816"/>
  <c r="D5816"/>
  <c r="C5817"/>
  <c r="D5817"/>
  <c r="C5818"/>
  <c r="D5818"/>
  <c r="C5819"/>
  <c r="D5819"/>
  <c r="C5820"/>
  <c r="D5820"/>
  <c r="C5821"/>
  <c r="D5821"/>
  <c r="C5822"/>
  <c r="D5822"/>
  <c r="C5823"/>
  <c r="D5823"/>
  <c r="C5824"/>
  <c r="D5824"/>
  <c r="C5825"/>
  <c r="D5825"/>
  <c r="C5826"/>
  <c r="D5826"/>
  <c r="C5827"/>
  <c r="D5827"/>
  <c r="C5828"/>
  <c r="D5828"/>
  <c r="C5829"/>
  <c r="D5829"/>
  <c r="C5830"/>
  <c r="D5830"/>
  <c r="C5831"/>
  <c r="D5831"/>
  <c r="C5832"/>
  <c r="D5832"/>
  <c r="C5833"/>
  <c r="D5833"/>
  <c r="C5834"/>
  <c r="D5834"/>
  <c r="C5835"/>
  <c r="D5835"/>
  <c r="C5836"/>
  <c r="D5836"/>
  <c r="C5837"/>
  <c r="D5837"/>
  <c r="C5838"/>
  <c r="D5838"/>
  <c r="C5839"/>
  <c r="D5839"/>
  <c r="C5840"/>
  <c r="D5840"/>
  <c r="C5841"/>
  <c r="D5841"/>
  <c r="C5842"/>
  <c r="D5842"/>
  <c r="C5843"/>
  <c r="D5843"/>
  <c r="C5844"/>
  <c r="D5844"/>
  <c r="C5845"/>
  <c r="D5845"/>
  <c r="C5846"/>
  <c r="D5846"/>
  <c r="C5847"/>
  <c r="D5847"/>
  <c r="C5848"/>
  <c r="D5848"/>
  <c r="C5849"/>
  <c r="D5849"/>
  <c r="C5850"/>
  <c r="D5850"/>
  <c r="C5851"/>
  <c r="D5851"/>
  <c r="C5852"/>
  <c r="D5852"/>
  <c r="C5853"/>
  <c r="D5853"/>
  <c r="C5854"/>
  <c r="D5854"/>
  <c r="C5855"/>
  <c r="D5855"/>
  <c r="C5856"/>
  <c r="D5856"/>
  <c r="C5857"/>
  <c r="D5857"/>
  <c r="C5858"/>
  <c r="D5858"/>
  <c r="C5859"/>
  <c r="D5859"/>
  <c r="C5860"/>
  <c r="D5860"/>
  <c r="C5861"/>
  <c r="D5861"/>
  <c r="C5862"/>
  <c r="D5862"/>
  <c r="C5863"/>
  <c r="D5863"/>
  <c r="C5864"/>
  <c r="D5864"/>
  <c r="C5865"/>
  <c r="D5865"/>
  <c r="C5866"/>
  <c r="D5866"/>
  <c r="C5867"/>
  <c r="D5867"/>
  <c r="C5868"/>
  <c r="D5868"/>
  <c r="C5869"/>
  <c r="D5869"/>
  <c r="C5870"/>
  <c r="D5870"/>
  <c r="C5871"/>
  <c r="D5871"/>
  <c r="C5872"/>
  <c r="D5872"/>
  <c r="C5873"/>
  <c r="D5873"/>
  <c r="C5874"/>
  <c r="D5874"/>
  <c r="C5875"/>
  <c r="D5875"/>
  <c r="C5876"/>
  <c r="D5876"/>
  <c r="C5877"/>
  <c r="D5877"/>
  <c r="C5878"/>
  <c r="D5878"/>
  <c r="C5879"/>
  <c r="D5879"/>
  <c r="C5880"/>
  <c r="D5880"/>
  <c r="C5881"/>
  <c r="D5881"/>
  <c r="C5882"/>
  <c r="D5882"/>
  <c r="C5883"/>
  <c r="D5883"/>
  <c r="C5884"/>
  <c r="D5884"/>
  <c r="C5885"/>
  <c r="D5885"/>
  <c r="C5886"/>
  <c r="D5886"/>
  <c r="C5887"/>
  <c r="D5887"/>
  <c r="C5888"/>
  <c r="D5888"/>
  <c r="C5889"/>
  <c r="D5889"/>
  <c r="C5890"/>
  <c r="D5890"/>
  <c r="C5891"/>
  <c r="D5891"/>
  <c r="C5892"/>
  <c r="D5892"/>
  <c r="C5893"/>
  <c r="D5893"/>
  <c r="C5894"/>
  <c r="D5894"/>
  <c r="C5895"/>
  <c r="D5895"/>
  <c r="C5896"/>
  <c r="D5896"/>
  <c r="C5897"/>
  <c r="D5897"/>
  <c r="C5898"/>
  <c r="D5898"/>
  <c r="C5899"/>
  <c r="D5899"/>
  <c r="C5900"/>
  <c r="D5900"/>
  <c r="C5901"/>
  <c r="D5901"/>
  <c r="C5902"/>
  <c r="D5902"/>
  <c r="C5903"/>
  <c r="D5903"/>
  <c r="C5904"/>
  <c r="D5904"/>
  <c r="C5905"/>
  <c r="D5905"/>
  <c r="C5906"/>
  <c r="D5906"/>
  <c r="C5907"/>
  <c r="D5907"/>
  <c r="C5908"/>
  <c r="D5908"/>
  <c r="C5909"/>
  <c r="D5909"/>
  <c r="C5910"/>
  <c r="D5910"/>
  <c r="C5911"/>
  <c r="D5911"/>
  <c r="C5912"/>
  <c r="D5912"/>
  <c r="C5913"/>
  <c r="D5913"/>
  <c r="C5914"/>
  <c r="D5914"/>
  <c r="C5915"/>
  <c r="D5915"/>
  <c r="C5916"/>
  <c r="D5916"/>
  <c r="C5917"/>
  <c r="D5917"/>
  <c r="C5918"/>
  <c r="D5918"/>
  <c r="C5919"/>
  <c r="D5919"/>
  <c r="C5920"/>
  <c r="D5920"/>
  <c r="C5921"/>
  <c r="D5921"/>
  <c r="C5922"/>
  <c r="D5922"/>
  <c r="C5923"/>
  <c r="D5923"/>
  <c r="C5924"/>
  <c r="D5924"/>
  <c r="C5925"/>
  <c r="D5925"/>
  <c r="C5926"/>
  <c r="D5926"/>
  <c r="C5927"/>
  <c r="D5927"/>
  <c r="C5928"/>
  <c r="D5928"/>
  <c r="C5929"/>
  <c r="D5929"/>
  <c r="C5930"/>
  <c r="D5930"/>
  <c r="C5931"/>
  <c r="D5931"/>
  <c r="C5932"/>
  <c r="D5932"/>
  <c r="C5933"/>
  <c r="D5933"/>
  <c r="C5934"/>
  <c r="D5934"/>
  <c r="C5935"/>
  <c r="D5935"/>
  <c r="C5936"/>
  <c r="D5936"/>
  <c r="C5937"/>
  <c r="D5937"/>
  <c r="C5938"/>
  <c r="D5938"/>
  <c r="C5939"/>
  <c r="D5939"/>
  <c r="C5940"/>
  <c r="D5940"/>
  <c r="C5941"/>
  <c r="D5941"/>
  <c r="C5942"/>
  <c r="D5942"/>
  <c r="C5943"/>
  <c r="D5943"/>
  <c r="C5944"/>
  <c r="D5944"/>
  <c r="C5945"/>
  <c r="D5945"/>
  <c r="C5946"/>
  <c r="D5946"/>
  <c r="C5947"/>
  <c r="D5947"/>
  <c r="C5948"/>
  <c r="D5948"/>
  <c r="C5949"/>
  <c r="D5949"/>
  <c r="C5950"/>
  <c r="D5950"/>
  <c r="C5951"/>
  <c r="D5951"/>
  <c r="C5952"/>
  <c r="D5952"/>
  <c r="C5953"/>
  <c r="D5953"/>
  <c r="C5954"/>
  <c r="D5954"/>
  <c r="C5955"/>
  <c r="D5955"/>
  <c r="C5956"/>
  <c r="D5956"/>
  <c r="C5957"/>
  <c r="D5957"/>
  <c r="C5958"/>
  <c r="D5958"/>
  <c r="C5959"/>
  <c r="D5959"/>
  <c r="C5960"/>
  <c r="D5960"/>
  <c r="C5961"/>
  <c r="D5961"/>
  <c r="C5962"/>
  <c r="D5962"/>
  <c r="C5963"/>
  <c r="D5963"/>
  <c r="C5964"/>
  <c r="D5964"/>
  <c r="C5965"/>
  <c r="D5965"/>
  <c r="C5966"/>
  <c r="D5966"/>
  <c r="C5967"/>
  <c r="D5967"/>
  <c r="C5968"/>
  <c r="D5968"/>
  <c r="C5969"/>
  <c r="D5969"/>
  <c r="C5970"/>
  <c r="D5970"/>
  <c r="C5971"/>
  <c r="D5971"/>
  <c r="C5972"/>
  <c r="D5972"/>
  <c r="C5973"/>
  <c r="D5973"/>
  <c r="C5974"/>
  <c r="D5974"/>
  <c r="C5975"/>
  <c r="D5975"/>
  <c r="C5976"/>
  <c r="D5976"/>
  <c r="C5977"/>
  <c r="D5977"/>
  <c r="C5978"/>
  <c r="D5978"/>
  <c r="C5979"/>
  <c r="D5979"/>
  <c r="C5980"/>
  <c r="D5980"/>
  <c r="C5981"/>
  <c r="D5981"/>
  <c r="C5982"/>
  <c r="D5982"/>
  <c r="C5983"/>
  <c r="D5983"/>
  <c r="C5984"/>
  <c r="D5984"/>
  <c r="C5985"/>
  <c r="D5985"/>
  <c r="C5986"/>
  <c r="D5986"/>
  <c r="C5987"/>
  <c r="D5987"/>
  <c r="C5988"/>
  <c r="D5988"/>
  <c r="C5989"/>
  <c r="D5989"/>
  <c r="C5990"/>
  <c r="D5990"/>
  <c r="C5991"/>
  <c r="D5991"/>
  <c r="C5992"/>
  <c r="D5992"/>
  <c r="C5993"/>
  <c r="D5993"/>
  <c r="C5994"/>
  <c r="D5994"/>
  <c r="C5995"/>
  <c r="D5995"/>
  <c r="C5996"/>
  <c r="D5996"/>
  <c r="C5997"/>
  <c r="D5997"/>
  <c r="C5998"/>
  <c r="D5998"/>
  <c r="C5999"/>
  <c r="D5999"/>
  <c r="C6000"/>
  <c r="D6000"/>
  <c r="C6001"/>
  <c r="D6001"/>
  <c r="C6002"/>
  <c r="D6002"/>
  <c r="C6003"/>
  <c r="D6003"/>
  <c r="C6004"/>
  <c r="D6004"/>
  <c r="C6005"/>
  <c r="D6005"/>
  <c r="C6006"/>
  <c r="D6006"/>
  <c r="C6007"/>
  <c r="D6007"/>
  <c r="C6008"/>
  <c r="D6008"/>
  <c r="C6009"/>
  <c r="D6009"/>
  <c r="C6010"/>
  <c r="D6010"/>
  <c r="C6011"/>
  <c r="D6011"/>
  <c r="C6012"/>
  <c r="D6012"/>
  <c r="C6013"/>
  <c r="D6013"/>
  <c r="C6014"/>
  <c r="D6014"/>
  <c r="C6015"/>
  <c r="D6015"/>
  <c r="C6016"/>
  <c r="D6016"/>
  <c r="C6017"/>
  <c r="D6017"/>
  <c r="C6018"/>
  <c r="D6018"/>
  <c r="C6019"/>
  <c r="D6019"/>
  <c r="C6020"/>
  <c r="D6020"/>
  <c r="C6021"/>
  <c r="D6021"/>
  <c r="C6022"/>
  <c r="D6022"/>
  <c r="C6023"/>
  <c r="D6023"/>
  <c r="C6024"/>
  <c r="D6024"/>
  <c r="C6025"/>
  <c r="D6025"/>
  <c r="C6026"/>
  <c r="D6026"/>
  <c r="C6027"/>
  <c r="D6027"/>
  <c r="C6028"/>
  <c r="D6028"/>
  <c r="C6029"/>
  <c r="D6029"/>
  <c r="C6030"/>
  <c r="D6030"/>
  <c r="C6031"/>
  <c r="D6031"/>
  <c r="C6032"/>
  <c r="D6032"/>
  <c r="C6033"/>
  <c r="D6033"/>
  <c r="C6034"/>
  <c r="D6034"/>
  <c r="C6035"/>
  <c r="D6035"/>
  <c r="C6036"/>
  <c r="D6036"/>
  <c r="C6037"/>
  <c r="D6037"/>
  <c r="C6038"/>
  <c r="D6038"/>
  <c r="C6039"/>
  <c r="D6039"/>
  <c r="C6040"/>
  <c r="D6040"/>
  <c r="C6041"/>
  <c r="D6041"/>
  <c r="C6042"/>
  <c r="D6042"/>
  <c r="C6043"/>
  <c r="D6043"/>
  <c r="C6044"/>
  <c r="D6044"/>
  <c r="C6045"/>
  <c r="D6045"/>
  <c r="C6046"/>
  <c r="D6046"/>
  <c r="C6047"/>
  <c r="D6047"/>
  <c r="C6048"/>
  <c r="D6048"/>
  <c r="C6049"/>
  <c r="D6049"/>
  <c r="C6050"/>
  <c r="D6050"/>
  <c r="C6051"/>
  <c r="D6051"/>
  <c r="C6052"/>
  <c r="D6052"/>
  <c r="C6053"/>
  <c r="D6053"/>
  <c r="C6054"/>
  <c r="D6054"/>
  <c r="C6055"/>
  <c r="D6055"/>
  <c r="C6056"/>
  <c r="D6056"/>
  <c r="C6057"/>
  <c r="D6057"/>
  <c r="C6058"/>
  <c r="D6058"/>
  <c r="C6059"/>
  <c r="D6059"/>
  <c r="C6060"/>
  <c r="D6060"/>
  <c r="C6061"/>
  <c r="D6061"/>
  <c r="C6062"/>
  <c r="D6062"/>
  <c r="C6063"/>
  <c r="D6063"/>
  <c r="C6064"/>
  <c r="D6064"/>
  <c r="C6065"/>
  <c r="D6065"/>
  <c r="C6066"/>
  <c r="D6066"/>
  <c r="C6067"/>
  <c r="D6067"/>
  <c r="C6068"/>
  <c r="D6068"/>
  <c r="C6069"/>
  <c r="D6069"/>
  <c r="C6070"/>
  <c r="D6070"/>
  <c r="C6071"/>
  <c r="D6071"/>
  <c r="C6072"/>
  <c r="D6072"/>
  <c r="C6073"/>
  <c r="D6073"/>
  <c r="C6074"/>
  <c r="D6074"/>
  <c r="C6075"/>
  <c r="D6075"/>
  <c r="C6076"/>
  <c r="D6076"/>
  <c r="C6077"/>
  <c r="D6077"/>
  <c r="C6078"/>
  <c r="D6078"/>
  <c r="C6079"/>
  <c r="D6079"/>
  <c r="C6080"/>
  <c r="D6080"/>
  <c r="C6081"/>
  <c r="D6081"/>
  <c r="C6082"/>
  <c r="D6082"/>
  <c r="C6083"/>
  <c r="D6083"/>
  <c r="C6084"/>
  <c r="D6084"/>
  <c r="C6085"/>
  <c r="D6085"/>
  <c r="C6086"/>
  <c r="D6086"/>
  <c r="C6087"/>
  <c r="D6087"/>
  <c r="C6088"/>
  <c r="D6088"/>
  <c r="C6089"/>
  <c r="D6089"/>
  <c r="C6090"/>
  <c r="D6090"/>
  <c r="C6091"/>
  <c r="D6091"/>
  <c r="C6092"/>
  <c r="D6092"/>
  <c r="C6093"/>
  <c r="D6093"/>
  <c r="C6094"/>
  <c r="D6094"/>
  <c r="C6095"/>
  <c r="D6095"/>
  <c r="C6096"/>
  <c r="D6096"/>
  <c r="C6097"/>
  <c r="D6097"/>
  <c r="C6098"/>
  <c r="D6098"/>
  <c r="C6099"/>
  <c r="D6099"/>
  <c r="C6100"/>
  <c r="D6100"/>
  <c r="C6101"/>
  <c r="D6101"/>
  <c r="C6102"/>
  <c r="D6102"/>
  <c r="C6103"/>
  <c r="D6103"/>
  <c r="C6104"/>
  <c r="D6104"/>
  <c r="C6105"/>
  <c r="D6105"/>
  <c r="C6106"/>
  <c r="D6106"/>
  <c r="C6107"/>
  <c r="D6107"/>
  <c r="C6108"/>
  <c r="D6108"/>
  <c r="C6109"/>
  <c r="D6109"/>
  <c r="C6110"/>
  <c r="D6110"/>
  <c r="C6111"/>
  <c r="D6111"/>
  <c r="C6112"/>
  <c r="D6112"/>
  <c r="C6113"/>
  <c r="D6113"/>
  <c r="C6114"/>
  <c r="D6114"/>
  <c r="C6115"/>
  <c r="D6115"/>
  <c r="C6116"/>
  <c r="D6116"/>
  <c r="C6117"/>
  <c r="D6117"/>
  <c r="C6118"/>
  <c r="D6118"/>
  <c r="C6119"/>
  <c r="D6119"/>
  <c r="C6120"/>
  <c r="D6120"/>
  <c r="C6121"/>
  <c r="D6121"/>
  <c r="C6122"/>
  <c r="D6122"/>
  <c r="C6123"/>
  <c r="D6123"/>
  <c r="C6124"/>
  <c r="D6124"/>
  <c r="C6125"/>
  <c r="D6125"/>
  <c r="C6126"/>
  <c r="D6126"/>
  <c r="C6127"/>
  <c r="D6127"/>
  <c r="C6128"/>
  <c r="D6128"/>
  <c r="C6129"/>
  <c r="D6129"/>
  <c r="C6130"/>
  <c r="D6130"/>
  <c r="C6131"/>
  <c r="D6131"/>
  <c r="C6132"/>
  <c r="D6132"/>
  <c r="C6133"/>
  <c r="D6133"/>
  <c r="C6134"/>
  <c r="D6134"/>
  <c r="C6135"/>
  <c r="D6135"/>
  <c r="C6136"/>
  <c r="D6136"/>
  <c r="C6137"/>
  <c r="D6137"/>
  <c r="C6138"/>
  <c r="D6138"/>
  <c r="C6139"/>
  <c r="D6139"/>
  <c r="C6140"/>
  <c r="D6140"/>
  <c r="C6141"/>
  <c r="D6141"/>
  <c r="C6142"/>
  <c r="D6142"/>
  <c r="C6143"/>
  <c r="D6143"/>
  <c r="C6144"/>
  <c r="D6144"/>
  <c r="C6145"/>
  <c r="D6145"/>
  <c r="C6146"/>
  <c r="D6146"/>
  <c r="C6147"/>
  <c r="D6147"/>
  <c r="C6148"/>
  <c r="D6148"/>
  <c r="C6149"/>
  <c r="D6149"/>
  <c r="C6150"/>
  <c r="D6150"/>
  <c r="C6151"/>
  <c r="D6151"/>
  <c r="C6152"/>
  <c r="D6152"/>
  <c r="C6153"/>
  <c r="D6153"/>
  <c r="C6154"/>
  <c r="D6154"/>
  <c r="C6155"/>
  <c r="D6155"/>
  <c r="C6156"/>
  <c r="D6156"/>
  <c r="C6157"/>
  <c r="D6157"/>
  <c r="C6158"/>
  <c r="D6158"/>
  <c r="C6159"/>
  <c r="D6159"/>
  <c r="C6160"/>
  <c r="D6160"/>
  <c r="C6161"/>
  <c r="D6161"/>
  <c r="C6162"/>
  <c r="D6162"/>
  <c r="C6163"/>
  <c r="D6163"/>
  <c r="C6164"/>
  <c r="D6164"/>
  <c r="C6165"/>
  <c r="D6165"/>
  <c r="C6166"/>
  <c r="D6166"/>
  <c r="C6167"/>
  <c r="D6167"/>
  <c r="C6168"/>
  <c r="D6168"/>
  <c r="C6169"/>
  <c r="D6169"/>
  <c r="C6170"/>
  <c r="D6170"/>
  <c r="C6171"/>
  <c r="D6171"/>
  <c r="C6172"/>
  <c r="D6172"/>
  <c r="C6173"/>
  <c r="D6173"/>
  <c r="C6174"/>
  <c r="D6174"/>
  <c r="C6175"/>
  <c r="D6175"/>
  <c r="C6176"/>
  <c r="D6176"/>
  <c r="C6177"/>
  <c r="D6177"/>
  <c r="C6178"/>
  <c r="D6178"/>
  <c r="C6179"/>
  <c r="D6179"/>
  <c r="C6180"/>
  <c r="D6180"/>
  <c r="C6181"/>
  <c r="D6181"/>
  <c r="C6182"/>
  <c r="D6182"/>
  <c r="C6183"/>
  <c r="D6183"/>
  <c r="C6184"/>
  <c r="D6184"/>
  <c r="C6185"/>
  <c r="D6185"/>
  <c r="C6186"/>
  <c r="D6186"/>
  <c r="C6187"/>
  <c r="D6187"/>
  <c r="C6188"/>
  <c r="D6188"/>
  <c r="C6189"/>
  <c r="D6189"/>
  <c r="C6190"/>
  <c r="D6190"/>
  <c r="C6191"/>
  <c r="D6191"/>
  <c r="C6192"/>
  <c r="D6192"/>
  <c r="C6193"/>
  <c r="D6193"/>
  <c r="C6194"/>
  <c r="D6194"/>
  <c r="C6195"/>
  <c r="D6195"/>
  <c r="C6196"/>
  <c r="D6196"/>
  <c r="C6197"/>
  <c r="D6197"/>
  <c r="C6198"/>
  <c r="D6198"/>
  <c r="C6199"/>
  <c r="D6199"/>
  <c r="C6200"/>
  <c r="D6200"/>
  <c r="C6201"/>
  <c r="D6201"/>
  <c r="C6202"/>
  <c r="D6202"/>
  <c r="C6203"/>
  <c r="D6203"/>
  <c r="C6204"/>
  <c r="D6204"/>
  <c r="C6205"/>
  <c r="D6205"/>
  <c r="C6206"/>
  <c r="D6206"/>
  <c r="C6207"/>
  <c r="D6207"/>
  <c r="C6208"/>
  <c r="D6208"/>
  <c r="C6209"/>
  <c r="D6209"/>
  <c r="C6210"/>
  <c r="D6210"/>
  <c r="C6211"/>
  <c r="D6211"/>
  <c r="C6212"/>
  <c r="D6212"/>
  <c r="C6213"/>
  <c r="D6213"/>
  <c r="C6214"/>
  <c r="D6214"/>
  <c r="C6215"/>
  <c r="D6215"/>
  <c r="C6216"/>
  <c r="D6216"/>
  <c r="C6217"/>
  <c r="D6217"/>
  <c r="C6218"/>
  <c r="D6218"/>
  <c r="C6219"/>
  <c r="D6219"/>
  <c r="C6220"/>
  <c r="D6220"/>
  <c r="C6221"/>
  <c r="D6221"/>
  <c r="C6222"/>
  <c r="D6222"/>
  <c r="C6223"/>
  <c r="D6223"/>
  <c r="C6224"/>
  <c r="D6224"/>
  <c r="C6225"/>
  <c r="D6225"/>
  <c r="C6226"/>
  <c r="D6226"/>
  <c r="C6227"/>
  <c r="D6227"/>
  <c r="C6228"/>
  <c r="D6228"/>
  <c r="C6229"/>
  <c r="D6229"/>
  <c r="C6230"/>
  <c r="D6230"/>
  <c r="C6231"/>
  <c r="D6231"/>
  <c r="C6232"/>
  <c r="D6232"/>
  <c r="C6233"/>
  <c r="D6233"/>
  <c r="C6234"/>
  <c r="D6234"/>
  <c r="C6235"/>
  <c r="D6235"/>
  <c r="C6236"/>
  <c r="D6236"/>
  <c r="C6237"/>
  <c r="D6237"/>
  <c r="C6238"/>
  <c r="D6238"/>
  <c r="C6239"/>
  <c r="D6239"/>
  <c r="C6240"/>
  <c r="D6240"/>
  <c r="C6241"/>
  <c r="D6241"/>
  <c r="C6242"/>
  <c r="D6242"/>
  <c r="C6243"/>
  <c r="D6243"/>
  <c r="C6244"/>
  <c r="D6244"/>
  <c r="C6245"/>
  <c r="D6245"/>
  <c r="C6246"/>
  <c r="D6246"/>
  <c r="C6247"/>
  <c r="D6247"/>
  <c r="C6248"/>
  <c r="D6248"/>
  <c r="C6249"/>
  <c r="D6249"/>
  <c r="C6250"/>
  <c r="D6250"/>
  <c r="C6251"/>
  <c r="D6251"/>
  <c r="C6252"/>
  <c r="D6252"/>
  <c r="C6253"/>
  <c r="D6253"/>
  <c r="C6254"/>
  <c r="D6254"/>
  <c r="C6255"/>
  <c r="D6255"/>
  <c r="C6256"/>
  <c r="D6256"/>
  <c r="C6257"/>
  <c r="D6257"/>
  <c r="C6258"/>
  <c r="D6258"/>
  <c r="C6259"/>
  <c r="D6259"/>
  <c r="C6260"/>
  <c r="D6260"/>
  <c r="C6261"/>
  <c r="D6261"/>
  <c r="C6262"/>
  <c r="D6262"/>
  <c r="C6263"/>
  <c r="D6263"/>
  <c r="C6264"/>
  <c r="D6264"/>
  <c r="C6265"/>
  <c r="D6265"/>
  <c r="C6266"/>
  <c r="D6266"/>
  <c r="C6267"/>
  <c r="D6267"/>
  <c r="C6268"/>
  <c r="D6268"/>
  <c r="C6269"/>
  <c r="D6269"/>
  <c r="C6270"/>
  <c r="D6270"/>
  <c r="C6271"/>
  <c r="D6271"/>
  <c r="C6272"/>
  <c r="D6272"/>
  <c r="C6273"/>
  <c r="D6273"/>
  <c r="C6274"/>
  <c r="D6274"/>
  <c r="C6275"/>
  <c r="D6275"/>
  <c r="C6276"/>
  <c r="D6276"/>
  <c r="C6277"/>
  <c r="D6277"/>
  <c r="C6278"/>
  <c r="D6278"/>
  <c r="C6279"/>
  <c r="D6279"/>
  <c r="C6280"/>
  <c r="D6280"/>
  <c r="C6281"/>
  <c r="D6281"/>
  <c r="C6282"/>
  <c r="D6282"/>
  <c r="C6283"/>
  <c r="D6283"/>
  <c r="C6284"/>
  <c r="D6284"/>
  <c r="C6285"/>
  <c r="D6285"/>
  <c r="C6286"/>
  <c r="D6286"/>
  <c r="C6287"/>
  <c r="D6287"/>
  <c r="C6288"/>
  <c r="D6288"/>
  <c r="C6289"/>
  <c r="D6289"/>
  <c r="C6290"/>
  <c r="D6290"/>
  <c r="C6291"/>
  <c r="D6291"/>
  <c r="C6292"/>
  <c r="D6292"/>
  <c r="C6293"/>
  <c r="D6293"/>
  <c r="C6294"/>
  <c r="D6294"/>
  <c r="C6295"/>
  <c r="D6295"/>
  <c r="C6296"/>
  <c r="D6296"/>
  <c r="C6297"/>
  <c r="D6297"/>
  <c r="C6298"/>
  <c r="D6298"/>
  <c r="C6299"/>
  <c r="D6299"/>
  <c r="C6300"/>
  <c r="D6300"/>
  <c r="C6301"/>
  <c r="D6301"/>
  <c r="C6302"/>
  <c r="D6302"/>
  <c r="C6303"/>
  <c r="D6303"/>
  <c r="C6304"/>
  <c r="D6304"/>
  <c r="C6305"/>
  <c r="D6305"/>
  <c r="C6306"/>
  <c r="D6306"/>
  <c r="C6307"/>
  <c r="D6307"/>
  <c r="C6308"/>
  <c r="D6308"/>
  <c r="C6309"/>
  <c r="D6309"/>
  <c r="C6310"/>
  <c r="D6310"/>
  <c r="C6311"/>
  <c r="D6311"/>
  <c r="C6312"/>
  <c r="D6312"/>
  <c r="C6313"/>
  <c r="D6313"/>
  <c r="C6314"/>
  <c r="D6314"/>
  <c r="C6315"/>
  <c r="D6315"/>
  <c r="C6316"/>
  <c r="D6316"/>
  <c r="C6317"/>
  <c r="D6317"/>
  <c r="C6318"/>
  <c r="D6318"/>
  <c r="C6319"/>
  <c r="D6319"/>
  <c r="C6320"/>
  <c r="D6320"/>
  <c r="C6321"/>
  <c r="D6321"/>
  <c r="C6322"/>
  <c r="D6322"/>
  <c r="C6323"/>
  <c r="D6323"/>
  <c r="C6324"/>
  <c r="D6324"/>
  <c r="C6325"/>
  <c r="D6325"/>
  <c r="C6326"/>
  <c r="D6326"/>
  <c r="C6327"/>
  <c r="D6327"/>
  <c r="C6328"/>
  <c r="D6328"/>
  <c r="C6329"/>
  <c r="D6329"/>
  <c r="C6330"/>
  <c r="D6330"/>
  <c r="C6331"/>
  <c r="D6331"/>
  <c r="C6332"/>
  <c r="D6332"/>
  <c r="C6333"/>
  <c r="D6333"/>
  <c r="C6334"/>
  <c r="D6334"/>
  <c r="C6335"/>
  <c r="D6335"/>
  <c r="C6336"/>
  <c r="D6336"/>
  <c r="C6337"/>
  <c r="D6337"/>
  <c r="C6338"/>
  <c r="D6338"/>
  <c r="C6339"/>
  <c r="D6339"/>
  <c r="C6340"/>
  <c r="D6340"/>
  <c r="C6341"/>
  <c r="D6341"/>
  <c r="C6342"/>
  <c r="D6342"/>
  <c r="C6343"/>
  <c r="D6343"/>
  <c r="C6344"/>
  <c r="D6344"/>
  <c r="C6345"/>
  <c r="D6345"/>
  <c r="C6346"/>
  <c r="D6346"/>
  <c r="C6347"/>
  <c r="D6347"/>
  <c r="C6348"/>
  <c r="D6348"/>
  <c r="C6349"/>
  <c r="D6349"/>
  <c r="C6350"/>
  <c r="D6350"/>
  <c r="C6351"/>
  <c r="D6351"/>
  <c r="C6352"/>
  <c r="D6352"/>
  <c r="C6353"/>
  <c r="D6353"/>
  <c r="C6354"/>
  <c r="D6354"/>
  <c r="C6355"/>
  <c r="D6355"/>
  <c r="C6356"/>
  <c r="D6356"/>
  <c r="C6357"/>
  <c r="D6357"/>
  <c r="C6358"/>
  <c r="D6358"/>
  <c r="C6359"/>
  <c r="D6359"/>
  <c r="C6360"/>
  <c r="D6360"/>
  <c r="C6361"/>
  <c r="D6361"/>
  <c r="C6362"/>
  <c r="D6362"/>
  <c r="C6363"/>
  <c r="D6363"/>
  <c r="C6364"/>
  <c r="D6364"/>
  <c r="C6365"/>
  <c r="D6365"/>
  <c r="C6366"/>
  <c r="D6366"/>
  <c r="C6367"/>
  <c r="D6367"/>
  <c r="C6368"/>
  <c r="D6368"/>
  <c r="C6369"/>
  <c r="D6369"/>
  <c r="C6370"/>
  <c r="D6370"/>
  <c r="C6371"/>
  <c r="D6371"/>
  <c r="C6372"/>
  <c r="D6372"/>
  <c r="C6373"/>
  <c r="D6373"/>
  <c r="C6374"/>
  <c r="D6374"/>
  <c r="C6375"/>
  <c r="D6375"/>
  <c r="C6376"/>
  <c r="D6376"/>
  <c r="C6377"/>
  <c r="D6377"/>
  <c r="C6378"/>
  <c r="D6378"/>
  <c r="C6379"/>
  <c r="D6379"/>
  <c r="C6380"/>
  <c r="D6380"/>
  <c r="C6381"/>
  <c r="D6381"/>
  <c r="C6382"/>
  <c r="D6382"/>
  <c r="C6383"/>
  <c r="D6383"/>
  <c r="C6384"/>
  <c r="D6384"/>
  <c r="C6385"/>
  <c r="D6385"/>
  <c r="C6386"/>
  <c r="D6386"/>
  <c r="C6387"/>
  <c r="D6387"/>
  <c r="C6388"/>
  <c r="D6388"/>
  <c r="C6389"/>
  <c r="D6389"/>
  <c r="C6390"/>
  <c r="D6390"/>
  <c r="C6391"/>
  <c r="D6391"/>
  <c r="C6392"/>
  <c r="D6392"/>
  <c r="C6393"/>
  <c r="D6393"/>
  <c r="C6394"/>
  <c r="D6394"/>
  <c r="C6395"/>
  <c r="D6395"/>
  <c r="C6396"/>
  <c r="D6396"/>
  <c r="C6397"/>
  <c r="D6397"/>
  <c r="C6398"/>
  <c r="D6398"/>
  <c r="C6399"/>
  <c r="D6399"/>
  <c r="C6400"/>
  <c r="D6400"/>
  <c r="C6401"/>
  <c r="D6401"/>
  <c r="C6402"/>
  <c r="D6402"/>
  <c r="C6403"/>
  <c r="D6403"/>
  <c r="C6404"/>
  <c r="D6404"/>
  <c r="C6405"/>
  <c r="D6405"/>
  <c r="C6406"/>
  <c r="D6406"/>
  <c r="C6407"/>
  <c r="D6407"/>
  <c r="C6408"/>
  <c r="D6408"/>
  <c r="C6409"/>
  <c r="D6409"/>
  <c r="C6410"/>
  <c r="D6410"/>
  <c r="C6411"/>
  <c r="D6411"/>
  <c r="C6412"/>
  <c r="D6412"/>
  <c r="C6413"/>
  <c r="D6413"/>
  <c r="C6414"/>
  <c r="D6414"/>
  <c r="C6415"/>
  <c r="D6415"/>
  <c r="C6416"/>
  <c r="D6416"/>
  <c r="C6417"/>
  <c r="D6417"/>
  <c r="C6418"/>
  <c r="D6418"/>
  <c r="C6419"/>
  <c r="D6419"/>
  <c r="C6420"/>
  <c r="D6420"/>
  <c r="C6421"/>
  <c r="D6421"/>
  <c r="C6422"/>
  <c r="D6422"/>
  <c r="C6423"/>
  <c r="D6423"/>
  <c r="C6424"/>
  <c r="D6424"/>
  <c r="C6425"/>
  <c r="D6425"/>
  <c r="C6426"/>
  <c r="D6426"/>
  <c r="C6427"/>
  <c r="D6427"/>
  <c r="C6428"/>
  <c r="D6428"/>
  <c r="C6429"/>
  <c r="D6429"/>
  <c r="C6430"/>
  <c r="D6430"/>
  <c r="C6431"/>
  <c r="D6431"/>
  <c r="C6432"/>
  <c r="D6432"/>
  <c r="C6433"/>
  <c r="D6433"/>
  <c r="C6434"/>
  <c r="D6434"/>
  <c r="C6435"/>
  <c r="D6435"/>
  <c r="C6436"/>
  <c r="D6436"/>
  <c r="C6437"/>
  <c r="D6437"/>
  <c r="C6438"/>
  <c r="D6438"/>
  <c r="C6439"/>
  <c r="D6439"/>
  <c r="C6440"/>
  <c r="D6440"/>
  <c r="C6441"/>
  <c r="D6441"/>
  <c r="C6442"/>
  <c r="D6442"/>
  <c r="C6443"/>
  <c r="D6443"/>
  <c r="C6444"/>
  <c r="D6444"/>
  <c r="C6445"/>
  <c r="D6445"/>
  <c r="C6446"/>
  <c r="D6446"/>
  <c r="C6447"/>
  <c r="D6447"/>
  <c r="C6448"/>
  <c r="D6448"/>
  <c r="C6449"/>
  <c r="D6449"/>
  <c r="C6450"/>
  <c r="D6450"/>
  <c r="C6451"/>
  <c r="D6451"/>
  <c r="C6452"/>
  <c r="D6452"/>
  <c r="C6453"/>
  <c r="D6453"/>
  <c r="C6454"/>
  <c r="D6454"/>
  <c r="C6455"/>
  <c r="D6455"/>
  <c r="C6456"/>
  <c r="D6456"/>
  <c r="C6457"/>
  <c r="D6457"/>
  <c r="C6458"/>
  <c r="D6458"/>
  <c r="C6459"/>
  <c r="D6459"/>
  <c r="C6460"/>
  <c r="D6460"/>
  <c r="C6461"/>
  <c r="D6461"/>
  <c r="C6462"/>
  <c r="D6462"/>
  <c r="C6463"/>
  <c r="D6463"/>
  <c r="C6464"/>
  <c r="D6464"/>
  <c r="C6465"/>
  <c r="D6465"/>
  <c r="C6466"/>
  <c r="D6466"/>
  <c r="C6467"/>
  <c r="D6467"/>
  <c r="C6468"/>
  <c r="D6468"/>
  <c r="C6469"/>
  <c r="D6469"/>
  <c r="C6470"/>
  <c r="D6470"/>
  <c r="C6471"/>
  <c r="D6471"/>
  <c r="C6472"/>
  <c r="D6472"/>
  <c r="C6473"/>
  <c r="D6473"/>
  <c r="C6474"/>
  <c r="D6474"/>
  <c r="C6475"/>
  <c r="D6475"/>
  <c r="C6476"/>
  <c r="D6476"/>
  <c r="C6477"/>
  <c r="D6477"/>
  <c r="C6478"/>
  <c r="D6478"/>
  <c r="C6479"/>
  <c r="D6479"/>
  <c r="C6480"/>
  <c r="D6480"/>
  <c r="C6481"/>
  <c r="D6481"/>
  <c r="C6482"/>
  <c r="D6482"/>
  <c r="C6483"/>
  <c r="D6483"/>
  <c r="C6484"/>
  <c r="D6484"/>
  <c r="C6485"/>
  <c r="D6485"/>
  <c r="C6486"/>
  <c r="D6486"/>
  <c r="C6487"/>
  <c r="D6487"/>
  <c r="C6488"/>
  <c r="D6488"/>
  <c r="C6489"/>
  <c r="D6489"/>
  <c r="C6490"/>
  <c r="D6490"/>
  <c r="C6491"/>
  <c r="D6491"/>
  <c r="C6492"/>
  <c r="D6492"/>
  <c r="C6493"/>
  <c r="D6493"/>
  <c r="C6494"/>
  <c r="D6494"/>
  <c r="C6495"/>
  <c r="D6495"/>
  <c r="C6496"/>
  <c r="D6496"/>
  <c r="C6497"/>
  <c r="D6497"/>
  <c r="C6498"/>
  <c r="D6498"/>
  <c r="C6499"/>
  <c r="D6499"/>
  <c r="C6500"/>
  <c r="D6500"/>
  <c r="C6501"/>
  <c r="D6501"/>
  <c r="C6502"/>
  <c r="D6502"/>
  <c r="C6503"/>
  <c r="D6503"/>
  <c r="C6504"/>
  <c r="D6504"/>
  <c r="C6505"/>
  <c r="D6505"/>
  <c r="C6506"/>
  <c r="D6506"/>
  <c r="C6507"/>
  <c r="D6507"/>
  <c r="C6508"/>
  <c r="D6508"/>
  <c r="C6509"/>
  <c r="D6509"/>
  <c r="C6510"/>
  <c r="D6510"/>
  <c r="C6511"/>
  <c r="D6511"/>
  <c r="C6512"/>
  <c r="D6512"/>
  <c r="C6513"/>
  <c r="D6513"/>
  <c r="C6514"/>
  <c r="D6514"/>
  <c r="C6515"/>
  <c r="D6515"/>
  <c r="C6516"/>
  <c r="D6516"/>
  <c r="C6517"/>
  <c r="D6517"/>
  <c r="C6518"/>
  <c r="D6518"/>
  <c r="C6519"/>
  <c r="D6519"/>
  <c r="C6520"/>
  <c r="D6520"/>
  <c r="C6521"/>
  <c r="D6521"/>
  <c r="C6522"/>
  <c r="D6522"/>
  <c r="C6523"/>
  <c r="D6523"/>
  <c r="C6524"/>
  <c r="D6524"/>
  <c r="C6525"/>
  <c r="D6525"/>
  <c r="C6526"/>
  <c r="D6526"/>
  <c r="C6527"/>
  <c r="D6527"/>
  <c r="C6528"/>
  <c r="D6528"/>
  <c r="C6529"/>
  <c r="D6529"/>
  <c r="C6530"/>
  <c r="D6530"/>
  <c r="C6531"/>
  <c r="D6531"/>
  <c r="C6532"/>
  <c r="D6532"/>
  <c r="C6533"/>
  <c r="D6533"/>
  <c r="C6534"/>
  <c r="D6534"/>
  <c r="C6535"/>
  <c r="D6535"/>
  <c r="C6536"/>
  <c r="D6536"/>
  <c r="C6537"/>
  <c r="D6537"/>
  <c r="C6538"/>
  <c r="D6538"/>
  <c r="C6539"/>
  <c r="D6539"/>
  <c r="C6540"/>
  <c r="D6540"/>
  <c r="C6541"/>
  <c r="D6541"/>
  <c r="C6542"/>
  <c r="D6542"/>
  <c r="C6543"/>
  <c r="D6543"/>
  <c r="C6544"/>
  <c r="D6544"/>
  <c r="C6545"/>
  <c r="D6545"/>
  <c r="C6546"/>
  <c r="D6546"/>
  <c r="C6547"/>
  <c r="D6547"/>
  <c r="C6548"/>
  <c r="D6548"/>
  <c r="C6549"/>
  <c r="D6549"/>
  <c r="C6550"/>
  <c r="D6550"/>
  <c r="C6551"/>
  <c r="D6551"/>
  <c r="C6552"/>
  <c r="D6552"/>
  <c r="C6553"/>
  <c r="D6553"/>
  <c r="C6554"/>
  <c r="D6554"/>
  <c r="C6555"/>
  <c r="D6555"/>
  <c r="C6556"/>
  <c r="D6556"/>
  <c r="C6557"/>
  <c r="D6557"/>
  <c r="C6558"/>
  <c r="D6558"/>
  <c r="C6559"/>
  <c r="D6559"/>
  <c r="C6560"/>
  <c r="D6560"/>
  <c r="C6561"/>
  <c r="D6561"/>
  <c r="C6562"/>
  <c r="D6562"/>
  <c r="C6563"/>
  <c r="D6563"/>
  <c r="C6564"/>
  <c r="D6564"/>
  <c r="C6565"/>
  <c r="D6565"/>
  <c r="C6566"/>
  <c r="D6566"/>
  <c r="C6567"/>
  <c r="D6567"/>
  <c r="C6568"/>
  <c r="D6568"/>
  <c r="C6569"/>
  <c r="D6569"/>
  <c r="C6570"/>
  <c r="D6570"/>
  <c r="C6571"/>
  <c r="D6571"/>
  <c r="C6572"/>
  <c r="D6572"/>
  <c r="C6573"/>
  <c r="D6573"/>
  <c r="C6574"/>
  <c r="D6574"/>
  <c r="C6575"/>
  <c r="D6575"/>
  <c r="C6576"/>
  <c r="D6576"/>
  <c r="C6577"/>
  <c r="D6577"/>
  <c r="C6578"/>
  <c r="D6578"/>
  <c r="C6579"/>
  <c r="D6579"/>
  <c r="C6580"/>
  <c r="D6580"/>
  <c r="C6581"/>
  <c r="D6581"/>
  <c r="C6582"/>
  <c r="D6582"/>
  <c r="C6583"/>
  <c r="D6583"/>
  <c r="C6584"/>
  <c r="D6584"/>
  <c r="C6585"/>
  <c r="D6585"/>
  <c r="C6586"/>
  <c r="D6586"/>
  <c r="C6587"/>
  <c r="D6587"/>
  <c r="C6588"/>
  <c r="D6588"/>
  <c r="C6589"/>
  <c r="D6589"/>
  <c r="C6590"/>
  <c r="D6590"/>
  <c r="C6591"/>
  <c r="D6591"/>
  <c r="C6592"/>
  <c r="D6592"/>
  <c r="C6593"/>
  <c r="D6593"/>
  <c r="C6594"/>
  <c r="D6594"/>
  <c r="C6595"/>
  <c r="D6595"/>
  <c r="C6596"/>
  <c r="D6596"/>
  <c r="C6597"/>
  <c r="D6597"/>
  <c r="C6598"/>
  <c r="D6598"/>
  <c r="C6599"/>
  <c r="D6599"/>
  <c r="C6600"/>
  <c r="D6600"/>
  <c r="C6601"/>
  <c r="D6601"/>
  <c r="C6602"/>
  <c r="D6602"/>
  <c r="C6603"/>
  <c r="D6603"/>
  <c r="C6604"/>
  <c r="D6604"/>
  <c r="C6605"/>
  <c r="D6605"/>
  <c r="C6606"/>
  <c r="D6606"/>
  <c r="C6607"/>
  <c r="D6607"/>
  <c r="C6608"/>
  <c r="D6608"/>
  <c r="C6609"/>
  <c r="D6609"/>
  <c r="C6610"/>
  <c r="D6610"/>
  <c r="C6611"/>
  <c r="D6611"/>
  <c r="C6612"/>
  <c r="D6612"/>
  <c r="C6613"/>
  <c r="D6613"/>
  <c r="C6614"/>
  <c r="D6614"/>
  <c r="C6615"/>
  <c r="D6615"/>
  <c r="C6616"/>
  <c r="D6616"/>
  <c r="C6617"/>
  <c r="D6617"/>
  <c r="C6618"/>
  <c r="D6618"/>
  <c r="C6619"/>
  <c r="D6619"/>
  <c r="C6620"/>
  <c r="D6620"/>
  <c r="C6621"/>
  <c r="D6621"/>
  <c r="C6622"/>
  <c r="D6622"/>
  <c r="C6623"/>
  <c r="D6623"/>
  <c r="C6624"/>
  <c r="D6624"/>
  <c r="C6625"/>
  <c r="D6625"/>
  <c r="C6626"/>
  <c r="D6626"/>
  <c r="C6627"/>
  <c r="D6627"/>
  <c r="C6628"/>
  <c r="D6628"/>
  <c r="C6629"/>
  <c r="D6629"/>
  <c r="C6630"/>
  <c r="D6630"/>
  <c r="C6631"/>
  <c r="D6631"/>
  <c r="C6632"/>
  <c r="D6632"/>
  <c r="C6633"/>
  <c r="D6633"/>
  <c r="C6634"/>
  <c r="D6634"/>
  <c r="C6635"/>
  <c r="D6635"/>
  <c r="C6636"/>
  <c r="D6636"/>
  <c r="C6637"/>
  <c r="D6637"/>
  <c r="C6638"/>
  <c r="D6638"/>
  <c r="C6639"/>
  <c r="D6639"/>
  <c r="C6640"/>
  <c r="D6640"/>
  <c r="C6641"/>
  <c r="D6641"/>
  <c r="C6642"/>
  <c r="D6642"/>
  <c r="C6643"/>
  <c r="D6643"/>
  <c r="C6644"/>
  <c r="D6644"/>
  <c r="C6645"/>
  <c r="D6645"/>
  <c r="C6646"/>
  <c r="D6646"/>
  <c r="C6647"/>
  <c r="D6647"/>
  <c r="C6648"/>
  <c r="D6648"/>
  <c r="C6649"/>
  <c r="D6649"/>
  <c r="C6650"/>
  <c r="D6650"/>
  <c r="C6651"/>
  <c r="D6651"/>
  <c r="C6652"/>
  <c r="D6652"/>
  <c r="C6653"/>
  <c r="D6653"/>
  <c r="C6654"/>
  <c r="D6654"/>
  <c r="C6655"/>
  <c r="D6655"/>
  <c r="C6656"/>
  <c r="D6656"/>
  <c r="C6657"/>
  <c r="D6657"/>
  <c r="C6658"/>
  <c r="D6658"/>
  <c r="C6659"/>
  <c r="D6659"/>
  <c r="C6660"/>
  <c r="D6660"/>
  <c r="C6661"/>
  <c r="D6661"/>
  <c r="C6662"/>
  <c r="D6662"/>
  <c r="C6663"/>
  <c r="D6663"/>
  <c r="C6664"/>
  <c r="D6664"/>
  <c r="C6665"/>
  <c r="D6665"/>
  <c r="C6666"/>
  <c r="D6666"/>
  <c r="C6667"/>
  <c r="D6667"/>
  <c r="C6668"/>
  <c r="D6668"/>
  <c r="C6669"/>
  <c r="D6669"/>
  <c r="C6670"/>
  <c r="D6670"/>
  <c r="C6671"/>
  <c r="D6671"/>
  <c r="C6672"/>
  <c r="D6672"/>
  <c r="C6673"/>
  <c r="D6673"/>
  <c r="C6674"/>
  <c r="D6674"/>
  <c r="C6675"/>
  <c r="D6675"/>
  <c r="C6676"/>
  <c r="D6676"/>
  <c r="C6677"/>
  <c r="D6677"/>
  <c r="C6678"/>
  <c r="D6678"/>
  <c r="C6679"/>
  <c r="D6679"/>
  <c r="C6680"/>
  <c r="D6680"/>
  <c r="C6681"/>
  <c r="D6681"/>
  <c r="C6682"/>
  <c r="D6682"/>
  <c r="C6683"/>
  <c r="D6683"/>
  <c r="C6684"/>
  <c r="D6684"/>
  <c r="C6685"/>
  <c r="D6685"/>
  <c r="C6686"/>
  <c r="D6686"/>
  <c r="C6687"/>
  <c r="D6687"/>
  <c r="C6688"/>
  <c r="D6688"/>
  <c r="C6689"/>
  <c r="D6689"/>
  <c r="C6690"/>
  <c r="D6690"/>
  <c r="C6691"/>
  <c r="D6691"/>
  <c r="C6692"/>
  <c r="D6692"/>
  <c r="C6693"/>
  <c r="D6693"/>
  <c r="C6694"/>
  <c r="D6694"/>
  <c r="C6695"/>
  <c r="D6695"/>
  <c r="C6696"/>
  <c r="D6696"/>
  <c r="C6697"/>
  <c r="D6697"/>
  <c r="C6698"/>
  <c r="D6698"/>
  <c r="C6699"/>
  <c r="D6699"/>
  <c r="C6700"/>
  <c r="D6700"/>
  <c r="C6701"/>
  <c r="D6701"/>
  <c r="C6702"/>
  <c r="D6702"/>
  <c r="C6703"/>
  <c r="D6703"/>
  <c r="C6704"/>
  <c r="D6704"/>
  <c r="C6705"/>
  <c r="D6705"/>
  <c r="C6706"/>
  <c r="D6706"/>
  <c r="C6707"/>
  <c r="D6707"/>
  <c r="C6708"/>
  <c r="D6708"/>
  <c r="C6709"/>
  <c r="D6709"/>
  <c r="C6710"/>
  <c r="D6710"/>
  <c r="C6711"/>
  <c r="D6711"/>
  <c r="C6712"/>
  <c r="D6712"/>
  <c r="C6713"/>
  <c r="D6713"/>
  <c r="C6714"/>
  <c r="D6714"/>
  <c r="C6715"/>
  <c r="D6715"/>
  <c r="C6716"/>
  <c r="D6716"/>
  <c r="C6717"/>
  <c r="D6717"/>
  <c r="C6718"/>
  <c r="D6718"/>
  <c r="C6719"/>
  <c r="D6719"/>
  <c r="C6720"/>
  <c r="D6720"/>
  <c r="C6721"/>
  <c r="D6721"/>
  <c r="C6722"/>
  <c r="D6722"/>
  <c r="C6723"/>
  <c r="D6723"/>
  <c r="C6724"/>
  <c r="D6724"/>
  <c r="C6725"/>
  <c r="D6725"/>
  <c r="C6726"/>
  <c r="D6726"/>
  <c r="C6727"/>
  <c r="D6727"/>
  <c r="C6728"/>
  <c r="D6728"/>
  <c r="C6729"/>
  <c r="D6729"/>
  <c r="C6730"/>
  <c r="D6730"/>
  <c r="C6731"/>
  <c r="D6731"/>
  <c r="C6732"/>
  <c r="D6732"/>
  <c r="C6733"/>
  <c r="D6733"/>
  <c r="C6734"/>
  <c r="D6734"/>
  <c r="C6735"/>
  <c r="D6735"/>
  <c r="C6736"/>
  <c r="D6736"/>
  <c r="C6737"/>
  <c r="D6737"/>
  <c r="C6738"/>
  <c r="D6738"/>
  <c r="C6739"/>
  <c r="D6739"/>
  <c r="C6740"/>
  <c r="D6740"/>
  <c r="C6741"/>
  <c r="D6741"/>
  <c r="C6742"/>
  <c r="D6742"/>
  <c r="C6743"/>
  <c r="D6743"/>
  <c r="C6744"/>
  <c r="D6744"/>
  <c r="C6745"/>
  <c r="D6745"/>
  <c r="C6746"/>
  <c r="D6746"/>
  <c r="C6747"/>
  <c r="D6747"/>
  <c r="C6748"/>
  <c r="D6748"/>
  <c r="C6749"/>
  <c r="D6749"/>
  <c r="C6750"/>
  <c r="D6750"/>
  <c r="C6751"/>
  <c r="D6751"/>
  <c r="C6752"/>
  <c r="D6752"/>
  <c r="C6753"/>
  <c r="D6753"/>
  <c r="C6754"/>
  <c r="D6754"/>
  <c r="C6755"/>
  <c r="D6755"/>
  <c r="C6756"/>
  <c r="D6756"/>
  <c r="C6757"/>
  <c r="D6757"/>
  <c r="C6758"/>
  <c r="D6758"/>
  <c r="C6759"/>
  <c r="D6759"/>
  <c r="C6760"/>
  <c r="D6760"/>
  <c r="C6761"/>
  <c r="D6761"/>
  <c r="C6762"/>
  <c r="D6762"/>
  <c r="C6763"/>
  <c r="D6763"/>
  <c r="C6764"/>
  <c r="D6764"/>
  <c r="C6765"/>
  <c r="D6765"/>
  <c r="C6766"/>
  <c r="D6766"/>
  <c r="C6767"/>
  <c r="D6767"/>
  <c r="C6768"/>
  <c r="D6768"/>
  <c r="C6769"/>
  <c r="D6769"/>
  <c r="C6770"/>
  <c r="D6770"/>
  <c r="C6771"/>
  <c r="D6771"/>
  <c r="C6772"/>
  <c r="D6772"/>
  <c r="C6773"/>
  <c r="D6773"/>
  <c r="C6774"/>
  <c r="D6774"/>
  <c r="C6775"/>
  <c r="D6775"/>
  <c r="C6776"/>
  <c r="D6776"/>
  <c r="C6777"/>
  <c r="D6777"/>
  <c r="C6778"/>
  <c r="D6778"/>
  <c r="C6779"/>
  <c r="D6779"/>
  <c r="C6780"/>
  <c r="D6780"/>
  <c r="C6781"/>
  <c r="D6781"/>
  <c r="C6782"/>
  <c r="D6782"/>
  <c r="C6783"/>
  <c r="D6783"/>
  <c r="C6784"/>
  <c r="D6784"/>
  <c r="C6785"/>
  <c r="D6785"/>
  <c r="C6786"/>
  <c r="D6786"/>
  <c r="C6787"/>
  <c r="D6787"/>
  <c r="C6788"/>
  <c r="D6788"/>
  <c r="C6789"/>
  <c r="D6789"/>
  <c r="C6790"/>
  <c r="D6790"/>
  <c r="C6791"/>
  <c r="D6791"/>
  <c r="C6792"/>
  <c r="D6792"/>
  <c r="C6793"/>
  <c r="D6793"/>
  <c r="C6794"/>
  <c r="D6794"/>
  <c r="C6795"/>
  <c r="D6795"/>
  <c r="C6796"/>
  <c r="D6796"/>
  <c r="C6797"/>
  <c r="D6797"/>
  <c r="C6798"/>
  <c r="D6798"/>
  <c r="C6799"/>
  <c r="D6799"/>
  <c r="C6800"/>
  <c r="D6800"/>
  <c r="C6801"/>
  <c r="D6801"/>
  <c r="C6802"/>
  <c r="D6802"/>
  <c r="C6803"/>
  <c r="D6803"/>
  <c r="C6804"/>
  <c r="D6804"/>
  <c r="C6805"/>
  <c r="D6805"/>
  <c r="C6806"/>
  <c r="D6806"/>
  <c r="C6807"/>
  <c r="D6807"/>
  <c r="C6808"/>
  <c r="D6808"/>
  <c r="C6809"/>
  <c r="D6809"/>
  <c r="C6810"/>
  <c r="D6810"/>
  <c r="C6811"/>
  <c r="D6811"/>
  <c r="C6812"/>
  <c r="D6812"/>
  <c r="C6813"/>
  <c r="D6813"/>
  <c r="C6814"/>
  <c r="D6814"/>
  <c r="C6815"/>
  <c r="D6815"/>
  <c r="C6816"/>
  <c r="D6816"/>
  <c r="C6817"/>
  <c r="D6817"/>
  <c r="C6818"/>
  <c r="D6818"/>
  <c r="C6819"/>
  <c r="D6819"/>
  <c r="C6820"/>
  <c r="D6820"/>
  <c r="C6821"/>
  <c r="D6821"/>
  <c r="C6822"/>
  <c r="D6822"/>
  <c r="C6823"/>
  <c r="D6823"/>
  <c r="C6824"/>
  <c r="D6824"/>
  <c r="C6825"/>
  <c r="D6825"/>
  <c r="C6826"/>
  <c r="D6826"/>
  <c r="C6827"/>
  <c r="D6827"/>
  <c r="C6828"/>
  <c r="D6828"/>
  <c r="C6829"/>
  <c r="D6829"/>
  <c r="C6830"/>
  <c r="D6830"/>
  <c r="C6831"/>
  <c r="D6831"/>
  <c r="C6832"/>
  <c r="D6832"/>
  <c r="C6833"/>
  <c r="D6833"/>
  <c r="C6834"/>
  <c r="D6834"/>
  <c r="C6835"/>
  <c r="D6835"/>
  <c r="C6836"/>
  <c r="D6836"/>
  <c r="C6837"/>
  <c r="D6837"/>
  <c r="C6838"/>
  <c r="D6838"/>
  <c r="C6839"/>
  <c r="D6839"/>
  <c r="C6840"/>
  <c r="D6840"/>
  <c r="C6841"/>
  <c r="D6841"/>
  <c r="C6842"/>
  <c r="D6842"/>
  <c r="C6843"/>
  <c r="D6843"/>
  <c r="C6844"/>
  <c r="D6844"/>
  <c r="C6845"/>
  <c r="D6845"/>
  <c r="C6846"/>
  <c r="D6846"/>
  <c r="C6847"/>
  <c r="D6847"/>
  <c r="C6848"/>
  <c r="D6848"/>
  <c r="C6849"/>
  <c r="D6849"/>
  <c r="C6850"/>
  <c r="D6850"/>
  <c r="C6851"/>
  <c r="D6851"/>
  <c r="C6852"/>
  <c r="D6852"/>
  <c r="C6853"/>
  <c r="D6853"/>
  <c r="C6854"/>
  <c r="D6854"/>
  <c r="C6855"/>
  <c r="D6855"/>
  <c r="C6856"/>
  <c r="D6856"/>
  <c r="C6857"/>
  <c r="D6857"/>
  <c r="C6858"/>
  <c r="D6858"/>
  <c r="C6859"/>
  <c r="D6859"/>
  <c r="C6860"/>
  <c r="D6860"/>
  <c r="C6861"/>
  <c r="D6861"/>
  <c r="C6862"/>
  <c r="D6862"/>
  <c r="C6863"/>
  <c r="D6863"/>
  <c r="C6864"/>
  <c r="D6864"/>
  <c r="C6865"/>
  <c r="D6865"/>
  <c r="C6866"/>
  <c r="D6866"/>
  <c r="C6867"/>
  <c r="D6867"/>
  <c r="C6868"/>
  <c r="D6868"/>
  <c r="C6869"/>
  <c r="D6869"/>
  <c r="C6870"/>
  <c r="D6870"/>
  <c r="C6871"/>
  <c r="D6871"/>
  <c r="C6872"/>
  <c r="D6872"/>
  <c r="C6873"/>
  <c r="D6873"/>
  <c r="C6874"/>
  <c r="D6874"/>
  <c r="C6875"/>
  <c r="D6875"/>
  <c r="C6876"/>
  <c r="D6876"/>
  <c r="C6877"/>
  <c r="D6877"/>
  <c r="C6878"/>
  <c r="D6878"/>
  <c r="C6879"/>
  <c r="D6879"/>
  <c r="C6880"/>
  <c r="D6880"/>
  <c r="C6881"/>
  <c r="D6881"/>
  <c r="C6882"/>
  <c r="D6882"/>
  <c r="C6883"/>
  <c r="D6883"/>
  <c r="C6884"/>
  <c r="D6884"/>
  <c r="C6885"/>
  <c r="D6885"/>
  <c r="C6886"/>
  <c r="D6886"/>
  <c r="C6887"/>
  <c r="D6887"/>
  <c r="C6888"/>
  <c r="D6888"/>
  <c r="C6889"/>
  <c r="D6889"/>
  <c r="C6890"/>
  <c r="D6890"/>
  <c r="C6891"/>
  <c r="D6891"/>
  <c r="C6892"/>
  <c r="D6892"/>
  <c r="C6893"/>
  <c r="D6893"/>
  <c r="C6894"/>
  <c r="D6894"/>
  <c r="C6895"/>
  <c r="D6895"/>
  <c r="C6896"/>
  <c r="D6896"/>
  <c r="C6897"/>
  <c r="D6897"/>
  <c r="C6898"/>
  <c r="D6898"/>
  <c r="C6899"/>
  <c r="D6899"/>
  <c r="C6900"/>
  <c r="D6900"/>
  <c r="C6901"/>
  <c r="D6901"/>
  <c r="C6902"/>
  <c r="D6902"/>
  <c r="C6903"/>
  <c r="D6903"/>
  <c r="C6904"/>
  <c r="D6904"/>
  <c r="C6905"/>
  <c r="D6905"/>
  <c r="C6906"/>
  <c r="D6906"/>
  <c r="C6907"/>
  <c r="D6907"/>
  <c r="C6908"/>
  <c r="D6908"/>
  <c r="C6909"/>
  <c r="D6909"/>
  <c r="C6910"/>
  <c r="D6910"/>
  <c r="C6911"/>
  <c r="D6911"/>
  <c r="C6912"/>
  <c r="D6912"/>
  <c r="C6913"/>
  <c r="D6913"/>
  <c r="C6914"/>
  <c r="D6914"/>
  <c r="C6915"/>
  <c r="D6915"/>
  <c r="C6916"/>
  <c r="D6916"/>
  <c r="C6917"/>
  <c r="D6917"/>
  <c r="C6918"/>
  <c r="D6918"/>
  <c r="C6919"/>
  <c r="D6919"/>
  <c r="C6920"/>
  <c r="D6920"/>
  <c r="C6921"/>
  <c r="D6921"/>
  <c r="C6922"/>
  <c r="D6922"/>
  <c r="C6923"/>
  <c r="D6923"/>
  <c r="C6924"/>
  <c r="D6924"/>
  <c r="C6925"/>
  <c r="D6925"/>
  <c r="C6926"/>
  <c r="D6926"/>
  <c r="C6927"/>
  <c r="D6927"/>
  <c r="C6928"/>
  <c r="D6928"/>
  <c r="C6929"/>
  <c r="D6929"/>
  <c r="C6930"/>
  <c r="D6930"/>
  <c r="C6931"/>
  <c r="D6931"/>
  <c r="C6932"/>
  <c r="D6932"/>
  <c r="C6933"/>
  <c r="D6933"/>
  <c r="C6934"/>
  <c r="D6934"/>
  <c r="C6935"/>
  <c r="D6935"/>
  <c r="C6936"/>
  <c r="D6936"/>
  <c r="C6937"/>
  <c r="D6937"/>
  <c r="C6938"/>
  <c r="D6938"/>
  <c r="C6939"/>
  <c r="D6939"/>
  <c r="C6940"/>
  <c r="D6940"/>
  <c r="C6941"/>
  <c r="D6941"/>
  <c r="C6942"/>
  <c r="D6942"/>
  <c r="C6943"/>
  <c r="D6943"/>
  <c r="C6944"/>
  <c r="D6944"/>
  <c r="C6945"/>
  <c r="D6945"/>
  <c r="C6946"/>
  <c r="D6946"/>
  <c r="C6947"/>
  <c r="D6947"/>
  <c r="C6948"/>
  <c r="D6948"/>
  <c r="C6949"/>
  <c r="D6949"/>
  <c r="C6950"/>
  <c r="D6950"/>
  <c r="C6951"/>
  <c r="D6951"/>
  <c r="C6952"/>
  <c r="D6952"/>
  <c r="C6953"/>
  <c r="D6953"/>
  <c r="C6954"/>
  <c r="D6954"/>
  <c r="C6955"/>
  <c r="D6955"/>
  <c r="C6956"/>
  <c r="D6956"/>
  <c r="C6957"/>
  <c r="D6957"/>
  <c r="C6958"/>
  <c r="D6958"/>
  <c r="C6959"/>
  <c r="D6959"/>
  <c r="C6960"/>
  <c r="D6960"/>
  <c r="C6961"/>
  <c r="D6961"/>
  <c r="C6962"/>
  <c r="D6962"/>
  <c r="C6963"/>
  <c r="D6963"/>
  <c r="C6964"/>
  <c r="D6964"/>
  <c r="C6965"/>
  <c r="D6965"/>
  <c r="C6966"/>
  <c r="D6966"/>
  <c r="C6967"/>
  <c r="D6967"/>
  <c r="C6968"/>
  <c r="D6968"/>
  <c r="C6969"/>
  <c r="D6969"/>
  <c r="C6970"/>
  <c r="D6970"/>
  <c r="C6971"/>
  <c r="D6971"/>
  <c r="C6972"/>
  <c r="D6972"/>
  <c r="C6973"/>
  <c r="D6973"/>
  <c r="C6974"/>
  <c r="D6974"/>
  <c r="C6975"/>
  <c r="D6975"/>
  <c r="C6976"/>
  <c r="D6976"/>
  <c r="C6977"/>
  <c r="D6977"/>
  <c r="C6978"/>
  <c r="D6978"/>
  <c r="C6979"/>
  <c r="D6979"/>
  <c r="C6980"/>
  <c r="D6980"/>
  <c r="C6981"/>
  <c r="D6981"/>
  <c r="C6982"/>
  <c r="D6982"/>
  <c r="C6983"/>
  <c r="D6983"/>
  <c r="C6984"/>
  <c r="D6984"/>
  <c r="C6985"/>
  <c r="D6985"/>
  <c r="C6986"/>
  <c r="D6986"/>
  <c r="C6987"/>
  <c r="D6987"/>
  <c r="C6988"/>
  <c r="D6988"/>
  <c r="C6989"/>
  <c r="D6989"/>
  <c r="C6990"/>
  <c r="D6990"/>
  <c r="C6991"/>
  <c r="D6991"/>
  <c r="C6992"/>
  <c r="D6992"/>
  <c r="C6993"/>
  <c r="D6993"/>
  <c r="C6994"/>
  <c r="D6994"/>
  <c r="C6995"/>
  <c r="D6995"/>
  <c r="C6996"/>
  <c r="D6996"/>
  <c r="C6997"/>
  <c r="D6997"/>
  <c r="C6998"/>
  <c r="D6998"/>
  <c r="C6999"/>
  <c r="D6999"/>
  <c r="C7000"/>
  <c r="D7000"/>
  <c r="C7001"/>
  <c r="D7001"/>
  <c r="C7002"/>
  <c r="D7002"/>
  <c r="C7003"/>
  <c r="D7003"/>
  <c r="C7004"/>
  <c r="D7004"/>
  <c r="C7005"/>
  <c r="D7005"/>
  <c r="C7006"/>
  <c r="D7006"/>
  <c r="C7007"/>
  <c r="D7007"/>
  <c r="C7008"/>
  <c r="D7008"/>
  <c r="C7009"/>
  <c r="D7009"/>
  <c r="C7010"/>
  <c r="D7010"/>
  <c r="C7011"/>
  <c r="D7011"/>
  <c r="C7012"/>
  <c r="D7012"/>
  <c r="C7013"/>
  <c r="D7013"/>
  <c r="C7014"/>
  <c r="D7014"/>
  <c r="C7015"/>
  <c r="D7015"/>
  <c r="C7016"/>
  <c r="D7016"/>
  <c r="C7017"/>
  <c r="D7017"/>
  <c r="C7018"/>
  <c r="D7018"/>
  <c r="C7019"/>
  <c r="D7019"/>
  <c r="C7020"/>
  <c r="D7020"/>
  <c r="C7021"/>
  <c r="D7021"/>
  <c r="C7022"/>
  <c r="D7022"/>
  <c r="C7023"/>
  <c r="D7023"/>
  <c r="C7024"/>
  <c r="D7024"/>
  <c r="C7025"/>
  <c r="D7025"/>
  <c r="C7026"/>
  <c r="D7026"/>
  <c r="C7027"/>
  <c r="D7027"/>
  <c r="C7028"/>
  <c r="D7028"/>
  <c r="C7029"/>
  <c r="D7029"/>
  <c r="C7030"/>
  <c r="D7030"/>
  <c r="C7031"/>
  <c r="D7031"/>
  <c r="C7032"/>
  <c r="D7032"/>
  <c r="C7033"/>
  <c r="D7033"/>
  <c r="C7034"/>
  <c r="D7034"/>
  <c r="C7035"/>
  <c r="D7035"/>
  <c r="C7036"/>
  <c r="D7036"/>
  <c r="C7037"/>
  <c r="D7037"/>
  <c r="C7038"/>
  <c r="D7038"/>
  <c r="C7039"/>
  <c r="D7039"/>
  <c r="C7040"/>
  <c r="D7040"/>
  <c r="C7041"/>
  <c r="D7041"/>
  <c r="C7042"/>
  <c r="D7042"/>
  <c r="C7043"/>
  <c r="D7043"/>
  <c r="C7044"/>
  <c r="D7044"/>
  <c r="C7045"/>
  <c r="D7045"/>
  <c r="C7046"/>
  <c r="D7046"/>
  <c r="C7047"/>
  <c r="D7047"/>
  <c r="C7048"/>
  <c r="D7048"/>
  <c r="C7049"/>
  <c r="D7049"/>
  <c r="C7050"/>
  <c r="D7050"/>
  <c r="C7051"/>
  <c r="D7051"/>
  <c r="C7052"/>
  <c r="D7052"/>
  <c r="C7053"/>
  <c r="D7053"/>
  <c r="C7054"/>
  <c r="D7054"/>
  <c r="C7055"/>
  <c r="D7055"/>
  <c r="C7056"/>
  <c r="D7056"/>
  <c r="C7057"/>
  <c r="D7057"/>
  <c r="C7058"/>
  <c r="D7058"/>
  <c r="C7059"/>
  <c r="D7059"/>
  <c r="C7060"/>
  <c r="D7060"/>
  <c r="C7061"/>
  <c r="D7061"/>
  <c r="C7062"/>
  <c r="D7062"/>
  <c r="C7063"/>
  <c r="D7063"/>
  <c r="C7064"/>
  <c r="D7064"/>
  <c r="C7065"/>
  <c r="D7065"/>
  <c r="C7066"/>
  <c r="D7066"/>
  <c r="C7067"/>
  <c r="D7067"/>
  <c r="C7068"/>
  <c r="D7068"/>
  <c r="C7069"/>
  <c r="D7069"/>
  <c r="C7070"/>
  <c r="D7070"/>
  <c r="C7071"/>
  <c r="D7071"/>
  <c r="C7072"/>
  <c r="D7072"/>
  <c r="C7073"/>
  <c r="D7073"/>
  <c r="C7074"/>
  <c r="D7074"/>
  <c r="C7075"/>
  <c r="D7075"/>
  <c r="C7076"/>
  <c r="D7076"/>
  <c r="C7077"/>
  <c r="D7077"/>
  <c r="C7078"/>
  <c r="D7078"/>
  <c r="C7079"/>
  <c r="D7079"/>
  <c r="C7080"/>
  <c r="D7080"/>
  <c r="C7081"/>
  <c r="D7081"/>
  <c r="C7082"/>
  <c r="D7082"/>
  <c r="C7083"/>
  <c r="D7083"/>
  <c r="C7084"/>
  <c r="D7084"/>
  <c r="C7085"/>
  <c r="D7085"/>
  <c r="C7086"/>
  <c r="D7086"/>
  <c r="C7087"/>
  <c r="D7087"/>
  <c r="C7088"/>
  <c r="D7088"/>
  <c r="C7089"/>
  <c r="D7089"/>
  <c r="C7090"/>
  <c r="D7090"/>
  <c r="C7091"/>
  <c r="D7091"/>
  <c r="C7092"/>
  <c r="D7092"/>
  <c r="C7093"/>
  <c r="D7093"/>
  <c r="C7094"/>
  <c r="D7094"/>
  <c r="C7095"/>
  <c r="D7095"/>
  <c r="C7096"/>
  <c r="D7096"/>
  <c r="C7097"/>
  <c r="D7097"/>
  <c r="C7098"/>
  <c r="D7098"/>
  <c r="C7099"/>
  <c r="D7099"/>
  <c r="C7100"/>
  <c r="D7100"/>
  <c r="C7101"/>
  <c r="D7101"/>
  <c r="C7102"/>
  <c r="D7102"/>
  <c r="C7103"/>
  <c r="D7103"/>
  <c r="C7104"/>
  <c r="D7104"/>
  <c r="C7105"/>
  <c r="D7105"/>
  <c r="C7106"/>
  <c r="D7106"/>
  <c r="C7107"/>
  <c r="D7107"/>
  <c r="C7108"/>
  <c r="D7108"/>
  <c r="C7109"/>
  <c r="D7109"/>
  <c r="C7110"/>
  <c r="D7110"/>
  <c r="C7111"/>
  <c r="D7111"/>
  <c r="C7112"/>
  <c r="D7112"/>
  <c r="C7113"/>
  <c r="D7113"/>
  <c r="C7114"/>
  <c r="D7114"/>
  <c r="C7115"/>
  <c r="D7115"/>
  <c r="C7116"/>
  <c r="D7116"/>
  <c r="C7117"/>
  <c r="D7117"/>
  <c r="C7118"/>
  <c r="D7118"/>
  <c r="C7119"/>
  <c r="D7119"/>
  <c r="C7120"/>
  <c r="D7120"/>
  <c r="C7121"/>
  <c r="D7121"/>
  <c r="C7122"/>
  <c r="D7122"/>
  <c r="C7123"/>
  <c r="D7123"/>
  <c r="C7124"/>
  <c r="D7124"/>
  <c r="C7125"/>
  <c r="D7125"/>
  <c r="C7126"/>
  <c r="D7126"/>
  <c r="C7127"/>
  <c r="D7127"/>
  <c r="C7128"/>
  <c r="D7128"/>
  <c r="C7129"/>
  <c r="D7129"/>
  <c r="C7130"/>
  <c r="D7130"/>
  <c r="C7131"/>
  <c r="D7131"/>
  <c r="C7132"/>
  <c r="D7132"/>
  <c r="C7133"/>
  <c r="D7133"/>
  <c r="C7134"/>
  <c r="D7134"/>
  <c r="C7135"/>
  <c r="D7135"/>
  <c r="C7136"/>
  <c r="D7136"/>
  <c r="C7137"/>
  <c r="D7137"/>
  <c r="C7138"/>
  <c r="D7138"/>
  <c r="C7139"/>
  <c r="D7139"/>
  <c r="C7140"/>
  <c r="D7140"/>
  <c r="C7141"/>
  <c r="D7141"/>
  <c r="C7142"/>
  <c r="D7142"/>
  <c r="C7143"/>
  <c r="D7143"/>
  <c r="C7144"/>
  <c r="D7144"/>
  <c r="C7145"/>
  <c r="D7145"/>
  <c r="C7146"/>
  <c r="D7146"/>
  <c r="C7147"/>
  <c r="D7147"/>
  <c r="C7148"/>
  <c r="D7148"/>
  <c r="C7149"/>
  <c r="D7149"/>
  <c r="C7150"/>
  <c r="D7150"/>
  <c r="C7151"/>
  <c r="D7151"/>
  <c r="C7152"/>
  <c r="D7152"/>
  <c r="C7153"/>
  <c r="D7153"/>
  <c r="C7154"/>
  <c r="D7154"/>
  <c r="C7155"/>
  <c r="D7155"/>
  <c r="C7156"/>
  <c r="D7156"/>
  <c r="C7157"/>
  <c r="D7157"/>
  <c r="C7158"/>
  <c r="D7158"/>
  <c r="C7159"/>
  <c r="D7159"/>
  <c r="C7160"/>
  <c r="D7160"/>
  <c r="C7161"/>
  <c r="D7161"/>
  <c r="C7162"/>
  <c r="D7162"/>
  <c r="C7163"/>
  <c r="D7163"/>
  <c r="C7164"/>
  <c r="D7164"/>
  <c r="C7165"/>
  <c r="D7165"/>
  <c r="C7166"/>
  <c r="D7166"/>
  <c r="C7167"/>
  <c r="D7167"/>
  <c r="C7168"/>
  <c r="D7168"/>
  <c r="C7169"/>
  <c r="D7169"/>
  <c r="C7170"/>
  <c r="D7170"/>
  <c r="C7171"/>
  <c r="D7171"/>
  <c r="C7172"/>
  <c r="D7172"/>
  <c r="C7173"/>
  <c r="D7173"/>
  <c r="C7174"/>
  <c r="D7174"/>
  <c r="C7175"/>
  <c r="D7175"/>
  <c r="C7176"/>
  <c r="D7176"/>
  <c r="C7177"/>
  <c r="D7177"/>
  <c r="C7178"/>
  <c r="D7178"/>
  <c r="C7179"/>
  <c r="D7179"/>
  <c r="C7180"/>
  <c r="D7180"/>
  <c r="C7181"/>
  <c r="D7181"/>
  <c r="C7182"/>
  <c r="D7182"/>
  <c r="C7183"/>
  <c r="D7183"/>
  <c r="C7184"/>
  <c r="D7184"/>
  <c r="C7185"/>
  <c r="D7185"/>
  <c r="C7186"/>
  <c r="D7186"/>
  <c r="C7187"/>
  <c r="D7187"/>
  <c r="C7188"/>
  <c r="D7188"/>
  <c r="C7189"/>
  <c r="D7189"/>
  <c r="C7190"/>
  <c r="D7190"/>
  <c r="C7191"/>
  <c r="D7191"/>
  <c r="C7192"/>
  <c r="D7192"/>
  <c r="C7193"/>
  <c r="D7193"/>
  <c r="C7194"/>
  <c r="D7194"/>
  <c r="C7195"/>
  <c r="D7195"/>
  <c r="C7196"/>
  <c r="D7196"/>
  <c r="C7197"/>
  <c r="D7197"/>
  <c r="C7198"/>
  <c r="D7198"/>
  <c r="C7199"/>
  <c r="D7199"/>
  <c r="C7200"/>
  <c r="D7200"/>
  <c r="C7201"/>
  <c r="D7201"/>
  <c r="C7202"/>
  <c r="D7202"/>
  <c r="C7203"/>
  <c r="D7203"/>
  <c r="C7204"/>
  <c r="D7204"/>
  <c r="C7205"/>
  <c r="D7205"/>
  <c r="C7206"/>
  <c r="D7206"/>
  <c r="C7207"/>
  <c r="D7207"/>
  <c r="C7208"/>
  <c r="D7208"/>
  <c r="C7209"/>
  <c r="D7209"/>
  <c r="C7210"/>
  <c r="D7210"/>
  <c r="C7211"/>
  <c r="D7211"/>
  <c r="C7212"/>
  <c r="D7212"/>
  <c r="C7213"/>
  <c r="D7213"/>
  <c r="C7214"/>
  <c r="D7214"/>
  <c r="C7215"/>
  <c r="D7215"/>
  <c r="C7216"/>
  <c r="D7216"/>
  <c r="C7217"/>
  <c r="D7217"/>
  <c r="C7218"/>
  <c r="D7218"/>
  <c r="C7219"/>
  <c r="D7219"/>
  <c r="C7220"/>
  <c r="D7220"/>
  <c r="C7221"/>
  <c r="D7221"/>
  <c r="C7222"/>
  <c r="D7222"/>
  <c r="C7223"/>
  <c r="D7223"/>
  <c r="C7224"/>
  <c r="D7224"/>
  <c r="C7225"/>
  <c r="D7225"/>
  <c r="C7226"/>
  <c r="D7226"/>
  <c r="C7227"/>
  <c r="D7227"/>
  <c r="C7228"/>
  <c r="D7228"/>
  <c r="C7229"/>
  <c r="D7229"/>
  <c r="C7230"/>
  <c r="D7230"/>
  <c r="C7231"/>
  <c r="D7231"/>
  <c r="C7232"/>
  <c r="D7232"/>
  <c r="C7233"/>
  <c r="D7233"/>
  <c r="C7234"/>
  <c r="D7234"/>
  <c r="C7235"/>
  <c r="D7235"/>
  <c r="C7236"/>
  <c r="D7236"/>
  <c r="C7237"/>
  <c r="D7237"/>
  <c r="C7238"/>
  <c r="D7238"/>
  <c r="C7239"/>
  <c r="D7239"/>
  <c r="C7240"/>
  <c r="D7240"/>
  <c r="C7241"/>
  <c r="D7241"/>
  <c r="C7242"/>
  <c r="D7242"/>
  <c r="C7243"/>
  <c r="D7243"/>
  <c r="C7244"/>
  <c r="D7244"/>
  <c r="C7245"/>
  <c r="D7245"/>
  <c r="C7246"/>
  <c r="D7246"/>
  <c r="C7247"/>
  <c r="D7247"/>
  <c r="C7248"/>
  <c r="D7248"/>
  <c r="C7249"/>
  <c r="D7249"/>
  <c r="C7250"/>
  <c r="D7250"/>
  <c r="C7251"/>
  <c r="D7251"/>
  <c r="C7252"/>
  <c r="D7252"/>
  <c r="C7253"/>
  <c r="D7253"/>
  <c r="C7254"/>
  <c r="D7254"/>
  <c r="C7255"/>
  <c r="D7255"/>
  <c r="C7256"/>
  <c r="D7256"/>
  <c r="C7257"/>
  <c r="D7257"/>
  <c r="C7258"/>
  <c r="D7258"/>
  <c r="C7259"/>
  <c r="D7259"/>
  <c r="C7260"/>
  <c r="D7260"/>
  <c r="C7261"/>
  <c r="D7261"/>
  <c r="C7262"/>
  <c r="D7262"/>
  <c r="C7263"/>
  <c r="D7263"/>
  <c r="C7264"/>
  <c r="D7264"/>
  <c r="C7265"/>
  <c r="D7265"/>
  <c r="C7266"/>
  <c r="D7266"/>
  <c r="C7267"/>
  <c r="D7267"/>
  <c r="C7268"/>
  <c r="D7268"/>
  <c r="C7269"/>
  <c r="D7269"/>
  <c r="C7270"/>
  <c r="D7270"/>
  <c r="C7271"/>
  <c r="D7271"/>
  <c r="C7272"/>
  <c r="D7272"/>
  <c r="C7273"/>
  <c r="D7273"/>
  <c r="C7274"/>
  <c r="D7274"/>
  <c r="C7275"/>
  <c r="D7275"/>
  <c r="C7276"/>
  <c r="D7276"/>
  <c r="C7277"/>
  <c r="D7277"/>
  <c r="C7278"/>
  <c r="D7278"/>
  <c r="C7279"/>
  <c r="D7279"/>
  <c r="C7280"/>
  <c r="D7280"/>
  <c r="C7281"/>
  <c r="D7281"/>
  <c r="C7282"/>
  <c r="D7282"/>
  <c r="C7283"/>
  <c r="D7283"/>
  <c r="C7284"/>
  <c r="D7284"/>
  <c r="C7285"/>
  <c r="D7285"/>
  <c r="C7286"/>
  <c r="D7286"/>
  <c r="C7287"/>
  <c r="D7287"/>
  <c r="C7288"/>
  <c r="D7288"/>
  <c r="C7289"/>
  <c r="D7289"/>
  <c r="C7290"/>
  <c r="D7290"/>
  <c r="C7291"/>
  <c r="D7291"/>
  <c r="C7292"/>
  <c r="D7292"/>
  <c r="C7293"/>
  <c r="D7293"/>
  <c r="C7294"/>
  <c r="D7294"/>
  <c r="C7295"/>
  <c r="D7295"/>
  <c r="C7296"/>
  <c r="D7296"/>
  <c r="C7297"/>
  <c r="D7297"/>
  <c r="C7298"/>
  <c r="D7298"/>
  <c r="C7299"/>
  <c r="D7299"/>
  <c r="C7300"/>
  <c r="D7300"/>
  <c r="C7301"/>
  <c r="D7301"/>
  <c r="C7302"/>
  <c r="D7302"/>
  <c r="C7303"/>
  <c r="D7303"/>
  <c r="C7304"/>
  <c r="D7304"/>
  <c r="C7305"/>
  <c r="D7305"/>
  <c r="C7306"/>
  <c r="D7306"/>
  <c r="C7307"/>
  <c r="D7307"/>
  <c r="C7308"/>
  <c r="D7308"/>
  <c r="C7309"/>
  <c r="D7309"/>
  <c r="C7310"/>
  <c r="D7310"/>
  <c r="C7311"/>
  <c r="D7311"/>
  <c r="C7312"/>
  <c r="D7312"/>
  <c r="C7313"/>
  <c r="D7313"/>
  <c r="C7314"/>
  <c r="D7314"/>
  <c r="C7315"/>
  <c r="D7315"/>
  <c r="C7316"/>
  <c r="D7316"/>
  <c r="C7317"/>
  <c r="D7317"/>
  <c r="C7318"/>
  <c r="D7318"/>
  <c r="C7319"/>
  <c r="D7319"/>
  <c r="C7320"/>
  <c r="D7320"/>
  <c r="C7321"/>
  <c r="D7321"/>
  <c r="C7322"/>
  <c r="D7322"/>
  <c r="C7323"/>
  <c r="D7323"/>
  <c r="C7324"/>
  <c r="D7324"/>
  <c r="C7325"/>
  <c r="D7325"/>
  <c r="C7326"/>
  <c r="D7326"/>
  <c r="C7327"/>
  <c r="D7327"/>
  <c r="C7328"/>
  <c r="D7328"/>
  <c r="C7329"/>
  <c r="D7329"/>
  <c r="C7330"/>
  <c r="D7330"/>
  <c r="C7331"/>
  <c r="D7331"/>
  <c r="C7332"/>
  <c r="D7332"/>
  <c r="C7333"/>
  <c r="D7333"/>
  <c r="C7334"/>
  <c r="D7334"/>
  <c r="C7335"/>
  <c r="D7335"/>
  <c r="C7336"/>
  <c r="D7336"/>
  <c r="C7337"/>
  <c r="D7337"/>
  <c r="C7338"/>
  <c r="D7338"/>
  <c r="C7339"/>
  <c r="D7339"/>
  <c r="C7340"/>
  <c r="D7340"/>
  <c r="C7341"/>
  <c r="D7341"/>
  <c r="C7342"/>
  <c r="D7342"/>
  <c r="C7343"/>
  <c r="D7343"/>
  <c r="C7344"/>
  <c r="D7344"/>
  <c r="C7345"/>
  <c r="D7345"/>
  <c r="C7346"/>
  <c r="D7346"/>
  <c r="C7347"/>
  <c r="D7347"/>
  <c r="C7348"/>
  <c r="D7348"/>
  <c r="C7349"/>
  <c r="D7349"/>
  <c r="C7350"/>
  <c r="D7350"/>
  <c r="C7351"/>
  <c r="D7351"/>
  <c r="C7352"/>
  <c r="D7352"/>
  <c r="C7353"/>
  <c r="D7353"/>
  <c r="C7354"/>
  <c r="D7354"/>
  <c r="C7355"/>
  <c r="D7355"/>
  <c r="C7356"/>
  <c r="D7356"/>
  <c r="C7357"/>
  <c r="D7357"/>
  <c r="C7358"/>
  <c r="D7358"/>
  <c r="C7359"/>
  <c r="D7359"/>
  <c r="C7360"/>
  <c r="D7360"/>
  <c r="C7361"/>
  <c r="D7361"/>
  <c r="C7362"/>
  <c r="D7362"/>
  <c r="C7363"/>
  <c r="D7363"/>
  <c r="C7364"/>
  <c r="D7364"/>
  <c r="C7365"/>
  <c r="D7365"/>
  <c r="C7366"/>
  <c r="D7366"/>
  <c r="C7367"/>
  <c r="D7367"/>
  <c r="C7368"/>
  <c r="D7368"/>
  <c r="C7369"/>
  <c r="D7369"/>
  <c r="C7370"/>
  <c r="D7370"/>
  <c r="C7371"/>
  <c r="D7371"/>
  <c r="C7372"/>
  <c r="D7372"/>
  <c r="C7373"/>
  <c r="D7373"/>
  <c r="C7374"/>
  <c r="D7374"/>
  <c r="C7375"/>
  <c r="D7375"/>
  <c r="C7376"/>
  <c r="D7376"/>
  <c r="C7377"/>
  <c r="D7377"/>
  <c r="C7378"/>
  <c r="D7378"/>
  <c r="C7379"/>
  <c r="D7379"/>
  <c r="C7380"/>
  <c r="D7380"/>
  <c r="C7381"/>
  <c r="D7381"/>
  <c r="C7382"/>
  <c r="D7382"/>
  <c r="C7383"/>
  <c r="D7383"/>
  <c r="C7384"/>
  <c r="D7384"/>
  <c r="C7385"/>
  <c r="D7385"/>
  <c r="C7386"/>
  <c r="D7386"/>
  <c r="C7387"/>
  <c r="D7387"/>
  <c r="C7388"/>
  <c r="D7388"/>
  <c r="C7389"/>
  <c r="D7389"/>
  <c r="C7390"/>
  <c r="D7390"/>
  <c r="C7391"/>
  <c r="D7391"/>
  <c r="C7392"/>
  <c r="D7392"/>
  <c r="C7393"/>
  <c r="D7393"/>
  <c r="C7394"/>
  <c r="D7394"/>
  <c r="C7395"/>
  <c r="D7395"/>
  <c r="C7396"/>
  <c r="D7396"/>
  <c r="C7397"/>
  <c r="D7397"/>
  <c r="C7398"/>
  <c r="D7398"/>
  <c r="C7399"/>
  <c r="D7399"/>
  <c r="C7400"/>
  <c r="D7400"/>
  <c r="C7401"/>
  <c r="D7401"/>
  <c r="C7402"/>
  <c r="D7402"/>
  <c r="C7403"/>
  <c r="D7403"/>
  <c r="C7404"/>
  <c r="D7404"/>
  <c r="C7405"/>
  <c r="D7405"/>
  <c r="C7406"/>
  <c r="D7406"/>
  <c r="C7407"/>
  <c r="D7407"/>
  <c r="C7408"/>
  <c r="D7408"/>
  <c r="C7409"/>
  <c r="D7409"/>
  <c r="C7410"/>
  <c r="D7410"/>
  <c r="C7411"/>
  <c r="D7411"/>
  <c r="C7412"/>
  <c r="D7412"/>
  <c r="C7413"/>
  <c r="D7413"/>
  <c r="C7414"/>
  <c r="D7414"/>
  <c r="C7415"/>
  <c r="D7415"/>
  <c r="C7416"/>
  <c r="D7416"/>
  <c r="C7417"/>
  <c r="D7417"/>
  <c r="C7418"/>
  <c r="D7418"/>
  <c r="C7419"/>
  <c r="D7419"/>
  <c r="C7420"/>
  <c r="D7420"/>
  <c r="C7421"/>
  <c r="D7421"/>
  <c r="C7422"/>
  <c r="D7422"/>
  <c r="C7423"/>
  <c r="D7423"/>
  <c r="C7424"/>
  <c r="D7424"/>
  <c r="C7425"/>
  <c r="D7425"/>
  <c r="C7426"/>
  <c r="D7426"/>
  <c r="C7427"/>
  <c r="D7427"/>
  <c r="C7428"/>
  <c r="D7428"/>
  <c r="C7429"/>
  <c r="D7429"/>
  <c r="C7430"/>
  <c r="D7430"/>
  <c r="C7431"/>
  <c r="D7431"/>
  <c r="C7432"/>
  <c r="D7432"/>
  <c r="C7433"/>
  <c r="D7433"/>
  <c r="C7434"/>
  <c r="D7434"/>
  <c r="C7435"/>
  <c r="D7435"/>
  <c r="C7436"/>
  <c r="D7436"/>
  <c r="C7437"/>
  <c r="D7437"/>
  <c r="C7438"/>
  <c r="D7438"/>
  <c r="C7439"/>
  <c r="D7439"/>
  <c r="C7440"/>
  <c r="D7440"/>
  <c r="C7441"/>
  <c r="D7441"/>
  <c r="C7442"/>
  <c r="D7442"/>
  <c r="C7443"/>
  <c r="D7443"/>
  <c r="C7444"/>
  <c r="D7444"/>
  <c r="C7445"/>
  <c r="D7445"/>
  <c r="C7446"/>
  <c r="D7446"/>
  <c r="C7447"/>
  <c r="D7447"/>
  <c r="C7448"/>
  <c r="D7448"/>
  <c r="C7449"/>
  <c r="D7449"/>
  <c r="C7450"/>
  <c r="D7450"/>
  <c r="C7451"/>
  <c r="D7451"/>
  <c r="C7452"/>
  <c r="D7452"/>
  <c r="C7453"/>
  <c r="D7453"/>
  <c r="C7454"/>
  <c r="D7454"/>
  <c r="C7455"/>
  <c r="D7455"/>
  <c r="C7456"/>
  <c r="D7456"/>
  <c r="C7457"/>
  <c r="D7457"/>
  <c r="C7458"/>
  <c r="D7458"/>
  <c r="C7459"/>
  <c r="D7459"/>
  <c r="C7460"/>
  <c r="D7460"/>
  <c r="C7461"/>
  <c r="D7461"/>
  <c r="C7462"/>
  <c r="D7462"/>
  <c r="C7463"/>
  <c r="D7463"/>
  <c r="C7464"/>
  <c r="D7464"/>
  <c r="C7465"/>
  <c r="D7465"/>
  <c r="C7466"/>
  <c r="D7466"/>
  <c r="C7467"/>
  <c r="D7467"/>
  <c r="C7468"/>
  <c r="D7468"/>
  <c r="C7469"/>
  <c r="D7469"/>
  <c r="C7470"/>
  <c r="D7470"/>
  <c r="C7471"/>
  <c r="D7471"/>
  <c r="C7472"/>
  <c r="D7472"/>
  <c r="C7473"/>
  <c r="D7473"/>
  <c r="C7474"/>
  <c r="D7474"/>
  <c r="C7475"/>
  <c r="D7475"/>
  <c r="C7476"/>
  <c r="D7476"/>
  <c r="C7477"/>
  <c r="D7477"/>
  <c r="C7478"/>
  <c r="D7478"/>
  <c r="C7479"/>
  <c r="D7479"/>
  <c r="C7480"/>
  <c r="D7480"/>
  <c r="C7481"/>
  <c r="D7481"/>
  <c r="C7482"/>
  <c r="D7482"/>
  <c r="C7483"/>
  <c r="D7483"/>
  <c r="C7484"/>
  <c r="D7484"/>
  <c r="C7485"/>
  <c r="D7485"/>
  <c r="C7486"/>
  <c r="D7486"/>
  <c r="C7487"/>
  <c r="D7487"/>
  <c r="C7488"/>
  <c r="D7488"/>
  <c r="C7489"/>
  <c r="D7489"/>
  <c r="C7490"/>
  <c r="D7490"/>
  <c r="C7491"/>
  <c r="D7491"/>
  <c r="C7492"/>
  <c r="D7492"/>
  <c r="C7493"/>
  <c r="D7493"/>
  <c r="C7494"/>
  <c r="D7494"/>
  <c r="C7495"/>
  <c r="D7495"/>
  <c r="C7496"/>
  <c r="D7496"/>
  <c r="C7497"/>
  <c r="D7497"/>
  <c r="C7498"/>
  <c r="D7498"/>
  <c r="C7499"/>
  <c r="D7499"/>
  <c r="C7500"/>
  <c r="D7500"/>
  <c r="C7501"/>
  <c r="D7501"/>
  <c r="C7502"/>
  <c r="D7502"/>
  <c r="C7503"/>
  <c r="D7503"/>
  <c r="C7504"/>
  <c r="D7504"/>
  <c r="C7505"/>
  <c r="D7505"/>
  <c r="C7506"/>
  <c r="D7506"/>
  <c r="C7507"/>
  <c r="D7507"/>
  <c r="C7508"/>
  <c r="D7508"/>
  <c r="C7509"/>
  <c r="D7509"/>
  <c r="C7510"/>
  <c r="D7510"/>
  <c r="C7511"/>
  <c r="D7511"/>
  <c r="C7512"/>
  <c r="D7512"/>
  <c r="C7513"/>
  <c r="D7513"/>
  <c r="C7514"/>
  <c r="D7514"/>
  <c r="C7515"/>
  <c r="D7515"/>
  <c r="C7516"/>
  <c r="D7516"/>
  <c r="C7517"/>
  <c r="D7517"/>
  <c r="C7518"/>
  <c r="D7518"/>
  <c r="C7519"/>
  <c r="D7519"/>
  <c r="C7520"/>
  <c r="D7520"/>
  <c r="C7521"/>
  <c r="D7521"/>
  <c r="C7522"/>
  <c r="D7522"/>
  <c r="C7523"/>
  <c r="D7523"/>
  <c r="C7524"/>
  <c r="D7524"/>
  <c r="C7525"/>
  <c r="D7525"/>
  <c r="C7526"/>
  <c r="D7526"/>
  <c r="C7527"/>
  <c r="D7527"/>
  <c r="C7528"/>
  <c r="D7528"/>
  <c r="C7529"/>
  <c r="D7529"/>
  <c r="C7530"/>
  <c r="D7530"/>
  <c r="C7531"/>
  <c r="D7531"/>
  <c r="C7532"/>
  <c r="D7532"/>
  <c r="C7533"/>
  <c r="D7533"/>
  <c r="C7534"/>
  <c r="D7534"/>
  <c r="C7535"/>
  <c r="D7535"/>
  <c r="C7536"/>
  <c r="D7536"/>
  <c r="C7537"/>
  <c r="D7537"/>
  <c r="C7538"/>
  <c r="D7538"/>
  <c r="C7539"/>
  <c r="D7539"/>
  <c r="C7540"/>
  <c r="D7540"/>
  <c r="C7541"/>
  <c r="D7541"/>
  <c r="C7542"/>
  <c r="D7542"/>
  <c r="C7543"/>
  <c r="D7543"/>
  <c r="C7544"/>
  <c r="D7544"/>
  <c r="C7545"/>
  <c r="D7545"/>
  <c r="C7546"/>
  <c r="D7546"/>
  <c r="C7547"/>
  <c r="D7547"/>
  <c r="C7548"/>
  <c r="D7548"/>
  <c r="C7549"/>
  <c r="D7549"/>
  <c r="C7550"/>
  <c r="D7550"/>
  <c r="C7551"/>
  <c r="D7551"/>
  <c r="C7552"/>
  <c r="D7552"/>
  <c r="C7553"/>
  <c r="D7553"/>
  <c r="C7554"/>
  <c r="D7554"/>
  <c r="C7555"/>
  <c r="D7555"/>
  <c r="C7556"/>
  <c r="D7556"/>
  <c r="C7557"/>
  <c r="D7557"/>
  <c r="C7558"/>
  <c r="D7558"/>
  <c r="C7559"/>
  <c r="D7559"/>
  <c r="C7560"/>
  <c r="D7560"/>
  <c r="C7561"/>
  <c r="D7561"/>
  <c r="C7562"/>
  <c r="D7562"/>
  <c r="C7563"/>
  <c r="D7563"/>
  <c r="C7564"/>
  <c r="D7564"/>
  <c r="C7565"/>
  <c r="D7565"/>
  <c r="C7566"/>
  <c r="D7566"/>
  <c r="C7567"/>
  <c r="D7567"/>
  <c r="C7568"/>
  <c r="D7568"/>
  <c r="C7569"/>
  <c r="D7569"/>
  <c r="C7570"/>
  <c r="D7570"/>
  <c r="C7571"/>
  <c r="D7571"/>
  <c r="C7572"/>
  <c r="D7572"/>
  <c r="C7573"/>
  <c r="D7573"/>
  <c r="C7574"/>
  <c r="D7574"/>
  <c r="C7575"/>
  <c r="D7575"/>
  <c r="C7576"/>
  <c r="D7576"/>
  <c r="C7577"/>
  <c r="D7577"/>
  <c r="C7578"/>
  <c r="D7578"/>
  <c r="C7579"/>
  <c r="D7579"/>
  <c r="C7580"/>
  <c r="D7580"/>
  <c r="C7581"/>
  <c r="D7581"/>
  <c r="C7582"/>
  <c r="D7582"/>
  <c r="C7583"/>
  <c r="D7583"/>
  <c r="C7584"/>
  <c r="D7584"/>
  <c r="C7585"/>
  <c r="D7585"/>
  <c r="C7586"/>
  <c r="D7586"/>
  <c r="C7587"/>
  <c r="D7587"/>
  <c r="C7588"/>
  <c r="D7588"/>
  <c r="C7589"/>
  <c r="D7589"/>
  <c r="C7590"/>
  <c r="D7590"/>
  <c r="C7591"/>
  <c r="D7591"/>
  <c r="C7592"/>
  <c r="D7592"/>
  <c r="C7593"/>
  <c r="D7593"/>
  <c r="C7594"/>
  <c r="D7594"/>
  <c r="C7595"/>
  <c r="D7595"/>
  <c r="C7596"/>
  <c r="D7596"/>
  <c r="C7597"/>
  <c r="D7597"/>
  <c r="C7598"/>
  <c r="D7598"/>
  <c r="C7599"/>
  <c r="D7599"/>
  <c r="C7600"/>
  <c r="D7600"/>
  <c r="C7601"/>
  <c r="D7601"/>
  <c r="C7602"/>
  <c r="D7602"/>
  <c r="C7603"/>
  <c r="D7603"/>
  <c r="C7604"/>
  <c r="D7604"/>
  <c r="C7605"/>
  <c r="D7605"/>
  <c r="C7606"/>
  <c r="D7606"/>
  <c r="C7607"/>
  <c r="D7607"/>
  <c r="C7608"/>
  <c r="D7608"/>
  <c r="C7609"/>
  <c r="D7609"/>
  <c r="C7610"/>
  <c r="D7610"/>
  <c r="C7611"/>
  <c r="D7611"/>
  <c r="C7612"/>
  <c r="D7612"/>
  <c r="C7613"/>
  <c r="D7613"/>
  <c r="C7614"/>
  <c r="D7614"/>
  <c r="C7615"/>
  <c r="D7615"/>
  <c r="C7616"/>
  <c r="D7616"/>
  <c r="C7617"/>
  <c r="D7617"/>
  <c r="C7618"/>
  <c r="D7618"/>
  <c r="C7619"/>
  <c r="D7619"/>
  <c r="C7620"/>
  <c r="D7620"/>
  <c r="C7621"/>
  <c r="D7621"/>
  <c r="C7622"/>
  <c r="D7622"/>
  <c r="C7623"/>
  <c r="D7623"/>
  <c r="C7624"/>
  <c r="D7624"/>
  <c r="C7625"/>
  <c r="D7625"/>
  <c r="C7626"/>
  <c r="D7626"/>
  <c r="C7627"/>
  <c r="D7627"/>
  <c r="C7628"/>
  <c r="D7628"/>
  <c r="C7629"/>
  <c r="D7629"/>
  <c r="C7630"/>
  <c r="D7630"/>
  <c r="C7631"/>
  <c r="D7631"/>
  <c r="C7632"/>
  <c r="D7632"/>
  <c r="C7633"/>
  <c r="D7633"/>
  <c r="C7634"/>
  <c r="D7634"/>
  <c r="C7635"/>
  <c r="D7635"/>
  <c r="C7636"/>
  <c r="D7636"/>
  <c r="C7637"/>
  <c r="D7637"/>
  <c r="C7638"/>
  <c r="D7638"/>
  <c r="C7639"/>
  <c r="D7639"/>
  <c r="C7640"/>
  <c r="D7640"/>
  <c r="C7641"/>
  <c r="D7641"/>
  <c r="C7642"/>
  <c r="D7642"/>
  <c r="C7643"/>
  <c r="D7643"/>
  <c r="C7644"/>
  <c r="D7644"/>
  <c r="C7645"/>
  <c r="D7645"/>
  <c r="C7646"/>
  <c r="D7646"/>
  <c r="C7647"/>
  <c r="D7647"/>
  <c r="C7648"/>
  <c r="D7648"/>
  <c r="C7649"/>
  <c r="D7649"/>
  <c r="C7650"/>
  <c r="D7650"/>
  <c r="C7651"/>
  <c r="D7651"/>
  <c r="C7652"/>
  <c r="D7652"/>
  <c r="C7653"/>
  <c r="D7653"/>
  <c r="C7654"/>
  <c r="D7654"/>
  <c r="C7655"/>
  <c r="D7655"/>
  <c r="C7656"/>
  <c r="D7656"/>
  <c r="C7657"/>
  <c r="D7657"/>
  <c r="C7658"/>
  <c r="D7658"/>
  <c r="C7659"/>
  <c r="D7659"/>
  <c r="C7660"/>
  <c r="D7660"/>
  <c r="C7661"/>
  <c r="D7661"/>
  <c r="C7662"/>
  <c r="D7662"/>
  <c r="C7663"/>
  <c r="D7663"/>
  <c r="C7664"/>
  <c r="D7664"/>
  <c r="C7665"/>
  <c r="D7665"/>
  <c r="C7666"/>
  <c r="D7666"/>
  <c r="C7667"/>
  <c r="D7667"/>
  <c r="C7668"/>
  <c r="D7668"/>
  <c r="C7669"/>
  <c r="D7669"/>
  <c r="C7670"/>
  <c r="D7670"/>
  <c r="C7671"/>
  <c r="D7671"/>
  <c r="C7672"/>
  <c r="D7672"/>
  <c r="C7673"/>
  <c r="D7673"/>
  <c r="C7674"/>
  <c r="D7674"/>
  <c r="C7675"/>
  <c r="D7675"/>
  <c r="C7676"/>
  <c r="D7676"/>
  <c r="C7677"/>
  <c r="D7677"/>
  <c r="C7678"/>
  <c r="D7678"/>
  <c r="C7679"/>
  <c r="D7679"/>
  <c r="C7680"/>
  <c r="D7680"/>
  <c r="C7681"/>
  <c r="D7681"/>
  <c r="C7682"/>
  <c r="D7682"/>
  <c r="C7683"/>
  <c r="D7683"/>
  <c r="C7684"/>
  <c r="D7684"/>
  <c r="C7685"/>
  <c r="D7685"/>
  <c r="C7686"/>
  <c r="D7686"/>
  <c r="C7687"/>
  <c r="D7687"/>
  <c r="C7688"/>
  <c r="D7688"/>
  <c r="C7689"/>
  <c r="D7689"/>
  <c r="C7690"/>
  <c r="D7690"/>
  <c r="C7691"/>
  <c r="D7691"/>
  <c r="C7692"/>
  <c r="D7692"/>
  <c r="C7693"/>
  <c r="D7693"/>
  <c r="C7694"/>
  <c r="D7694"/>
  <c r="C7695"/>
  <c r="D7695"/>
  <c r="C7696"/>
  <c r="D7696"/>
  <c r="C7697"/>
  <c r="D7697"/>
  <c r="C7698"/>
  <c r="D7698"/>
  <c r="C7699"/>
  <c r="D7699"/>
  <c r="C7700"/>
  <c r="D7700"/>
  <c r="C7701"/>
  <c r="D7701"/>
  <c r="C7702"/>
  <c r="D7702"/>
  <c r="C7703"/>
  <c r="D7703"/>
  <c r="C7704"/>
  <c r="D7704"/>
  <c r="C7705"/>
  <c r="D7705"/>
  <c r="C7706"/>
  <c r="D7706"/>
  <c r="C7707"/>
  <c r="D7707"/>
  <c r="C7708"/>
  <c r="D7708"/>
  <c r="C7709"/>
  <c r="D7709"/>
  <c r="C7710"/>
  <c r="D7710"/>
  <c r="C7711"/>
  <c r="D7711"/>
  <c r="C7712"/>
  <c r="D7712"/>
  <c r="C7713"/>
  <c r="D7713"/>
  <c r="C7714"/>
  <c r="D7714"/>
  <c r="C7715"/>
  <c r="D7715"/>
  <c r="C7716"/>
  <c r="D7716"/>
  <c r="C7717"/>
  <c r="D7717"/>
  <c r="C7718"/>
  <c r="D7718"/>
  <c r="C7719"/>
  <c r="D7719"/>
  <c r="C7720"/>
  <c r="D7720"/>
  <c r="C7721"/>
  <c r="D7721"/>
  <c r="C7722"/>
  <c r="D7722"/>
  <c r="C7723"/>
  <c r="D7723"/>
  <c r="C7724"/>
  <c r="D7724"/>
  <c r="C7725"/>
  <c r="D7725"/>
  <c r="C7726"/>
  <c r="D7726"/>
  <c r="C7727"/>
  <c r="D7727"/>
  <c r="C7728"/>
  <c r="D7728"/>
  <c r="C7729"/>
  <c r="D7729"/>
  <c r="C7730"/>
  <c r="D7730"/>
  <c r="C7731"/>
  <c r="D7731"/>
  <c r="C7732"/>
  <c r="D7732"/>
  <c r="C7733"/>
  <c r="D7733"/>
  <c r="C7734"/>
  <c r="D7734"/>
  <c r="C7735"/>
  <c r="D7735"/>
  <c r="C7736"/>
  <c r="D7736"/>
  <c r="C7737"/>
  <c r="D7737"/>
  <c r="C7738"/>
  <c r="D7738"/>
  <c r="C7739"/>
  <c r="D7739"/>
  <c r="C7740"/>
  <c r="D7740"/>
  <c r="C7741"/>
  <c r="D7741"/>
  <c r="C7742"/>
  <c r="D7742"/>
  <c r="C7743"/>
  <c r="D7743"/>
  <c r="C7744"/>
  <c r="D7744"/>
  <c r="C7745"/>
  <c r="D7745"/>
  <c r="C7746"/>
  <c r="D7746"/>
  <c r="C7747"/>
  <c r="D7747"/>
  <c r="C7748"/>
  <c r="D7748"/>
  <c r="C7749"/>
  <c r="D7749"/>
  <c r="C7750"/>
  <c r="D7750"/>
  <c r="C7751"/>
  <c r="D7751"/>
  <c r="C7752"/>
  <c r="D7752"/>
  <c r="C7753"/>
  <c r="D7753"/>
  <c r="C7754"/>
  <c r="D7754"/>
  <c r="C7755"/>
  <c r="D7755"/>
  <c r="C7756"/>
  <c r="D7756"/>
  <c r="C7757"/>
  <c r="D7757"/>
  <c r="C7758"/>
  <c r="D7758"/>
  <c r="C7759"/>
  <c r="D7759"/>
  <c r="C7760"/>
  <c r="D7760"/>
  <c r="C7761"/>
  <c r="D7761"/>
  <c r="C7762"/>
  <c r="D7762"/>
  <c r="C7763"/>
  <c r="D7763"/>
  <c r="C7764"/>
  <c r="D7764"/>
  <c r="C7765"/>
  <c r="D7765"/>
  <c r="C7766"/>
  <c r="D7766"/>
  <c r="C7767"/>
  <c r="D7767"/>
  <c r="C7768"/>
  <c r="D7768"/>
  <c r="C7769"/>
  <c r="D7769"/>
  <c r="C7770"/>
  <c r="D7770"/>
  <c r="C7771"/>
  <c r="D7771"/>
  <c r="C7772"/>
  <c r="D7772"/>
  <c r="C7773"/>
  <c r="D7773"/>
  <c r="C7774"/>
  <c r="D7774"/>
  <c r="C7775"/>
  <c r="D7775"/>
  <c r="C7776"/>
  <c r="D7776"/>
  <c r="C7777"/>
  <c r="D7777"/>
  <c r="C7778"/>
  <c r="D7778"/>
  <c r="C7779"/>
  <c r="D7779"/>
  <c r="C7780"/>
  <c r="D7780"/>
  <c r="C7781"/>
  <c r="D7781"/>
  <c r="C7782"/>
  <c r="D7782"/>
  <c r="C7783"/>
  <c r="D7783"/>
  <c r="C7784"/>
  <c r="D7784"/>
  <c r="C7785"/>
  <c r="D7785"/>
  <c r="C7786"/>
  <c r="D7786"/>
  <c r="C7787"/>
  <c r="D7787"/>
  <c r="C7788"/>
  <c r="D7788"/>
  <c r="C7789"/>
  <c r="D7789"/>
  <c r="C7790"/>
  <c r="D7790"/>
  <c r="C7791"/>
  <c r="D7791"/>
  <c r="C7792"/>
  <c r="D7792"/>
  <c r="C7793"/>
  <c r="D7793"/>
  <c r="C7794"/>
  <c r="D7794"/>
  <c r="C7795"/>
  <c r="D7795"/>
  <c r="C7796"/>
  <c r="D7796"/>
  <c r="C7797"/>
  <c r="D7797"/>
  <c r="C7798"/>
  <c r="D7798"/>
  <c r="C7799"/>
  <c r="D7799"/>
  <c r="C7800"/>
  <c r="D7800"/>
  <c r="C7801"/>
  <c r="D7801"/>
  <c r="C7802"/>
  <c r="D7802"/>
  <c r="C7803"/>
  <c r="D7803"/>
  <c r="C7804"/>
  <c r="D7804"/>
  <c r="C7805"/>
  <c r="D7805"/>
  <c r="C7806"/>
  <c r="D7806"/>
  <c r="C7807"/>
  <c r="D7807"/>
  <c r="C7808"/>
  <c r="D7808"/>
  <c r="C7809"/>
  <c r="D7809"/>
  <c r="C7810"/>
  <c r="D7810"/>
  <c r="C7811"/>
  <c r="D7811"/>
  <c r="C7812"/>
  <c r="D7812"/>
  <c r="C7813"/>
  <c r="D7813"/>
  <c r="C7814"/>
  <c r="D7814"/>
  <c r="C7815"/>
  <c r="D7815"/>
  <c r="C7816"/>
  <c r="D7816"/>
  <c r="C7817"/>
  <c r="D7817"/>
  <c r="C7818"/>
  <c r="D7818"/>
  <c r="C7819"/>
  <c r="D7819"/>
  <c r="C7820"/>
  <c r="D7820"/>
  <c r="C7821"/>
  <c r="D7821"/>
  <c r="C7822"/>
  <c r="D7822"/>
  <c r="C7823"/>
  <c r="D7823"/>
  <c r="C7824"/>
  <c r="D7824"/>
  <c r="C7825"/>
  <c r="D7825"/>
  <c r="C7826"/>
  <c r="D7826"/>
  <c r="C7827"/>
  <c r="D7827"/>
  <c r="C7828"/>
  <c r="D7828"/>
  <c r="C7829"/>
  <c r="D7829"/>
  <c r="C7830"/>
  <c r="D7830"/>
  <c r="C7831"/>
  <c r="D7831"/>
  <c r="C7832"/>
  <c r="D7832"/>
  <c r="C7833"/>
  <c r="D7833"/>
  <c r="C7834"/>
  <c r="D7834"/>
  <c r="C7835"/>
  <c r="D7835"/>
  <c r="C7836"/>
  <c r="D7836"/>
  <c r="C7837"/>
  <c r="D7837"/>
  <c r="C7838"/>
  <c r="D7838"/>
  <c r="C7839"/>
  <c r="D7839"/>
  <c r="C7840"/>
  <c r="D7840"/>
  <c r="C7841"/>
  <c r="D7841"/>
  <c r="C7842"/>
  <c r="D7842"/>
  <c r="C7843"/>
  <c r="D7843"/>
  <c r="C7844"/>
  <c r="D7844"/>
  <c r="C7845"/>
  <c r="D7845"/>
  <c r="C7846"/>
  <c r="D7846"/>
  <c r="C7847"/>
  <c r="D7847"/>
  <c r="C7848"/>
  <c r="D7848"/>
  <c r="C7849"/>
  <c r="D7849"/>
  <c r="C7850"/>
  <c r="D7850"/>
  <c r="C7851"/>
  <c r="D7851"/>
  <c r="C7852"/>
  <c r="D7852"/>
  <c r="C7853"/>
  <c r="D7853"/>
  <c r="C7854"/>
  <c r="D7854"/>
  <c r="C7855"/>
  <c r="D7855"/>
  <c r="C7856"/>
  <c r="D7856"/>
  <c r="C7857"/>
  <c r="D7857"/>
  <c r="C7858"/>
  <c r="D7858"/>
  <c r="C7859"/>
  <c r="D7859"/>
  <c r="C7860"/>
  <c r="D7860"/>
  <c r="C7861"/>
  <c r="D7861"/>
  <c r="C7862"/>
  <c r="D7862"/>
  <c r="C7863"/>
  <c r="D7863"/>
  <c r="C7864"/>
  <c r="D7864"/>
  <c r="C7865"/>
  <c r="D7865"/>
  <c r="C7866"/>
  <c r="D7866"/>
  <c r="C7867"/>
  <c r="D7867"/>
  <c r="C7868"/>
  <c r="D7868"/>
  <c r="C7869"/>
  <c r="D7869"/>
  <c r="C7870"/>
  <c r="D7870"/>
  <c r="C7871"/>
  <c r="D7871"/>
  <c r="C7872"/>
  <c r="D7872"/>
  <c r="C7873"/>
  <c r="D7873"/>
  <c r="C7874"/>
  <c r="D7874"/>
  <c r="C7875"/>
  <c r="D7875"/>
  <c r="C7876"/>
  <c r="D7876"/>
  <c r="C7877"/>
  <c r="D7877"/>
  <c r="C7878"/>
  <c r="D7878"/>
  <c r="C7879"/>
  <c r="D7879"/>
  <c r="C7880"/>
  <c r="D7880"/>
  <c r="C7881"/>
  <c r="D7881"/>
  <c r="C7882"/>
  <c r="D7882"/>
  <c r="C7883"/>
  <c r="D7883"/>
  <c r="C7884"/>
  <c r="D7884"/>
  <c r="C7885"/>
  <c r="D7885"/>
  <c r="C7886"/>
  <c r="D7886"/>
  <c r="C7887"/>
  <c r="D7887"/>
  <c r="C7888"/>
  <c r="D7888"/>
  <c r="C7889"/>
  <c r="D7889"/>
  <c r="C7890"/>
  <c r="D7890"/>
  <c r="C7891"/>
  <c r="D7891"/>
  <c r="C7892"/>
  <c r="D7892"/>
  <c r="C7893"/>
  <c r="D7893"/>
  <c r="C7894"/>
  <c r="D7894"/>
  <c r="C7895"/>
  <c r="D7895"/>
  <c r="C7896"/>
  <c r="D7896"/>
  <c r="C7897"/>
  <c r="D7897"/>
  <c r="C7898"/>
  <c r="D7898"/>
  <c r="C7899"/>
  <c r="D7899"/>
  <c r="C7900"/>
  <c r="D7900"/>
  <c r="C7901"/>
  <c r="D7901"/>
  <c r="C7902"/>
  <c r="D7902"/>
  <c r="C7903"/>
  <c r="D7903"/>
  <c r="C7904"/>
  <c r="D7904"/>
  <c r="C7905"/>
  <c r="D7905"/>
  <c r="C7906"/>
  <c r="D7906"/>
  <c r="C7907"/>
  <c r="D7907"/>
  <c r="C7908"/>
  <c r="D7908"/>
  <c r="C7909"/>
  <c r="D7909"/>
  <c r="C7910"/>
  <c r="D7910"/>
  <c r="C7911"/>
  <c r="D7911"/>
  <c r="C7912"/>
  <c r="D7912"/>
  <c r="C7913"/>
  <c r="D7913"/>
  <c r="C7914"/>
  <c r="D7914"/>
  <c r="C7915"/>
  <c r="D7915"/>
  <c r="C7916"/>
  <c r="D7916"/>
  <c r="C7917"/>
  <c r="D7917"/>
  <c r="C7918"/>
  <c r="D7918"/>
  <c r="C7919"/>
  <c r="D7919"/>
  <c r="C7920"/>
  <c r="D7920"/>
  <c r="C7921"/>
  <c r="D7921"/>
  <c r="C7922"/>
  <c r="D7922"/>
  <c r="C7923"/>
  <c r="D7923"/>
  <c r="C7924"/>
  <c r="D7924"/>
  <c r="C7925"/>
  <c r="D7925"/>
  <c r="C7926"/>
  <c r="D7926"/>
  <c r="C7927"/>
  <c r="D7927"/>
  <c r="C7928"/>
  <c r="D7928"/>
  <c r="C7929"/>
  <c r="D7929"/>
  <c r="C7930"/>
  <c r="D7930"/>
  <c r="C7931"/>
  <c r="D7931"/>
  <c r="C7932"/>
  <c r="D7932"/>
  <c r="C7933"/>
  <c r="D7933"/>
  <c r="C7934"/>
  <c r="D7934"/>
  <c r="C7935"/>
  <c r="D7935"/>
  <c r="C7936"/>
  <c r="D7936"/>
  <c r="C7937"/>
  <c r="D7937"/>
  <c r="C7938"/>
  <c r="D7938"/>
  <c r="C7939"/>
  <c r="D7939"/>
  <c r="C7940"/>
  <c r="D7940"/>
  <c r="C7941"/>
  <c r="D7941"/>
  <c r="C7942"/>
  <c r="D7942"/>
  <c r="C7943"/>
  <c r="D7943"/>
  <c r="C7944"/>
  <c r="D7944"/>
  <c r="C7945"/>
  <c r="D7945"/>
  <c r="C7946"/>
  <c r="D7946"/>
  <c r="C7947"/>
  <c r="D7947"/>
  <c r="C7948"/>
  <c r="D7948"/>
  <c r="C7949"/>
  <c r="D7949"/>
  <c r="C7950"/>
  <c r="D7950"/>
  <c r="C7951"/>
  <c r="D7951"/>
  <c r="C7952"/>
  <c r="D7952"/>
  <c r="C7953"/>
  <c r="D7953"/>
  <c r="C7954"/>
  <c r="D7954"/>
  <c r="C7955"/>
  <c r="D7955"/>
  <c r="C7956"/>
  <c r="D7956"/>
  <c r="C7957"/>
  <c r="D7957"/>
  <c r="C7958"/>
  <c r="D7958"/>
  <c r="C7959"/>
  <c r="D7959"/>
  <c r="C7960"/>
  <c r="D7960"/>
  <c r="C7961"/>
  <c r="D7961"/>
  <c r="C7962"/>
  <c r="D7962"/>
  <c r="C7963"/>
  <c r="D7963"/>
  <c r="C7964"/>
  <c r="D7964"/>
  <c r="C7965"/>
  <c r="D7965"/>
  <c r="C7966"/>
  <c r="D7966"/>
  <c r="C7967"/>
  <c r="D7967"/>
  <c r="C7968"/>
  <c r="D7968"/>
  <c r="C7969"/>
  <c r="D7969"/>
  <c r="C7970"/>
  <c r="D7970"/>
  <c r="C7971"/>
  <c r="D7971"/>
  <c r="C7972"/>
  <c r="D7972"/>
  <c r="C7973"/>
  <c r="D7973"/>
  <c r="C7974"/>
  <c r="D7974"/>
  <c r="C7975"/>
  <c r="D7975"/>
  <c r="C7976"/>
  <c r="D7976"/>
  <c r="C7977"/>
  <c r="D7977"/>
  <c r="C7978"/>
  <c r="D7978"/>
  <c r="C7979"/>
  <c r="D7979"/>
  <c r="C7980"/>
  <c r="D7980"/>
  <c r="C7981"/>
  <c r="D7981"/>
  <c r="C7982"/>
  <c r="D7982"/>
  <c r="C7983"/>
  <c r="D7983"/>
  <c r="C7984"/>
  <c r="D7984"/>
  <c r="C7985"/>
  <c r="D7985"/>
  <c r="C7986"/>
  <c r="D7986"/>
  <c r="C7987"/>
  <c r="D7987"/>
  <c r="C7988"/>
  <c r="D7988"/>
  <c r="C7989"/>
  <c r="D7989"/>
  <c r="C7990"/>
  <c r="D7990"/>
  <c r="C7991"/>
  <c r="D7991"/>
  <c r="C7992"/>
  <c r="D7992"/>
  <c r="C7993"/>
  <c r="D7993"/>
  <c r="C7994"/>
  <c r="D7994"/>
  <c r="C7995"/>
  <c r="D7995"/>
  <c r="C7996"/>
  <c r="D7996"/>
  <c r="C7997"/>
  <c r="D7997"/>
  <c r="C7998"/>
  <c r="D7998"/>
  <c r="C7999"/>
  <c r="D7999"/>
  <c r="C8000"/>
  <c r="D8000"/>
  <c r="C8001"/>
  <c r="D8001"/>
  <c r="C8002"/>
  <c r="D8002"/>
  <c r="C8003"/>
  <c r="D8003"/>
  <c r="C8004"/>
  <c r="D8004"/>
  <c r="C8005"/>
  <c r="D8005"/>
  <c r="C8006"/>
  <c r="D8006"/>
  <c r="C8007"/>
  <c r="D8007"/>
  <c r="C8008"/>
  <c r="D8008"/>
  <c r="C8009"/>
  <c r="D8009"/>
  <c r="C8010"/>
  <c r="D8010"/>
  <c r="C8011"/>
  <c r="D8011"/>
  <c r="C8012"/>
  <c r="D8012"/>
  <c r="C8013"/>
  <c r="D8013"/>
  <c r="C8014"/>
  <c r="D8014"/>
  <c r="C8015"/>
  <c r="D8015"/>
  <c r="C8016"/>
  <c r="D8016"/>
  <c r="C8017"/>
  <c r="D8017"/>
  <c r="C8018"/>
  <c r="D8018"/>
  <c r="C8019"/>
  <c r="D8019"/>
  <c r="C8020"/>
  <c r="D8020"/>
  <c r="C8021"/>
  <c r="D8021"/>
  <c r="C8022"/>
  <c r="D8022"/>
  <c r="C8023"/>
  <c r="D8023"/>
  <c r="C8024"/>
  <c r="D8024"/>
  <c r="C8025"/>
  <c r="D8025"/>
  <c r="C8026"/>
  <c r="D8026"/>
  <c r="C8027"/>
  <c r="D8027"/>
  <c r="C8028"/>
  <c r="D8028"/>
  <c r="C8029"/>
  <c r="D8029"/>
  <c r="C8030"/>
  <c r="D8030"/>
  <c r="C8031"/>
  <c r="D8031"/>
  <c r="C8032"/>
  <c r="D8032"/>
  <c r="C8033"/>
  <c r="D8033"/>
  <c r="C8034"/>
  <c r="D8034"/>
  <c r="C8035"/>
  <c r="D8035"/>
  <c r="C8036"/>
  <c r="D8036"/>
  <c r="C8037"/>
  <c r="D8037"/>
  <c r="C8038"/>
  <c r="D8038"/>
  <c r="C8039"/>
  <c r="D8039"/>
  <c r="C8040"/>
  <c r="D8040"/>
  <c r="C8041"/>
  <c r="D8041"/>
  <c r="C8042"/>
  <c r="D8042"/>
  <c r="C8043"/>
  <c r="D8043"/>
  <c r="C8044"/>
  <c r="D8044"/>
  <c r="C8045"/>
  <c r="D8045"/>
  <c r="C8046"/>
  <c r="D8046"/>
  <c r="C8047"/>
  <c r="D8047"/>
  <c r="C8048"/>
  <c r="D8048"/>
  <c r="C8049"/>
  <c r="D8049"/>
  <c r="C8050"/>
  <c r="D8050"/>
  <c r="C8051"/>
  <c r="D8051"/>
  <c r="C8052"/>
  <c r="D8052"/>
  <c r="C8053"/>
  <c r="D8053"/>
  <c r="C8054"/>
  <c r="D8054"/>
  <c r="C8055"/>
  <c r="D8055"/>
  <c r="C8056"/>
  <c r="D8056"/>
  <c r="C8057"/>
  <c r="D8057"/>
  <c r="C8058"/>
  <c r="D8058"/>
  <c r="C8059"/>
  <c r="D8059"/>
  <c r="C8060"/>
  <c r="D8060"/>
  <c r="C8061"/>
  <c r="D8061"/>
  <c r="C8062"/>
  <c r="D8062"/>
  <c r="C8063"/>
  <c r="D8063"/>
  <c r="C8064"/>
  <c r="D8064"/>
  <c r="C8065"/>
  <c r="D8065"/>
  <c r="C8066"/>
  <c r="D8066"/>
  <c r="C8067"/>
  <c r="D8067"/>
  <c r="C8068"/>
  <c r="D8068"/>
  <c r="C8069"/>
  <c r="D8069"/>
  <c r="C8070"/>
  <c r="D8070"/>
  <c r="C8071"/>
  <c r="D8071"/>
  <c r="C8072"/>
  <c r="D8072"/>
  <c r="C8073"/>
  <c r="D8073"/>
  <c r="C8074"/>
  <c r="D8074"/>
  <c r="C8075"/>
  <c r="D8075"/>
  <c r="C8076"/>
  <c r="D8076"/>
  <c r="C8077"/>
  <c r="D8077"/>
  <c r="C8078"/>
  <c r="D8078"/>
  <c r="C8079"/>
  <c r="D8079"/>
  <c r="C8080"/>
  <c r="D8080"/>
  <c r="C8081"/>
  <c r="D8081"/>
  <c r="C8082"/>
  <c r="D8082"/>
  <c r="C8083"/>
  <c r="D8083"/>
  <c r="C8084"/>
  <c r="D8084"/>
  <c r="C8085"/>
  <c r="D8085"/>
  <c r="C8086"/>
  <c r="D8086"/>
  <c r="C8087"/>
  <c r="D8087"/>
  <c r="C8088"/>
  <c r="D8088"/>
  <c r="C8089"/>
  <c r="D8089"/>
  <c r="C8090"/>
  <c r="D8090"/>
  <c r="C8091"/>
  <c r="D8091"/>
  <c r="C8092"/>
  <c r="D8092"/>
  <c r="C8093"/>
  <c r="D8093"/>
  <c r="C8094"/>
  <c r="D8094"/>
  <c r="C8095"/>
  <c r="D8095"/>
  <c r="C8096"/>
  <c r="D8096"/>
  <c r="C8097"/>
  <c r="D8097"/>
  <c r="C8098"/>
  <c r="D8098"/>
  <c r="C8099"/>
  <c r="D8099"/>
  <c r="C8100"/>
  <c r="D8100"/>
  <c r="C8101"/>
  <c r="D8101"/>
  <c r="C8102"/>
  <c r="D8102"/>
  <c r="C8103"/>
  <c r="D8103"/>
  <c r="C8104"/>
  <c r="D8104"/>
  <c r="C8105"/>
  <c r="D8105"/>
  <c r="C8106"/>
  <c r="D8106"/>
  <c r="C8107"/>
  <c r="D8107"/>
  <c r="C8108"/>
  <c r="D8108"/>
  <c r="C8109"/>
  <c r="D8109"/>
  <c r="C8110"/>
  <c r="D8110"/>
  <c r="C8111"/>
  <c r="D8111"/>
  <c r="C8112"/>
  <c r="D8112"/>
  <c r="C8113"/>
  <c r="D8113"/>
  <c r="C8114"/>
  <c r="D8114"/>
  <c r="C8115"/>
  <c r="D8115"/>
  <c r="C8116"/>
  <c r="D8116"/>
  <c r="C8117"/>
  <c r="D8117"/>
  <c r="C8118"/>
  <c r="D8118"/>
  <c r="C8119"/>
  <c r="D8119"/>
  <c r="C8120"/>
  <c r="D8120"/>
  <c r="C8121"/>
  <c r="D8121"/>
  <c r="C8122"/>
  <c r="D8122"/>
  <c r="C8123"/>
  <c r="D8123"/>
  <c r="C8124"/>
  <c r="D8124"/>
  <c r="C8125"/>
  <c r="D8125"/>
  <c r="C8126"/>
  <c r="D8126"/>
  <c r="C8127"/>
  <c r="D8127"/>
  <c r="C8128"/>
  <c r="D8128"/>
  <c r="C8129"/>
  <c r="D8129"/>
  <c r="C8130"/>
  <c r="D8130"/>
  <c r="C8131"/>
  <c r="D8131"/>
  <c r="C8132"/>
  <c r="D8132"/>
  <c r="C8133"/>
  <c r="D8133"/>
  <c r="C8134"/>
  <c r="D8134"/>
  <c r="C8135"/>
  <c r="D8135"/>
  <c r="C8136"/>
  <c r="D8136"/>
  <c r="C8137"/>
  <c r="D8137"/>
  <c r="C8138"/>
  <c r="D8138"/>
  <c r="C8139"/>
  <c r="D8139"/>
  <c r="C8140"/>
  <c r="D8140"/>
  <c r="C8141"/>
  <c r="D8141"/>
  <c r="C8142"/>
  <c r="D8142"/>
  <c r="C8143"/>
  <c r="D8143"/>
  <c r="C8144"/>
  <c r="D8144"/>
  <c r="C8145"/>
  <c r="D8145"/>
  <c r="C8146"/>
  <c r="D8146"/>
  <c r="C8147"/>
  <c r="D8147"/>
  <c r="C8148"/>
  <c r="D8148"/>
  <c r="C8149"/>
  <c r="D8149"/>
  <c r="C8150"/>
  <c r="D8150"/>
  <c r="C8151"/>
  <c r="D8151"/>
  <c r="C8152"/>
  <c r="D8152"/>
  <c r="C8153"/>
  <c r="D8153"/>
  <c r="C8154"/>
  <c r="D8154"/>
  <c r="C8155"/>
  <c r="D8155"/>
  <c r="C8156"/>
  <c r="D8156"/>
  <c r="C8157"/>
  <c r="D8157"/>
  <c r="C8158"/>
  <c r="D8158"/>
  <c r="C8159"/>
  <c r="D8159"/>
  <c r="C8160"/>
  <c r="D8160"/>
  <c r="C8161"/>
  <c r="D8161"/>
  <c r="C8162"/>
  <c r="D8162"/>
  <c r="C8163"/>
  <c r="D8163"/>
  <c r="C8164"/>
  <c r="D8164"/>
  <c r="C8165"/>
  <c r="D8165"/>
  <c r="C8166"/>
  <c r="D8166"/>
  <c r="C8167"/>
  <c r="D8167"/>
  <c r="C8168"/>
  <c r="D8168"/>
  <c r="C8169"/>
  <c r="D8169"/>
  <c r="C8170"/>
  <c r="D8170"/>
  <c r="C8171"/>
  <c r="D8171"/>
  <c r="C8172"/>
  <c r="D8172"/>
  <c r="C8173"/>
  <c r="D8173"/>
  <c r="C8174"/>
  <c r="D8174"/>
  <c r="C8175"/>
  <c r="D8175"/>
  <c r="C8176"/>
  <c r="D8176"/>
  <c r="C8177"/>
  <c r="D8177"/>
  <c r="C8178"/>
  <c r="D8178"/>
  <c r="C8179"/>
  <c r="D8179"/>
  <c r="C8180"/>
  <c r="D8180"/>
  <c r="C8181"/>
  <c r="D8181"/>
  <c r="C8182"/>
  <c r="D8182"/>
  <c r="C8183"/>
  <c r="D8183"/>
  <c r="C8184"/>
  <c r="D8184"/>
  <c r="C8185"/>
  <c r="D8185"/>
  <c r="C8186"/>
  <c r="D8186"/>
  <c r="C8187"/>
  <c r="D8187"/>
  <c r="C8188"/>
  <c r="D8188"/>
  <c r="C8189"/>
  <c r="D8189"/>
  <c r="C8190"/>
  <c r="D8190"/>
  <c r="C8191"/>
  <c r="D8191"/>
  <c r="C8192"/>
  <c r="D8192"/>
  <c r="C8193"/>
  <c r="D8193"/>
  <c r="C8194"/>
  <c r="D8194"/>
  <c r="C8195"/>
  <c r="D8195"/>
  <c r="C8196"/>
  <c r="D8196"/>
  <c r="C8197"/>
  <c r="D8197"/>
  <c r="C8198"/>
  <c r="D8198"/>
  <c r="C8199"/>
  <c r="D8199"/>
  <c r="C8200"/>
  <c r="D8200"/>
  <c r="C8201"/>
  <c r="D8201"/>
  <c r="C8202"/>
  <c r="D8202"/>
  <c r="C8203"/>
  <c r="D8203"/>
  <c r="C8204"/>
  <c r="D8204"/>
  <c r="C8205"/>
  <c r="D8205"/>
  <c r="C8206"/>
  <c r="D8206"/>
  <c r="C8207"/>
  <c r="D8207"/>
  <c r="C8208"/>
  <c r="D8208"/>
  <c r="C8209"/>
  <c r="D8209"/>
  <c r="C8210"/>
  <c r="D8210"/>
  <c r="C8211"/>
  <c r="D8211"/>
  <c r="C8212"/>
  <c r="D8212"/>
  <c r="C8213"/>
  <c r="D8213"/>
  <c r="C8214"/>
  <c r="D8214"/>
  <c r="C8215"/>
  <c r="D8215"/>
  <c r="C8216"/>
  <c r="D8216"/>
  <c r="C8217"/>
  <c r="D8217"/>
  <c r="C8218"/>
  <c r="D8218"/>
  <c r="C8219"/>
  <c r="D8219"/>
  <c r="C8220"/>
  <c r="D8220"/>
  <c r="C8221"/>
  <c r="D8221"/>
  <c r="C8222"/>
  <c r="D8222"/>
  <c r="C8223"/>
  <c r="D8223"/>
  <c r="C8224"/>
  <c r="D8224"/>
  <c r="C8225"/>
  <c r="D8225"/>
  <c r="C8226"/>
  <c r="D8226"/>
  <c r="C8227"/>
  <c r="D8227"/>
  <c r="C8228"/>
  <c r="D8228"/>
  <c r="C8229"/>
  <c r="D8229"/>
  <c r="C8230"/>
  <c r="D8230"/>
  <c r="C8231"/>
  <c r="D8231"/>
  <c r="C8232"/>
  <c r="D8232"/>
  <c r="C8233"/>
  <c r="D8233"/>
  <c r="C8234"/>
  <c r="D8234"/>
  <c r="C8235"/>
  <c r="D8235"/>
  <c r="C8236"/>
  <c r="D8236"/>
  <c r="C8237"/>
  <c r="D8237"/>
  <c r="C8238"/>
  <c r="D8238"/>
  <c r="C8239"/>
  <c r="D8239"/>
  <c r="C8240"/>
  <c r="D8240"/>
  <c r="C8241"/>
  <c r="D8241"/>
  <c r="C8242"/>
  <c r="D8242"/>
  <c r="C8243"/>
  <c r="D8243"/>
  <c r="C8244"/>
  <c r="D8244"/>
  <c r="C8245"/>
  <c r="D8245"/>
  <c r="C8246"/>
  <c r="D8246"/>
  <c r="C8247"/>
  <c r="D8247"/>
  <c r="C8248"/>
  <c r="D8248"/>
  <c r="C8249"/>
  <c r="D8249"/>
  <c r="C8250"/>
  <c r="D8250"/>
  <c r="C8251"/>
  <c r="D8251"/>
  <c r="C8252"/>
  <c r="D8252"/>
  <c r="C8253"/>
  <c r="D8253"/>
  <c r="C8254"/>
  <c r="D8254"/>
  <c r="C8255"/>
  <c r="D8255"/>
  <c r="C8256"/>
  <c r="D8256"/>
  <c r="C8257"/>
  <c r="D8257"/>
  <c r="C8258"/>
  <c r="D8258"/>
  <c r="C8259"/>
  <c r="D8259"/>
  <c r="C8260"/>
  <c r="D8260"/>
  <c r="C8261"/>
  <c r="D8261"/>
  <c r="C8262"/>
  <c r="D8262"/>
  <c r="C8263"/>
  <c r="D8263"/>
  <c r="C8264"/>
  <c r="D8264"/>
  <c r="C8265"/>
  <c r="D8265"/>
  <c r="C8266"/>
  <c r="D8266"/>
  <c r="C8267"/>
  <c r="D8267"/>
  <c r="C8268"/>
  <c r="D8268"/>
  <c r="C8269"/>
  <c r="D8269"/>
  <c r="C8270"/>
  <c r="D8270"/>
  <c r="C8271"/>
  <c r="D8271"/>
  <c r="C8272"/>
  <c r="D8272"/>
  <c r="C8273"/>
  <c r="D8273"/>
  <c r="C8274"/>
  <c r="D8274"/>
  <c r="C8275"/>
  <c r="D8275"/>
  <c r="C8276"/>
  <c r="D8276"/>
  <c r="C8277"/>
  <c r="D8277"/>
  <c r="C8278"/>
  <c r="D8278"/>
  <c r="C8279"/>
  <c r="D8279"/>
  <c r="C8280"/>
  <c r="D8280"/>
  <c r="C8281"/>
  <c r="D8281"/>
  <c r="C8282"/>
  <c r="D8282"/>
  <c r="C8283"/>
  <c r="D8283"/>
  <c r="C8284"/>
  <c r="D8284"/>
  <c r="C8285"/>
  <c r="D8285"/>
  <c r="C8286"/>
  <c r="D8286"/>
  <c r="C8287"/>
  <c r="D8287"/>
  <c r="C8288"/>
  <c r="D8288"/>
  <c r="C8289"/>
  <c r="D8289"/>
  <c r="C8290"/>
  <c r="D8290"/>
  <c r="C8291"/>
  <c r="D8291"/>
  <c r="C8292"/>
  <c r="D8292"/>
  <c r="C8293"/>
  <c r="D8293"/>
  <c r="C8294"/>
  <c r="D8294"/>
  <c r="C8295"/>
  <c r="D8295"/>
  <c r="C8296"/>
  <c r="D8296"/>
  <c r="C8297"/>
  <c r="D8297"/>
  <c r="C8298"/>
  <c r="D8298"/>
  <c r="C8299"/>
  <c r="D8299"/>
  <c r="C8300"/>
  <c r="D8300"/>
  <c r="C8301"/>
  <c r="D8301"/>
  <c r="C8302"/>
  <c r="D8302"/>
  <c r="C8303"/>
  <c r="D8303"/>
  <c r="C8304"/>
  <c r="D8304"/>
  <c r="C8305"/>
  <c r="D8305"/>
  <c r="C8306"/>
  <c r="D8306"/>
  <c r="C8307"/>
  <c r="D8307"/>
  <c r="C8308"/>
  <c r="D8308"/>
  <c r="C8309"/>
  <c r="D8309"/>
  <c r="C8310"/>
  <c r="D8310"/>
  <c r="C8311"/>
  <c r="D8311"/>
  <c r="C8312"/>
  <c r="D8312"/>
  <c r="C8313"/>
  <c r="D8313"/>
  <c r="C8314"/>
  <c r="D8314"/>
  <c r="C8315"/>
  <c r="D8315"/>
  <c r="C8316"/>
  <c r="D8316"/>
  <c r="C8317"/>
  <c r="D8317"/>
  <c r="C8318"/>
  <c r="D8318"/>
  <c r="C8319"/>
  <c r="D8319"/>
  <c r="C8320"/>
  <c r="D8320"/>
  <c r="C8321"/>
  <c r="D8321"/>
  <c r="C8322"/>
  <c r="D8322"/>
  <c r="C8323"/>
  <c r="D8323"/>
  <c r="C8324"/>
  <c r="D8324"/>
  <c r="C8325"/>
  <c r="D8325"/>
  <c r="C8326"/>
  <c r="D8326"/>
  <c r="C8327"/>
  <c r="D8327"/>
  <c r="C8328"/>
  <c r="D8328"/>
  <c r="C8329"/>
  <c r="D8329"/>
  <c r="C8330"/>
  <c r="D8330"/>
  <c r="C8331"/>
  <c r="D8331"/>
  <c r="C8332"/>
  <c r="D8332"/>
  <c r="C8333"/>
  <c r="D8333"/>
  <c r="C8334"/>
  <c r="D8334"/>
  <c r="C8335"/>
  <c r="D8335"/>
  <c r="C8336"/>
  <c r="D8336"/>
  <c r="C8337"/>
  <c r="D8337"/>
  <c r="C8338"/>
  <c r="D8338"/>
  <c r="C8339"/>
  <c r="D8339"/>
  <c r="C8340"/>
  <c r="D8340"/>
  <c r="C8341"/>
  <c r="D8341"/>
  <c r="C8342"/>
  <c r="D8342"/>
  <c r="C8343"/>
  <c r="D8343"/>
  <c r="C8344"/>
  <c r="D8344"/>
  <c r="C8345"/>
  <c r="D8345"/>
  <c r="C8346"/>
  <c r="D8346"/>
  <c r="C8347"/>
  <c r="D8347"/>
  <c r="C8348"/>
  <c r="D8348"/>
  <c r="C8349"/>
  <c r="D8349"/>
  <c r="C8350"/>
  <c r="D8350"/>
  <c r="C8351"/>
  <c r="D8351"/>
  <c r="C8352"/>
  <c r="D8352"/>
  <c r="C8353"/>
  <c r="D8353"/>
  <c r="C8354"/>
  <c r="D8354"/>
  <c r="C8355"/>
  <c r="D8355"/>
  <c r="C8356"/>
  <c r="D8356"/>
  <c r="C8357"/>
  <c r="D8357"/>
  <c r="C8358"/>
  <c r="D8358"/>
  <c r="C8359"/>
  <c r="D8359"/>
  <c r="C8360"/>
  <c r="D8360"/>
  <c r="C8361"/>
  <c r="D8361"/>
  <c r="C8362"/>
  <c r="D8362"/>
  <c r="C8363"/>
  <c r="D8363"/>
  <c r="C8364"/>
  <c r="D8364"/>
  <c r="C8365"/>
  <c r="D8365"/>
  <c r="C8366"/>
  <c r="D8366"/>
  <c r="C8367"/>
  <c r="D8367"/>
  <c r="C8368"/>
  <c r="D8368"/>
  <c r="C8369"/>
  <c r="D8369"/>
  <c r="C8370"/>
  <c r="D8370"/>
  <c r="C8371"/>
  <c r="D8371"/>
  <c r="C8372"/>
  <c r="D8372"/>
  <c r="C8373"/>
  <c r="D8373"/>
  <c r="C8374"/>
  <c r="D8374"/>
  <c r="C8375"/>
  <c r="D8375"/>
  <c r="C8376"/>
  <c r="D8376"/>
  <c r="C8377"/>
  <c r="D8377"/>
  <c r="C8378"/>
  <c r="D8378"/>
  <c r="C8379"/>
  <c r="D8379"/>
  <c r="C8380"/>
  <c r="D8380"/>
  <c r="C8381"/>
  <c r="D8381"/>
  <c r="C8382"/>
  <c r="D8382"/>
  <c r="C8383"/>
  <c r="D8383"/>
  <c r="C8384"/>
  <c r="D8384"/>
  <c r="C8385"/>
  <c r="D8385"/>
  <c r="C8386"/>
  <c r="D8386"/>
  <c r="C8387"/>
  <c r="D8387"/>
  <c r="C8388"/>
  <c r="D8388"/>
  <c r="C8389"/>
  <c r="D8389"/>
  <c r="C8390"/>
  <c r="D8390"/>
  <c r="C8391"/>
  <c r="D8391"/>
  <c r="C8392"/>
  <c r="D8392"/>
  <c r="C8393"/>
  <c r="D8393"/>
  <c r="C8394"/>
  <c r="D8394"/>
  <c r="C8395"/>
  <c r="D8395"/>
  <c r="C8396"/>
  <c r="D8396"/>
  <c r="C8397"/>
  <c r="D8397"/>
  <c r="C8398"/>
  <c r="D8398"/>
  <c r="C8399"/>
  <c r="D8399"/>
  <c r="C8400"/>
  <c r="D8400"/>
  <c r="C8401"/>
  <c r="D8401"/>
  <c r="C8402"/>
  <c r="D8402"/>
  <c r="C8403"/>
  <c r="D8403"/>
  <c r="C8404"/>
  <c r="D8404"/>
  <c r="C8405"/>
  <c r="D8405"/>
  <c r="C8406"/>
  <c r="D8406"/>
  <c r="C8407"/>
  <c r="D8407"/>
  <c r="C8408"/>
  <c r="D8408"/>
  <c r="C8409"/>
  <c r="D8409"/>
  <c r="C8410"/>
  <c r="D8410"/>
  <c r="C8411"/>
  <c r="D8411"/>
  <c r="C8412"/>
  <c r="D8412"/>
  <c r="C8413"/>
  <c r="D8413"/>
  <c r="C8414"/>
  <c r="D8414"/>
  <c r="C8415"/>
  <c r="D8415"/>
  <c r="C8416"/>
  <c r="D8416"/>
  <c r="C8417"/>
  <c r="D8417"/>
  <c r="C8418"/>
  <c r="D8418"/>
  <c r="C8419"/>
  <c r="D8419"/>
  <c r="C8420"/>
  <c r="D8420"/>
  <c r="C8421"/>
  <c r="D8421"/>
  <c r="C8422"/>
  <c r="D8422"/>
  <c r="C8423"/>
  <c r="D8423"/>
  <c r="C8424"/>
  <c r="D8424"/>
  <c r="C8425"/>
  <c r="D8425"/>
  <c r="C8426"/>
  <c r="D8426"/>
  <c r="C8427"/>
  <c r="D8427"/>
  <c r="C8428"/>
  <c r="D8428"/>
  <c r="C8429"/>
  <c r="D8429"/>
  <c r="C8430"/>
  <c r="D8430"/>
  <c r="C8431"/>
  <c r="D8431"/>
  <c r="C8432"/>
  <c r="D8432"/>
  <c r="C8433"/>
  <c r="D8433"/>
  <c r="C8434"/>
  <c r="D8434"/>
  <c r="C8435"/>
  <c r="D8435"/>
  <c r="C8436"/>
  <c r="D8436"/>
  <c r="C8437"/>
  <c r="D8437"/>
  <c r="C8438"/>
  <c r="D8438"/>
  <c r="C8439"/>
  <c r="D8439"/>
  <c r="C8440"/>
  <c r="D8440"/>
  <c r="C8441"/>
  <c r="D8441"/>
  <c r="C8442"/>
  <c r="D8442"/>
  <c r="C8443"/>
  <c r="D8443"/>
  <c r="C8444"/>
  <c r="D8444"/>
  <c r="C8445"/>
  <c r="D8445"/>
  <c r="C8446"/>
  <c r="D8446"/>
  <c r="C8447"/>
  <c r="D8447"/>
  <c r="C8448"/>
  <c r="D8448"/>
  <c r="C8449"/>
  <c r="D8449"/>
  <c r="C8450"/>
  <c r="D8450"/>
  <c r="C8451"/>
  <c r="D8451"/>
  <c r="C8452"/>
  <c r="D8452"/>
  <c r="C8453"/>
  <c r="D8453"/>
  <c r="C8454"/>
  <c r="D8454"/>
  <c r="C8455"/>
  <c r="D8455"/>
  <c r="C8456"/>
  <c r="D8456"/>
  <c r="C8457"/>
  <c r="D8457"/>
  <c r="C8458"/>
  <c r="D8458"/>
  <c r="C8459"/>
  <c r="D8459"/>
  <c r="C8460"/>
  <c r="D8460"/>
  <c r="C8461"/>
  <c r="D8461"/>
  <c r="C8462"/>
  <c r="D8462"/>
  <c r="C8463"/>
  <c r="D8463"/>
  <c r="C8464"/>
  <c r="D8464"/>
  <c r="C8465"/>
  <c r="D8465"/>
  <c r="C8466"/>
  <c r="D8466"/>
  <c r="C8467"/>
  <c r="D8467"/>
  <c r="C8468"/>
  <c r="D8468"/>
  <c r="C8469"/>
  <c r="D8469"/>
  <c r="C8470"/>
  <c r="D8470"/>
  <c r="C8471"/>
  <c r="D8471"/>
  <c r="C8472"/>
  <c r="D8472"/>
  <c r="C8473"/>
  <c r="D8473"/>
  <c r="C8474"/>
  <c r="D8474"/>
  <c r="C8475"/>
  <c r="D8475"/>
  <c r="C8476"/>
  <c r="D8476"/>
  <c r="C8477"/>
  <c r="D8477"/>
  <c r="C8478"/>
  <c r="D8478"/>
  <c r="C8479"/>
  <c r="D8479"/>
  <c r="C8480"/>
  <c r="D8480"/>
  <c r="C8481"/>
  <c r="D8481"/>
  <c r="C8482"/>
  <c r="D8482"/>
  <c r="C8483"/>
  <c r="D8483"/>
  <c r="C8484"/>
  <c r="D8484"/>
  <c r="C8485"/>
  <c r="D8485"/>
  <c r="C8486"/>
  <c r="D8486"/>
  <c r="C8487"/>
  <c r="D8487"/>
  <c r="C8488"/>
  <c r="D8488"/>
  <c r="C8489"/>
  <c r="D8489"/>
  <c r="C8490"/>
  <c r="D8490"/>
  <c r="C8491"/>
  <c r="D8491"/>
  <c r="C8492"/>
  <c r="D8492"/>
  <c r="C8493"/>
  <c r="D8493"/>
  <c r="C8494"/>
  <c r="D8494"/>
  <c r="C8495"/>
  <c r="D8495"/>
  <c r="C8496"/>
  <c r="D8496"/>
  <c r="C8497"/>
  <c r="D8497"/>
  <c r="C8498"/>
  <c r="D8498"/>
  <c r="C8499"/>
  <c r="D8499"/>
  <c r="C8500"/>
  <c r="D8500"/>
  <c r="C8501"/>
  <c r="D8501"/>
  <c r="C8502"/>
  <c r="D8502"/>
  <c r="C8503"/>
  <c r="D8503"/>
  <c r="C8504"/>
  <c r="D8504"/>
  <c r="C8505"/>
  <c r="D8505"/>
  <c r="C8506"/>
  <c r="D8506"/>
  <c r="C8507"/>
  <c r="D8507"/>
  <c r="C8508"/>
  <c r="D8508"/>
  <c r="C8509"/>
  <c r="D8509"/>
  <c r="C8510"/>
  <c r="D8510"/>
  <c r="C8511"/>
  <c r="D8511"/>
  <c r="C8512"/>
  <c r="D8512"/>
  <c r="C8513"/>
  <c r="D8513"/>
  <c r="C8514"/>
  <c r="D8514"/>
  <c r="C8515"/>
  <c r="D8515"/>
  <c r="C8516"/>
  <c r="D8516"/>
  <c r="C8517"/>
  <c r="D8517"/>
  <c r="C8518"/>
  <c r="D8518"/>
  <c r="C8519"/>
  <c r="D8519"/>
  <c r="C8520"/>
  <c r="D8520"/>
  <c r="C8521"/>
  <c r="D8521"/>
  <c r="C8522"/>
  <c r="D8522"/>
  <c r="C8523"/>
  <c r="D8523"/>
  <c r="C8524"/>
  <c r="D8524"/>
  <c r="C8525"/>
  <c r="D8525"/>
  <c r="C8526"/>
  <c r="D8526"/>
  <c r="C8527"/>
  <c r="D8527"/>
  <c r="C8528"/>
  <c r="D8528"/>
  <c r="C8529"/>
  <c r="D8529"/>
  <c r="C8530"/>
  <c r="D8530"/>
  <c r="C8531"/>
  <c r="D8531"/>
  <c r="C8532"/>
  <c r="D8532"/>
  <c r="C8533"/>
  <c r="D8533"/>
  <c r="C8534"/>
  <c r="D8534"/>
  <c r="C8535"/>
  <c r="D8535"/>
  <c r="C8536"/>
  <c r="D8536"/>
  <c r="C8537"/>
  <c r="D8537"/>
  <c r="C8538"/>
  <c r="D8538"/>
  <c r="C8539"/>
  <c r="D8539"/>
  <c r="C8540"/>
  <c r="D8540"/>
  <c r="C8541"/>
  <c r="D8541"/>
  <c r="C8542"/>
  <c r="D8542"/>
  <c r="C8543"/>
  <c r="D8543"/>
  <c r="C8544"/>
  <c r="D8544"/>
  <c r="C8545"/>
  <c r="D8545"/>
  <c r="C8546"/>
  <c r="D8546"/>
  <c r="C8547"/>
  <c r="D8547"/>
  <c r="C8548"/>
  <c r="D8548"/>
  <c r="C8549"/>
  <c r="D8549"/>
  <c r="C8550"/>
  <c r="D8550"/>
  <c r="C8551"/>
  <c r="D8551"/>
  <c r="C8552"/>
  <c r="D8552"/>
  <c r="C8553"/>
  <c r="D8553"/>
  <c r="C8554"/>
  <c r="D8554"/>
  <c r="C8555"/>
  <c r="D8555"/>
  <c r="C8556"/>
  <c r="D8556"/>
  <c r="C8557"/>
  <c r="D8557"/>
  <c r="C8558"/>
  <c r="D8558"/>
  <c r="C8559"/>
  <c r="D8559"/>
  <c r="C8560"/>
  <c r="D8560"/>
  <c r="C8561"/>
  <c r="D8561"/>
  <c r="C8562"/>
  <c r="D8562"/>
  <c r="C8563"/>
  <c r="D8563"/>
  <c r="C8564"/>
  <c r="D8564"/>
  <c r="C8565"/>
  <c r="D8565"/>
  <c r="C8566"/>
  <c r="D8566"/>
  <c r="C8567"/>
  <c r="D8567"/>
  <c r="C8568"/>
  <c r="D8568"/>
  <c r="C8569"/>
  <c r="D8569"/>
  <c r="C8570"/>
  <c r="D8570"/>
  <c r="C8571"/>
  <c r="D8571"/>
  <c r="C8572"/>
  <c r="D8572"/>
  <c r="C8573"/>
  <c r="D8573"/>
  <c r="C8574"/>
  <c r="D8574"/>
  <c r="C8575"/>
  <c r="D8575"/>
  <c r="C8576"/>
  <c r="D8576"/>
  <c r="C8577"/>
  <c r="D8577"/>
  <c r="C8578"/>
  <c r="D8578"/>
  <c r="C8579"/>
  <c r="D8579"/>
  <c r="C8580"/>
  <c r="D8580"/>
  <c r="C8581"/>
  <c r="D8581"/>
  <c r="C8582"/>
  <c r="D8582"/>
  <c r="C8583"/>
  <c r="D8583"/>
  <c r="C8584"/>
  <c r="D8584"/>
  <c r="C8585"/>
  <c r="D8585"/>
  <c r="C8586"/>
  <c r="D8586"/>
  <c r="C8587"/>
  <c r="D8587"/>
  <c r="C8588"/>
  <c r="D8588"/>
  <c r="C8589"/>
  <c r="D8589"/>
  <c r="C8590"/>
  <c r="D8590"/>
  <c r="C8591"/>
  <c r="D8591"/>
  <c r="C8592"/>
  <c r="D8592"/>
  <c r="C8593"/>
  <c r="D8593"/>
  <c r="C8594"/>
  <c r="D8594"/>
  <c r="C8595"/>
  <c r="D8595"/>
  <c r="C8596"/>
  <c r="D8596"/>
  <c r="C8597"/>
  <c r="D8597"/>
  <c r="C8598"/>
  <c r="D8598"/>
  <c r="C8599"/>
  <c r="D8599"/>
  <c r="C8600"/>
  <c r="D8600"/>
  <c r="C8601"/>
  <c r="D8601"/>
  <c r="C8602"/>
  <c r="D8602"/>
  <c r="C8603"/>
  <c r="D8603"/>
  <c r="C8604"/>
  <c r="D8604"/>
  <c r="C8605"/>
  <c r="D8605"/>
  <c r="C8606"/>
  <c r="D8606"/>
  <c r="C8607"/>
  <c r="D8607"/>
  <c r="C8608"/>
  <c r="D8608"/>
  <c r="C8609"/>
  <c r="D8609"/>
  <c r="C8610"/>
  <c r="D8610"/>
  <c r="C8611"/>
  <c r="D8611"/>
  <c r="C8612"/>
  <c r="D8612"/>
  <c r="C8613"/>
  <c r="D8613"/>
  <c r="C8614"/>
  <c r="D8614"/>
  <c r="C8615"/>
  <c r="D8615"/>
  <c r="C8616"/>
  <c r="D8616"/>
  <c r="C8617"/>
  <c r="D8617"/>
  <c r="C8618"/>
  <c r="D8618"/>
  <c r="C8619"/>
  <c r="D8619"/>
  <c r="C8620"/>
  <c r="D8620"/>
  <c r="C8621"/>
  <c r="D8621"/>
  <c r="C8622"/>
  <c r="D8622"/>
  <c r="C8623"/>
  <c r="D8623"/>
  <c r="C8624"/>
  <c r="D8624"/>
  <c r="C8625"/>
  <c r="D8625"/>
  <c r="C8626"/>
  <c r="D8626"/>
  <c r="C8627"/>
  <c r="D8627"/>
  <c r="C8628"/>
  <c r="D8628"/>
  <c r="C8629"/>
  <c r="D8629"/>
  <c r="C8630"/>
  <c r="D8630"/>
  <c r="C8631"/>
  <c r="D8631"/>
  <c r="C8632"/>
  <c r="D8632"/>
  <c r="C8633"/>
  <c r="D8633"/>
  <c r="C8634"/>
  <c r="D8634"/>
  <c r="C8635"/>
  <c r="D8635"/>
  <c r="C8636"/>
  <c r="D8636"/>
  <c r="C8637"/>
  <c r="D8637"/>
  <c r="C8638"/>
  <c r="D8638"/>
  <c r="C8639"/>
  <c r="D8639"/>
  <c r="C8640"/>
  <c r="D8640"/>
  <c r="C8641"/>
  <c r="D8641"/>
  <c r="C8642"/>
  <c r="D8642"/>
  <c r="C8643"/>
  <c r="D8643"/>
  <c r="C8644"/>
  <c r="D8644"/>
  <c r="C8645"/>
  <c r="D8645"/>
  <c r="C8646"/>
  <c r="D8646"/>
  <c r="C8647"/>
  <c r="D8647"/>
  <c r="C8648"/>
  <c r="D8648"/>
  <c r="C8649"/>
  <c r="D8649"/>
  <c r="C8650"/>
  <c r="D8650"/>
  <c r="C8651"/>
  <c r="D8651"/>
  <c r="C8652"/>
  <c r="D8652"/>
  <c r="C8653"/>
  <c r="D8653"/>
  <c r="C8654"/>
  <c r="D8654"/>
  <c r="C8655"/>
  <c r="D8655"/>
  <c r="C8656"/>
  <c r="D8656"/>
  <c r="C8657"/>
  <c r="D8657"/>
  <c r="C8658"/>
  <c r="D8658"/>
  <c r="C8659"/>
  <c r="D8659"/>
  <c r="C8660"/>
  <c r="D8660"/>
  <c r="C8661"/>
  <c r="D8661"/>
  <c r="C8662"/>
  <c r="D8662"/>
  <c r="C8663"/>
  <c r="D8663"/>
  <c r="C8664"/>
  <c r="D8664"/>
  <c r="C8665"/>
  <c r="D8665"/>
  <c r="C8666"/>
  <c r="D8666"/>
  <c r="C8667"/>
  <c r="D8667"/>
  <c r="C8668"/>
  <c r="D8668"/>
  <c r="C8669"/>
  <c r="D8669"/>
  <c r="C8670"/>
  <c r="D8670"/>
  <c r="C8671"/>
  <c r="D8671"/>
  <c r="C8672"/>
  <c r="D8672"/>
  <c r="C8673"/>
  <c r="D8673"/>
  <c r="C8674"/>
  <c r="D8674"/>
  <c r="C8675"/>
  <c r="D8675"/>
  <c r="C8676"/>
  <c r="D8676"/>
  <c r="C8677"/>
  <c r="D8677"/>
  <c r="C8678"/>
  <c r="D8678"/>
  <c r="C8679"/>
  <c r="D8679"/>
  <c r="C8680"/>
  <c r="D8680"/>
  <c r="C8681"/>
  <c r="D8681"/>
  <c r="C8682"/>
  <c r="D8682"/>
  <c r="C8683"/>
  <c r="D8683"/>
  <c r="C8684"/>
  <c r="D8684"/>
  <c r="C8685"/>
  <c r="D8685"/>
  <c r="C8686"/>
  <c r="D8686"/>
  <c r="C8687"/>
  <c r="D8687"/>
  <c r="C8688"/>
  <c r="D8688"/>
  <c r="C8689"/>
  <c r="D8689"/>
  <c r="C8690"/>
  <c r="D8690"/>
  <c r="C8691"/>
  <c r="D8691"/>
  <c r="C8692"/>
  <c r="D8692"/>
  <c r="C8693"/>
  <c r="D8693"/>
  <c r="C8694"/>
  <c r="D8694"/>
  <c r="C8695"/>
  <c r="D8695"/>
  <c r="C8696"/>
  <c r="D8696"/>
  <c r="C8697"/>
  <c r="D8697"/>
  <c r="C8698"/>
  <c r="D8698"/>
  <c r="C8699"/>
  <c r="D8699"/>
  <c r="C8700"/>
  <c r="D8700"/>
  <c r="C8701"/>
  <c r="D8701"/>
  <c r="C8702"/>
  <c r="D8702"/>
  <c r="C8703"/>
  <c r="D8703"/>
  <c r="C8704"/>
  <c r="D8704"/>
  <c r="C8705"/>
  <c r="D8705"/>
  <c r="C8706"/>
  <c r="D8706"/>
  <c r="C8707"/>
  <c r="D8707"/>
  <c r="C8708"/>
  <c r="D8708"/>
  <c r="C8709"/>
  <c r="D8709"/>
  <c r="C8710"/>
  <c r="D8710"/>
  <c r="C8711"/>
  <c r="D8711"/>
  <c r="C8712"/>
  <c r="D8712"/>
  <c r="C8713"/>
  <c r="D8713"/>
  <c r="C8714"/>
  <c r="D8714"/>
  <c r="C8715"/>
  <c r="D8715"/>
  <c r="C8716"/>
  <c r="D8716"/>
  <c r="C8717"/>
  <c r="D8717"/>
  <c r="C8718"/>
  <c r="D8718"/>
  <c r="C8719"/>
  <c r="D8719"/>
  <c r="C8720"/>
  <c r="D8720"/>
  <c r="C8721"/>
  <c r="D8721"/>
  <c r="C8722"/>
  <c r="D8722"/>
  <c r="C8723"/>
  <c r="D8723"/>
  <c r="C8724"/>
  <c r="D8724"/>
  <c r="C8725"/>
  <c r="D8725"/>
  <c r="C8726"/>
  <c r="D8726"/>
  <c r="C8727"/>
  <c r="D8727"/>
  <c r="C8728"/>
  <c r="D8728"/>
  <c r="C8729"/>
  <c r="D8729"/>
  <c r="C8730"/>
  <c r="D8730"/>
  <c r="C8731"/>
  <c r="D8731"/>
  <c r="C8732"/>
  <c r="D8732"/>
  <c r="C8733"/>
  <c r="D8733"/>
  <c r="C8734"/>
  <c r="D8734"/>
  <c r="C8735"/>
  <c r="D8735"/>
  <c r="C8736"/>
  <c r="D8736"/>
  <c r="C8737"/>
  <c r="D8737"/>
  <c r="C8738"/>
  <c r="D8738"/>
  <c r="C8739"/>
  <c r="D8739"/>
  <c r="C8740"/>
  <c r="D8740"/>
  <c r="C8741"/>
  <c r="D8741"/>
  <c r="C8742"/>
  <c r="D8742"/>
  <c r="C8743"/>
  <c r="D8743"/>
  <c r="C8744"/>
  <c r="D8744"/>
  <c r="C8745"/>
  <c r="D8745"/>
  <c r="C8746"/>
  <c r="D8746"/>
  <c r="C8747"/>
  <c r="D8747"/>
  <c r="C8748"/>
  <c r="D8748"/>
  <c r="C8749"/>
  <c r="D8749"/>
  <c r="C8750"/>
  <c r="D8750"/>
  <c r="C8751"/>
  <c r="D8751"/>
  <c r="C8752"/>
  <c r="D8752"/>
  <c r="C8753"/>
  <c r="D8753"/>
  <c r="C8754"/>
  <c r="D8754"/>
  <c r="C8755"/>
  <c r="D8755"/>
  <c r="C8756"/>
  <c r="D8756"/>
  <c r="C8757"/>
  <c r="D8757"/>
  <c r="C8758"/>
  <c r="D8758"/>
  <c r="C8759"/>
  <c r="D8759"/>
  <c r="C8760"/>
  <c r="D8760"/>
  <c r="C8761"/>
  <c r="D8761"/>
  <c r="C8762"/>
  <c r="D8762"/>
  <c r="C8763"/>
  <c r="D8763"/>
  <c r="C8764"/>
  <c r="D8764"/>
  <c r="C8765"/>
  <c r="D8765"/>
  <c r="C8766"/>
  <c r="D8766"/>
  <c r="C8767"/>
  <c r="D8767"/>
  <c r="C8768"/>
  <c r="D8768"/>
  <c r="C8769"/>
  <c r="D8769"/>
  <c r="C8770"/>
  <c r="D8770"/>
  <c r="C8771"/>
  <c r="D8771"/>
  <c r="C8772"/>
  <c r="D8772"/>
  <c r="C8773"/>
  <c r="D8773"/>
  <c r="C8774"/>
  <c r="D8774"/>
  <c r="C8775"/>
  <c r="D8775"/>
  <c r="C8776"/>
  <c r="D8776"/>
  <c r="C8777"/>
  <c r="D8777"/>
  <c r="C8778"/>
  <c r="D8778"/>
  <c r="C8779"/>
  <c r="D8779"/>
  <c r="C8780"/>
  <c r="D8780"/>
  <c r="C8781"/>
  <c r="D8781"/>
  <c r="C8782"/>
  <c r="D8782"/>
  <c r="C8783"/>
  <c r="D8783"/>
  <c r="C8784"/>
  <c r="D8784"/>
  <c r="C8785"/>
  <c r="D8785"/>
  <c r="C8786"/>
  <c r="D8786"/>
  <c r="C8787"/>
  <c r="D8787"/>
  <c r="C8788"/>
  <c r="D8788"/>
  <c r="C8789"/>
  <c r="D8789"/>
  <c r="C8790"/>
  <c r="D8790"/>
  <c r="C8791"/>
  <c r="D8791"/>
  <c r="C8792"/>
  <c r="D8792"/>
  <c r="C8793"/>
  <c r="D8793"/>
  <c r="C8794"/>
  <c r="D8794"/>
  <c r="C8795"/>
  <c r="D8795"/>
  <c r="C8796"/>
  <c r="D8796"/>
  <c r="C8797"/>
  <c r="D8797"/>
  <c r="C8798"/>
  <c r="D8798"/>
  <c r="C8799"/>
  <c r="D8799"/>
  <c r="C8800"/>
  <c r="D8800"/>
  <c r="C8801"/>
  <c r="D8801"/>
  <c r="C8802"/>
  <c r="D8802"/>
  <c r="C8803"/>
  <c r="D8803"/>
  <c r="C8804"/>
  <c r="D8804"/>
  <c r="C8805"/>
  <c r="D8805"/>
  <c r="C8806"/>
  <c r="D8806"/>
  <c r="C8807"/>
  <c r="D8807"/>
  <c r="C8808"/>
  <c r="D8808"/>
  <c r="C8809"/>
  <c r="D8809"/>
  <c r="C8810"/>
  <c r="D8810"/>
  <c r="C8811"/>
  <c r="D8811"/>
  <c r="C8812"/>
  <c r="D8812"/>
  <c r="C8813"/>
  <c r="D8813"/>
  <c r="C8814"/>
  <c r="D8814"/>
  <c r="C8815"/>
  <c r="D8815"/>
  <c r="C8816"/>
  <c r="D8816"/>
  <c r="C8817"/>
  <c r="D8817"/>
  <c r="C8818"/>
  <c r="D8818"/>
  <c r="C8819"/>
  <c r="D8819"/>
  <c r="C8820"/>
  <c r="D8820"/>
  <c r="C8821"/>
  <c r="D8821"/>
  <c r="C8822"/>
  <c r="D8822"/>
  <c r="C8823"/>
  <c r="D8823"/>
  <c r="C8824"/>
  <c r="D8824"/>
  <c r="C8825"/>
  <c r="D8825"/>
  <c r="C8826"/>
  <c r="D8826"/>
  <c r="C8827"/>
  <c r="D8827"/>
  <c r="C8828"/>
  <c r="D8828"/>
  <c r="C8829"/>
  <c r="D8829"/>
  <c r="C8830"/>
  <c r="D8830"/>
  <c r="C8831"/>
  <c r="D8831"/>
  <c r="C8832"/>
  <c r="D8832"/>
  <c r="C8833"/>
  <c r="D8833"/>
  <c r="C8834"/>
  <c r="D8834"/>
  <c r="C8835"/>
  <c r="D8835"/>
  <c r="C8836"/>
  <c r="D8836"/>
  <c r="C8837"/>
  <c r="D8837"/>
  <c r="C8838"/>
  <c r="D8838"/>
  <c r="C8839"/>
  <c r="D8839"/>
  <c r="C8840"/>
  <c r="D8840"/>
  <c r="C8841"/>
  <c r="D8841"/>
  <c r="C8842"/>
  <c r="D8842"/>
  <c r="C8843"/>
  <c r="D8843"/>
  <c r="C8844"/>
  <c r="D8844"/>
  <c r="C8845"/>
  <c r="D8845"/>
  <c r="C8846"/>
  <c r="D8846"/>
  <c r="C8847"/>
  <c r="D8847"/>
  <c r="C8848"/>
  <c r="D8848"/>
  <c r="C8849"/>
  <c r="D8849"/>
  <c r="C8850"/>
  <c r="D8850"/>
  <c r="C8851"/>
  <c r="D8851"/>
  <c r="C8852"/>
  <c r="D8852"/>
  <c r="C8853"/>
  <c r="D8853"/>
  <c r="C8854"/>
  <c r="D8854"/>
  <c r="C8855"/>
  <c r="D8855"/>
  <c r="C8856"/>
  <c r="D8856"/>
  <c r="C8857"/>
  <c r="D8857"/>
  <c r="C8858"/>
  <c r="D8858"/>
  <c r="C8859"/>
  <c r="D8859"/>
  <c r="C8860"/>
  <c r="D8860"/>
  <c r="C8861"/>
  <c r="D8861"/>
  <c r="C8862"/>
  <c r="D8862"/>
  <c r="C8863"/>
  <c r="D8863"/>
  <c r="C8864"/>
  <c r="D8864"/>
  <c r="C8865"/>
  <c r="D8865"/>
  <c r="C8866"/>
  <c r="D8866"/>
  <c r="C8867"/>
  <c r="D8867"/>
  <c r="C8868"/>
  <c r="D8868"/>
  <c r="C8869"/>
  <c r="D8869"/>
  <c r="C8870"/>
  <c r="D8870"/>
  <c r="C8871"/>
  <c r="D8871"/>
  <c r="C8872"/>
  <c r="D8872"/>
  <c r="C8873"/>
  <c r="D8873"/>
  <c r="C8874"/>
  <c r="D8874"/>
  <c r="C8875"/>
  <c r="D8875"/>
  <c r="C8876"/>
  <c r="D8876"/>
  <c r="C8877"/>
  <c r="D8877"/>
  <c r="C8878"/>
  <c r="D8878"/>
  <c r="C8879"/>
  <c r="D8879"/>
  <c r="C8880"/>
  <c r="D8880"/>
  <c r="C8881"/>
  <c r="D8881"/>
  <c r="C8882"/>
  <c r="D8882"/>
  <c r="C8883"/>
  <c r="D8883"/>
  <c r="C8884"/>
  <c r="D8884"/>
  <c r="C8885"/>
  <c r="D8885"/>
  <c r="C8886"/>
  <c r="D8886"/>
  <c r="C8887"/>
  <c r="D8887"/>
  <c r="C8888"/>
  <c r="D8888"/>
  <c r="C8889"/>
  <c r="D8889"/>
  <c r="C8890"/>
  <c r="D8890"/>
  <c r="C8891"/>
  <c r="D8891"/>
  <c r="C8892"/>
  <c r="D8892"/>
  <c r="C8893"/>
  <c r="D8893"/>
  <c r="C8894"/>
  <c r="D8894"/>
  <c r="C8895"/>
  <c r="D8895"/>
  <c r="C8896"/>
  <c r="D8896"/>
  <c r="C8897"/>
  <c r="D8897"/>
  <c r="C8898"/>
  <c r="D8898"/>
  <c r="C8899"/>
  <c r="D8899"/>
  <c r="C8900"/>
  <c r="D8900"/>
  <c r="C8901"/>
  <c r="D8901"/>
  <c r="C8902"/>
  <c r="D8902"/>
  <c r="C8903"/>
  <c r="D8903"/>
  <c r="C8904"/>
  <c r="D8904"/>
  <c r="C8905"/>
  <c r="D8905"/>
  <c r="C8906"/>
  <c r="D8906"/>
  <c r="C8907"/>
  <c r="D8907"/>
  <c r="C8908"/>
  <c r="D8908"/>
  <c r="C8909"/>
  <c r="D8909"/>
  <c r="C8910"/>
  <c r="D8910"/>
  <c r="C8911"/>
  <c r="D8911"/>
  <c r="C8912"/>
  <c r="D8912"/>
  <c r="C8913"/>
  <c r="D8913"/>
  <c r="C8914"/>
  <c r="D8914"/>
  <c r="C8915"/>
  <c r="D8915"/>
  <c r="C8916"/>
  <c r="D8916"/>
  <c r="C8917"/>
  <c r="D8917"/>
  <c r="C8918"/>
  <c r="D8918"/>
  <c r="C8919"/>
  <c r="D8919"/>
  <c r="C8920"/>
  <c r="D8920"/>
  <c r="C8921"/>
  <c r="D8921"/>
  <c r="C8922"/>
  <c r="D8922"/>
  <c r="C8923"/>
  <c r="D8923"/>
  <c r="C8924"/>
  <c r="D8924"/>
  <c r="C8925"/>
  <c r="D8925"/>
  <c r="C8926"/>
  <c r="D8926"/>
  <c r="C8927"/>
  <c r="D8927"/>
  <c r="C8928"/>
  <c r="D8928"/>
  <c r="C8929"/>
  <c r="D8929"/>
  <c r="C8930"/>
  <c r="D8930"/>
  <c r="C8931"/>
  <c r="D8931"/>
  <c r="C8932"/>
  <c r="D8932"/>
  <c r="C8933"/>
  <c r="D8933"/>
  <c r="C8934"/>
  <c r="D8934"/>
  <c r="C8935"/>
  <c r="D8935"/>
  <c r="C8936"/>
  <c r="D8936"/>
  <c r="C8937"/>
  <c r="D8937"/>
  <c r="C8938"/>
  <c r="D8938"/>
  <c r="C8939"/>
  <c r="D8939"/>
  <c r="C8940"/>
  <c r="D8940"/>
  <c r="C8941"/>
  <c r="D8941"/>
  <c r="C8942"/>
  <c r="D8942"/>
  <c r="C8943"/>
  <c r="D8943"/>
  <c r="C8944"/>
  <c r="D8944"/>
  <c r="C8945"/>
  <c r="D8945"/>
  <c r="C8946"/>
  <c r="D8946"/>
  <c r="C8947"/>
  <c r="D8947"/>
  <c r="C8948"/>
  <c r="D8948"/>
  <c r="C8949"/>
  <c r="D8949"/>
  <c r="C8950"/>
  <c r="D8950"/>
  <c r="C8951"/>
  <c r="D8951"/>
  <c r="C8952"/>
  <c r="D8952"/>
  <c r="C8953"/>
  <c r="D8953"/>
  <c r="C8954"/>
  <c r="D8954"/>
  <c r="C8955"/>
  <c r="D8955"/>
  <c r="C8956"/>
  <c r="D8956"/>
  <c r="C8957"/>
  <c r="D8957"/>
  <c r="C8958"/>
  <c r="D8958"/>
  <c r="C8959"/>
  <c r="D8959"/>
  <c r="C8960"/>
  <c r="D8960"/>
  <c r="C8961"/>
  <c r="D8961"/>
  <c r="C8962"/>
  <c r="D8962"/>
  <c r="C8963"/>
  <c r="D8963"/>
  <c r="C8964"/>
  <c r="D8964"/>
  <c r="C8965"/>
  <c r="D8965"/>
  <c r="C8966"/>
  <c r="D8966"/>
  <c r="C8967"/>
  <c r="D8967"/>
  <c r="C8968"/>
  <c r="D8968"/>
  <c r="C8969"/>
  <c r="D8969"/>
  <c r="C8970"/>
  <c r="D8970"/>
  <c r="C8971"/>
  <c r="D8971"/>
  <c r="C8972"/>
  <c r="D8972"/>
  <c r="C8973"/>
  <c r="D8973"/>
  <c r="C8974"/>
  <c r="D8974"/>
  <c r="C8975"/>
  <c r="D8975"/>
  <c r="C8976"/>
  <c r="D8976"/>
  <c r="C8977"/>
  <c r="D8977"/>
  <c r="C8978"/>
  <c r="D8978"/>
  <c r="C8979"/>
  <c r="D8979"/>
  <c r="C8980"/>
  <c r="D8980"/>
  <c r="C8981"/>
  <c r="D8981"/>
  <c r="C8982"/>
  <c r="D8982"/>
  <c r="C8983"/>
  <c r="D8983"/>
  <c r="C8984"/>
  <c r="D8984"/>
  <c r="C8985"/>
  <c r="D8985"/>
  <c r="C8986"/>
  <c r="D8986"/>
  <c r="C8987"/>
  <c r="D8987"/>
  <c r="C8988"/>
  <c r="D8988"/>
  <c r="C8989"/>
  <c r="D8989"/>
  <c r="C8990"/>
  <c r="D8990"/>
  <c r="C8991"/>
  <c r="D8991"/>
  <c r="C8992"/>
  <c r="D8992"/>
  <c r="C8993"/>
  <c r="D8993"/>
  <c r="C8994"/>
  <c r="D8994"/>
  <c r="C8995"/>
  <c r="D8995"/>
  <c r="C8996"/>
  <c r="D8996"/>
  <c r="C8997"/>
  <c r="D8997"/>
  <c r="C8998"/>
  <c r="D8998"/>
  <c r="C8999"/>
  <c r="D8999"/>
  <c r="C9000"/>
  <c r="D9000"/>
  <c r="C9001"/>
  <c r="D9001"/>
  <c r="C9002"/>
  <c r="D9002"/>
  <c r="C9003"/>
  <c r="D9003"/>
  <c r="C9004"/>
  <c r="D9004"/>
  <c r="C9005"/>
  <c r="D9005"/>
  <c r="C9006"/>
  <c r="D9006"/>
  <c r="C9007"/>
  <c r="D9007"/>
  <c r="C9008"/>
  <c r="D9008"/>
  <c r="C9009"/>
  <c r="D9009"/>
  <c r="C9010"/>
  <c r="D9010"/>
  <c r="C9011"/>
  <c r="D9011"/>
  <c r="C9012"/>
  <c r="D9012"/>
  <c r="C9013"/>
  <c r="D9013"/>
  <c r="C9014"/>
  <c r="D9014"/>
  <c r="C9015"/>
  <c r="D9015"/>
  <c r="C9016"/>
  <c r="D9016"/>
  <c r="C9017"/>
  <c r="D9017"/>
  <c r="C9018"/>
  <c r="D9018"/>
  <c r="C9019"/>
  <c r="D9019"/>
  <c r="C9020"/>
  <c r="D9020"/>
  <c r="C9021"/>
  <c r="D9021"/>
  <c r="C9022"/>
  <c r="D9022"/>
  <c r="C9023"/>
  <c r="D9023"/>
  <c r="C9024"/>
  <c r="D9024"/>
  <c r="C9025"/>
  <c r="D9025"/>
  <c r="C9026"/>
  <c r="D9026"/>
  <c r="C9027"/>
  <c r="D9027"/>
  <c r="C9028"/>
  <c r="D9028"/>
  <c r="C9029"/>
  <c r="D9029"/>
  <c r="C9030"/>
  <c r="D9030"/>
  <c r="C9031"/>
  <c r="D9031"/>
  <c r="C9032"/>
  <c r="D9032"/>
  <c r="C9033"/>
  <c r="D9033"/>
  <c r="C9034"/>
  <c r="D9034"/>
  <c r="C9035"/>
  <c r="D9035"/>
  <c r="C9036"/>
  <c r="D9036"/>
  <c r="C9037"/>
  <c r="D9037"/>
  <c r="C9038"/>
  <c r="D9038"/>
  <c r="C9039"/>
  <c r="D9039"/>
  <c r="C9040"/>
  <c r="D9040"/>
  <c r="C9041"/>
  <c r="D9041"/>
  <c r="C9042"/>
  <c r="D9042"/>
  <c r="C9043"/>
  <c r="D9043"/>
  <c r="C9044"/>
  <c r="D9044"/>
  <c r="C9045"/>
  <c r="D9045"/>
  <c r="C9046"/>
  <c r="D9046"/>
  <c r="C9047"/>
  <c r="D9047"/>
  <c r="C9048"/>
  <c r="D9048"/>
  <c r="C9049"/>
  <c r="D9049"/>
  <c r="C9050"/>
  <c r="D9050"/>
  <c r="C9051"/>
  <c r="D9051"/>
  <c r="C9052"/>
  <c r="D9052"/>
  <c r="C9053"/>
  <c r="D9053"/>
  <c r="C9054"/>
  <c r="D9054"/>
  <c r="C9055"/>
  <c r="D9055"/>
  <c r="C9056"/>
  <c r="D9056"/>
  <c r="C9057"/>
  <c r="D9057"/>
  <c r="C9058"/>
  <c r="D9058"/>
  <c r="C9059"/>
  <c r="D9059"/>
  <c r="C9060"/>
  <c r="D9060"/>
  <c r="C9061"/>
  <c r="D9061"/>
  <c r="C9062"/>
  <c r="D9062"/>
  <c r="C9063"/>
  <c r="D9063"/>
  <c r="C9064"/>
  <c r="D9064"/>
  <c r="C9065"/>
  <c r="D9065"/>
  <c r="C9066"/>
  <c r="D9066"/>
  <c r="C9067"/>
  <c r="D9067"/>
  <c r="C9068"/>
  <c r="D9068"/>
  <c r="C9069"/>
  <c r="D9069"/>
  <c r="C9070"/>
  <c r="D9070"/>
  <c r="C9071"/>
  <c r="D9071"/>
  <c r="C9072"/>
  <c r="D9072"/>
  <c r="C9073"/>
  <c r="D9073"/>
  <c r="C9074"/>
  <c r="D9074"/>
  <c r="C9075"/>
  <c r="D9075"/>
  <c r="C9076"/>
  <c r="D9076"/>
  <c r="C9077"/>
  <c r="D9077"/>
  <c r="C9078"/>
  <c r="D9078"/>
  <c r="C9079"/>
  <c r="D9079"/>
  <c r="C9080"/>
  <c r="D9080"/>
  <c r="C9081"/>
  <c r="D9081"/>
  <c r="C9082"/>
  <c r="D9082"/>
  <c r="C9083"/>
  <c r="D9083"/>
  <c r="C9084"/>
  <c r="D9084"/>
  <c r="C9085"/>
  <c r="D9085"/>
  <c r="C9086"/>
  <c r="D9086"/>
  <c r="C9087"/>
  <c r="D9087"/>
  <c r="C9088"/>
  <c r="D9088"/>
  <c r="C9089"/>
  <c r="D9089"/>
  <c r="C9090"/>
  <c r="D9090"/>
  <c r="C9091"/>
  <c r="D9091"/>
  <c r="C9092"/>
  <c r="D9092"/>
  <c r="C9093"/>
  <c r="D9093"/>
  <c r="C9094"/>
  <c r="D9094"/>
  <c r="C9095"/>
  <c r="D9095"/>
  <c r="C9096"/>
  <c r="D9096"/>
  <c r="C9097"/>
  <c r="D9097"/>
  <c r="C9098"/>
  <c r="D9098"/>
  <c r="C9099"/>
  <c r="D9099"/>
  <c r="C9100"/>
  <c r="D9100"/>
  <c r="C9101"/>
  <c r="D9101"/>
  <c r="C9102"/>
  <c r="D9102"/>
  <c r="C9103"/>
  <c r="D9103"/>
  <c r="C9104"/>
  <c r="D9104"/>
  <c r="C9105"/>
  <c r="D9105"/>
  <c r="C9106"/>
  <c r="D9106"/>
  <c r="C9107"/>
  <c r="D9107"/>
  <c r="C9108"/>
  <c r="D9108"/>
  <c r="C9109"/>
  <c r="D9109"/>
  <c r="C9110"/>
  <c r="D9110"/>
  <c r="C9111"/>
  <c r="D9111"/>
  <c r="C9112"/>
  <c r="D9112"/>
  <c r="C9113"/>
  <c r="D9113"/>
  <c r="C9114"/>
  <c r="D9114"/>
  <c r="C9115"/>
  <c r="D9115"/>
  <c r="C9116"/>
  <c r="D9116"/>
  <c r="C9117"/>
  <c r="D9117"/>
  <c r="C9118"/>
  <c r="D9118"/>
  <c r="C9119"/>
  <c r="D9119"/>
  <c r="C9120"/>
  <c r="D9120"/>
  <c r="C9121"/>
  <c r="D9121"/>
  <c r="C9122"/>
  <c r="D9122"/>
  <c r="C9123"/>
  <c r="D9123"/>
  <c r="C9124"/>
  <c r="D9124"/>
  <c r="C9125"/>
  <c r="D9125"/>
  <c r="C9126"/>
  <c r="D9126"/>
  <c r="C9127"/>
  <c r="D9127"/>
  <c r="C9128"/>
  <c r="D9128"/>
  <c r="C9129"/>
  <c r="D9129"/>
  <c r="C9130"/>
  <c r="D9130"/>
  <c r="C9131"/>
  <c r="D9131"/>
  <c r="C9132"/>
  <c r="D9132"/>
  <c r="C9133"/>
  <c r="D9133"/>
  <c r="C9134"/>
  <c r="D9134"/>
  <c r="C9135"/>
  <c r="D9135"/>
  <c r="C9136"/>
  <c r="D9136"/>
  <c r="C9137"/>
  <c r="D9137"/>
  <c r="C9138"/>
  <c r="D9138"/>
  <c r="C9139"/>
  <c r="D9139"/>
  <c r="C9140"/>
  <c r="D9140"/>
  <c r="C9141"/>
  <c r="D9141"/>
  <c r="C9142"/>
  <c r="D9142"/>
  <c r="C9143"/>
  <c r="D9143"/>
  <c r="C9144"/>
  <c r="D9144"/>
  <c r="C9145"/>
  <c r="D9145"/>
  <c r="C9146"/>
  <c r="D9146"/>
  <c r="C9147"/>
  <c r="D9147"/>
  <c r="C9148"/>
  <c r="D9148"/>
  <c r="C9149"/>
  <c r="D9149"/>
  <c r="C9150"/>
  <c r="D9150"/>
  <c r="C9151"/>
  <c r="D9151"/>
  <c r="C9152"/>
  <c r="D9152"/>
  <c r="C9153"/>
  <c r="D9153"/>
  <c r="C9154"/>
  <c r="D9154"/>
  <c r="C9155"/>
  <c r="D9155"/>
  <c r="C9156"/>
  <c r="D9156"/>
  <c r="C9157"/>
  <c r="D9157"/>
  <c r="C9158"/>
  <c r="D9158"/>
  <c r="C9159"/>
  <c r="D9159"/>
  <c r="C9160"/>
  <c r="D9160"/>
  <c r="C9161"/>
  <c r="D9161"/>
  <c r="C9162"/>
  <c r="D9162"/>
  <c r="C9163"/>
  <c r="D9163"/>
  <c r="C9164"/>
  <c r="D9164"/>
  <c r="C9165"/>
  <c r="D9165"/>
  <c r="C9166"/>
  <c r="D9166"/>
  <c r="C9167"/>
  <c r="D9167"/>
  <c r="C9168"/>
  <c r="D9168"/>
  <c r="C9169"/>
  <c r="D9169"/>
  <c r="C9170"/>
  <c r="D9170"/>
  <c r="C9171"/>
  <c r="D9171"/>
  <c r="C9172"/>
  <c r="D9172"/>
  <c r="C9173"/>
  <c r="D9173"/>
  <c r="C9174"/>
  <c r="D9174"/>
  <c r="C9175"/>
  <c r="D9175"/>
  <c r="C9176"/>
  <c r="D9176"/>
  <c r="C9177"/>
  <c r="D9177"/>
  <c r="C9178"/>
  <c r="D9178"/>
  <c r="C9179"/>
  <c r="D9179"/>
  <c r="C9180"/>
  <c r="D9180"/>
  <c r="C9181"/>
  <c r="D9181"/>
  <c r="C9182"/>
  <c r="D9182"/>
  <c r="C9183"/>
  <c r="D9183"/>
  <c r="C9184"/>
  <c r="D9184"/>
  <c r="C9185"/>
  <c r="D9185"/>
  <c r="C9186"/>
  <c r="D9186"/>
  <c r="C9187"/>
  <c r="D9187"/>
  <c r="C9188"/>
  <c r="D9188"/>
  <c r="C9189"/>
  <c r="D9189"/>
  <c r="C9190"/>
  <c r="D9190"/>
  <c r="C9191"/>
  <c r="D9191"/>
  <c r="C9192"/>
  <c r="D9192"/>
  <c r="C9193"/>
  <c r="D9193"/>
  <c r="C9194"/>
  <c r="D9194"/>
  <c r="C9195"/>
  <c r="D9195"/>
  <c r="C9196"/>
  <c r="D9196"/>
  <c r="C9197"/>
  <c r="D9197"/>
  <c r="C9198"/>
  <c r="D9198"/>
  <c r="C9199"/>
  <c r="D9199"/>
  <c r="C9200"/>
  <c r="D9200"/>
  <c r="C9201"/>
  <c r="D9201"/>
  <c r="C9202"/>
  <c r="D9202"/>
  <c r="C9203"/>
  <c r="D9203"/>
  <c r="C9204"/>
  <c r="D9204"/>
  <c r="C9205"/>
  <c r="D9205"/>
  <c r="C9206"/>
  <c r="D9206"/>
  <c r="C9207"/>
  <c r="D9207"/>
  <c r="C9208"/>
  <c r="D9208"/>
  <c r="C9209"/>
  <c r="D9209"/>
  <c r="C9210"/>
  <c r="D9210"/>
  <c r="C9211"/>
  <c r="D9211"/>
  <c r="C9212"/>
  <c r="D9212"/>
  <c r="C9213"/>
  <c r="D9213"/>
  <c r="C9214"/>
  <c r="D9214"/>
  <c r="C9215"/>
  <c r="D9215"/>
  <c r="C9216"/>
  <c r="D9216"/>
  <c r="C9217"/>
  <c r="D9217"/>
  <c r="C9218"/>
  <c r="D9218"/>
  <c r="C9219"/>
  <c r="D9219"/>
  <c r="C9220"/>
  <c r="D9220"/>
  <c r="C9221"/>
  <c r="D9221"/>
  <c r="C9222"/>
  <c r="D9222"/>
  <c r="C9223"/>
  <c r="D9223"/>
  <c r="C9224"/>
  <c r="D9224"/>
  <c r="C9225"/>
  <c r="D9225"/>
  <c r="C9226"/>
  <c r="D9226"/>
  <c r="C9227"/>
  <c r="D9227"/>
  <c r="C9228"/>
  <c r="D9228"/>
  <c r="C9229"/>
  <c r="D9229"/>
  <c r="C9230"/>
  <c r="D9230"/>
  <c r="C9231"/>
  <c r="D9231"/>
  <c r="C9232"/>
  <c r="D9232"/>
  <c r="C9233"/>
  <c r="D9233"/>
  <c r="C9234"/>
  <c r="D9234"/>
  <c r="C9235"/>
  <c r="D9235"/>
  <c r="C9236"/>
  <c r="D9236"/>
  <c r="C9237"/>
  <c r="D9237"/>
  <c r="C9238"/>
  <c r="D9238"/>
  <c r="C9239"/>
  <c r="D9239"/>
  <c r="C9240"/>
  <c r="D9240"/>
  <c r="C9241"/>
  <c r="D9241"/>
  <c r="C9242"/>
  <c r="D9242"/>
  <c r="C9243"/>
  <c r="D9243"/>
  <c r="C9244"/>
  <c r="D9244"/>
  <c r="C9245"/>
  <c r="D9245"/>
  <c r="C9246"/>
  <c r="D9246"/>
  <c r="C9247"/>
  <c r="D9247"/>
  <c r="C9248"/>
  <c r="D9248"/>
  <c r="C9249"/>
  <c r="D9249"/>
  <c r="C9250"/>
  <c r="D9250"/>
  <c r="C9251"/>
  <c r="D9251"/>
  <c r="C9252"/>
  <c r="D9252"/>
  <c r="C9253"/>
  <c r="D9253"/>
  <c r="C9254"/>
  <c r="D9254"/>
  <c r="C9255"/>
  <c r="D9255"/>
  <c r="C9256"/>
  <c r="D9256"/>
  <c r="C9257"/>
  <c r="D9257"/>
  <c r="C9258"/>
  <c r="D9258"/>
  <c r="C9259"/>
  <c r="D9259"/>
  <c r="C9260"/>
  <c r="D9260"/>
  <c r="C9261"/>
  <c r="D9261"/>
  <c r="C9262"/>
  <c r="D9262"/>
  <c r="C9263"/>
  <c r="D9263"/>
  <c r="C9264"/>
  <c r="D9264"/>
  <c r="C9265"/>
  <c r="D9265"/>
  <c r="C9266"/>
  <c r="D9266"/>
  <c r="C9267"/>
  <c r="D9267"/>
  <c r="C9268"/>
  <c r="D9268"/>
  <c r="C9269"/>
  <c r="D9269"/>
  <c r="C9270"/>
  <c r="D9270"/>
  <c r="C9271"/>
  <c r="D9271"/>
  <c r="C9272"/>
  <c r="D9272"/>
  <c r="C9273"/>
  <c r="D9273"/>
  <c r="C9274"/>
  <c r="D9274"/>
  <c r="C9275"/>
  <c r="D9275"/>
  <c r="C9276"/>
  <c r="D9276"/>
  <c r="C9277"/>
  <c r="D9277"/>
  <c r="C9278"/>
  <c r="D9278"/>
  <c r="C9279"/>
  <c r="D9279"/>
  <c r="C9280"/>
  <c r="D9280"/>
  <c r="C9281"/>
  <c r="D9281"/>
  <c r="C9282"/>
  <c r="D9282"/>
  <c r="C9283"/>
  <c r="D9283"/>
  <c r="C9284"/>
  <c r="D9284"/>
  <c r="C9285"/>
  <c r="D9285"/>
  <c r="C9286"/>
  <c r="D9286"/>
  <c r="C9287"/>
  <c r="D9287"/>
  <c r="C9288"/>
  <c r="D9288"/>
  <c r="C9289"/>
  <c r="D9289"/>
  <c r="C9290"/>
  <c r="D9290"/>
  <c r="C9291"/>
  <c r="D9291"/>
  <c r="C9292"/>
  <c r="D9292"/>
  <c r="C9293"/>
  <c r="D9293"/>
  <c r="C9294"/>
  <c r="D9294"/>
  <c r="C9295"/>
  <c r="D9295"/>
  <c r="C9296"/>
  <c r="D9296"/>
  <c r="C9297"/>
  <c r="D9297"/>
  <c r="C9298"/>
  <c r="D9298"/>
  <c r="C9299"/>
  <c r="D9299"/>
  <c r="C9300"/>
  <c r="D9300"/>
  <c r="C9301"/>
  <c r="D9301"/>
  <c r="C9302"/>
  <c r="D9302"/>
  <c r="C9303"/>
  <c r="D9303"/>
  <c r="C9304"/>
  <c r="D9304"/>
  <c r="C9305"/>
  <c r="D9305"/>
  <c r="C9306"/>
  <c r="D9306"/>
  <c r="C9307"/>
  <c r="D9307"/>
  <c r="C9308"/>
  <c r="D9308"/>
  <c r="C9309"/>
  <c r="D9309"/>
  <c r="C9310"/>
  <c r="D9310"/>
  <c r="C9311"/>
  <c r="D9311"/>
  <c r="C9312"/>
  <c r="D9312"/>
  <c r="C9313"/>
  <c r="D9313"/>
  <c r="C9314"/>
  <c r="D9314"/>
  <c r="C9315"/>
  <c r="D9315"/>
  <c r="C9316"/>
  <c r="D9316"/>
  <c r="C9317"/>
  <c r="D9317"/>
  <c r="C9318"/>
  <c r="D9318"/>
  <c r="C9319"/>
  <c r="D9319"/>
  <c r="C9320"/>
  <c r="D9320"/>
  <c r="C9321"/>
  <c r="D9321"/>
  <c r="C9322"/>
  <c r="D9322"/>
  <c r="C9323"/>
  <c r="D9323"/>
  <c r="C9324"/>
  <c r="D9324"/>
  <c r="C9325"/>
  <c r="D9325"/>
  <c r="C9326"/>
  <c r="D9326"/>
  <c r="C9327"/>
  <c r="D9327"/>
  <c r="C9328"/>
  <c r="D9328"/>
  <c r="C9329"/>
  <c r="D9329"/>
  <c r="C9330"/>
  <c r="D9330"/>
  <c r="C9331"/>
  <c r="D9331"/>
  <c r="C9332"/>
  <c r="D9332"/>
  <c r="C9333"/>
  <c r="D9333"/>
  <c r="C9334"/>
  <c r="D9334"/>
  <c r="C9335"/>
  <c r="D9335"/>
  <c r="C9336"/>
  <c r="D9336"/>
  <c r="C9337"/>
  <c r="D9337"/>
  <c r="C9338"/>
  <c r="D9338"/>
  <c r="C9339"/>
  <c r="D9339"/>
  <c r="C9340"/>
  <c r="D9340"/>
  <c r="C9341"/>
  <c r="D9341"/>
  <c r="C9342"/>
  <c r="D9342"/>
  <c r="C9343"/>
  <c r="D9343"/>
  <c r="C9344"/>
  <c r="D9344"/>
  <c r="C9345"/>
  <c r="D9345"/>
  <c r="C9346"/>
  <c r="D9346"/>
  <c r="C9347"/>
  <c r="D9347"/>
  <c r="C9348"/>
  <c r="D9348"/>
  <c r="C9349"/>
  <c r="D9349"/>
  <c r="C9350"/>
  <c r="D9350"/>
  <c r="C9351"/>
  <c r="D9351"/>
  <c r="C9352"/>
  <c r="D9352"/>
  <c r="C9353"/>
  <c r="D9353"/>
  <c r="C9354"/>
  <c r="D9354"/>
  <c r="C9355"/>
  <c r="D9355"/>
  <c r="C9356"/>
  <c r="D9356"/>
  <c r="C9357"/>
  <c r="D9357"/>
  <c r="C9358"/>
  <c r="D9358"/>
  <c r="C9359"/>
  <c r="D9359"/>
  <c r="C9360"/>
  <c r="D9360"/>
  <c r="C9361"/>
  <c r="D9361"/>
  <c r="C9362"/>
  <c r="D9362"/>
  <c r="C9363"/>
  <c r="D9363"/>
  <c r="C9364"/>
  <c r="D9364"/>
  <c r="C9365"/>
  <c r="D9365"/>
  <c r="C9366"/>
  <c r="D9366"/>
  <c r="C9367"/>
  <c r="D9367"/>
  <c r="C9368"/>
  <c r="D9368"/>
  <c r="C9369"/>
  <c r="D9369"/>
  <c r="C9370"/>
  <c r="D9370"/>
  <c r="C9371"/>
  <c r="D9371"/>
  <c r="C9372"/>
  <c r="D9372"/>
  <c r="C9373"/>
  <c r="D9373"/>
  <c r="C9374"/>
  <c r="D9374"/>
  <c r="C9375"/>
  <c r="D9375"/>
  <c r="C9376"/>
  <c r="D9376"/>
  <c r="C9377"/>
  <c r="D9377"/>
  <c r="C9378"/>
  <c r="D9378"/>
  <c r="C9379"/>
  <c r="D9379"/>
  <c r="C9380"/>
  <c r="D9380"/>
  <c r="C9381"/>
  <c r="D9381"/>
  <c r="C9382"/>
  <c r="D9382"/>
  <c r="C9383"/>
  <c r="D9383"/>
  <c r="C9384"/>
  <c r="D9384"/>
  <c r="C9385"/>
  <c r="D9385"/>
  <c r="C9386"/>
  <c r="D9386"/>
  <c r="C9387"/>
  <c r="D9387"/>
  <c r="C9388"/>
  <c r="D9388"/>
  <c r="C9389"/>
  <c r="D9389"/>
  <c r="C9390"/>
  <c r="D9390"/>
  <c r="C9391"/>
  <c r="D9391"/>
  <c r="C9392"/>
  <c r="D9392"/>
  <c r="C9393"/>
  <c r="D9393"/>
  <c r="C9394"/>
  <c r="D9394"/>
  <c r="C9395"/>
  <c r="D9395"/>
  <c r="C9396"/>
  <c r="D9396"/>
  <c r="C9397"/>
  <c r="D9397"/>
  <c r="C9398"/>
  <c r="D9398"/>
  <c r="C9399"/>
  <c r="D9399"/>
  <c r="C9400"/>
  <c r="D9400"/>
  <c r="C9401"/>
  <c r="D9401"/>
  <c r="C9402"/>
  <c r="D9402"/>
  <c r="C9403"/>
  <c r="D9403"/>
  <c r="C9404"/>
  <c r="D9404"/>
  <c r="C9405"/>
  <c r="D9405"/>
  <c r="C9406"/>
  <c r="D9406"/>
  <c r="C9407"/>
  <c r="D9407"/>
  <c r="C9408"/>
  <c r="D9408"/>
  <c r="C9409"/>
  <c r="D9409"/>
  <c r="C9410"/>
  <c r="D9410"/>
  <c r="C9411"/>
  <c r="D9411"/>
  <c r="C9412"/>
  <c r="D9412"/>
  <c r="C9413"/>
  <c r="D9413"/>
  <c r="C9414"/>
  <c r="D9414"/>
  <c r="C9415"/>
  <c r="D9415"/>
  <c r="C9416"/>
  <c r="D9416"/>
  <c r="C9417"/>
  <c r="D9417"/>
  <c r="C9418"/>
  <c r="D9418"/>
  <c r="C9419"/>
  <c r="D9419"/>
  <c r="C9420"/>
  <c r="D9420"/>
  <c r="C9421"/>
  <c r="D9421"/>
  <c r="C9422"/>
  <c r="D9422"/>
  <c r="C9423"/>
  <c r="D9423"/>
  <c r="C9424"/>
  <c r="D9424"/>
  <c r="C9425"/>
  <c r="D9425"/>
  <c r="C9426"/>
  <c r="D9426"/>
  <c r="C9427"/>
  <c r="D9427"/>
  <c r="C9428"/>
  <c r="D9428"/>
  <c r="C9429"/>
  <c r="D9429"/>
  <c r="C9430"/>
  <c r="D9430"/>
  <c r="C9431"/>
  <c r="D9431"/>
  <c r="C9432"/>
  <c r="D9432"/>
  <c r="C9433"/>
  <c r="D9433"/>
  <c r="C9434"/>
  <c r="D9434"/>
  <c r="C9435"/>
  <c r="D9435"/>
  <c r="C9436"/>
  <c r="D9436"/>
  <c r="C9437"/>
  <c r="D9437"/>
  <c r="C9438"/>
  <c r="D9438"/>
  <c r="C9439"/>
  <c r="D9439"/>
  <c r="C9440"/>
  <c r="D9440"/>
  <c r="C9441"/>
  <c r="D9441"/>
  <c r="C9442"/>
  <c r="D9442"/>
  <c r="C9443"/>
  <c r="D9443"/>
  <c r="C9444"/>
  <c r="D9444"/>
  <c r="C9445"/>
  <c r="D9445"/>
  <c r="C9446"/>
  <c r="D9446"/>
  <c r="C9447"/>
  <c r="D9447"/>
  <c r="C9448"/>
  <c r="D9448"/>
  <c r="C9449"/>
  <c r="D9449"/>
  <c r="C9450"/>
  <c r="D9450"/>
  <c r="C9451"/>
  <c r="D9451"/>
  <c r="C9452"/>
  <c r="D9452"/>
  <c r="C9453"/>
  <c r="D9453"/>
  <c r="C9454"/>
  <c r="D9454"/>
  <c r="C9455"/>
  <c r="D9455"/>
  <c r="C9456"/>
  <c r="D9456"/>
  <c r="C9457"/>
  <c r="D9457"/>
  <c r="C9458"/>
  <c r="D9458"/>
  <c r="C9459"/>
  <c r="D9459"/>
  <c r="C9460"/>
  <c r="D9460"/>
  <c r="C9461"/>
  <c r="D9461"/>
  <c r="C9462"/>
  <c r="D9462"/>
  <c r="C9463"/>
  <c r="D9463"/>
  <c r="C9464"/>
  <c r="D9464"/>
  <c r="C9465"/>
  <c r="D9465"/>
  <c r="C9466"/>
  <c r="D9466"/>
  <c r="C9467"/>
  <c r="D9467"/>
  <c r="C9468"/>
  <c r="D9468"/>
  <c r="C9469"/>
  <c r="D9469"/>
  <c r="C9470"/>
  <c r="D9470"/>
  <c r="C9471"/>
  <c r="D9471"/>
  <c r="C9472"/>
  <c r="D9472"/>
  <c r="C9473"/>
  <c r="D9473"/>
  <c r="C9474"/>
  <c r="D9474"/>
  <c r="C9475"/>
  <c r="D9475"/>
  <c r="C9476"/>
  <c r="D9476"/>
  <c r="C9477"/>
  <c r="D9477"/>
  <c r="C9478"/>
  <c r="D9478"/>
  <c r="C9479"/>
  <c r="D9479"/>
  <c r="C9480"/>
  <c r="D9480"/>
  <c r="C9481"/>
  <c r="D9481"/>
  <c r="C9482"/>
  <c r="D9482"/>
  <c r="C9483"/>
  <c r="D9483"/>
  <c r="C9484"/>
  <c r="D9484"/>
  <c r="C9485"/>
  <c r="D9485"/>
  <c r="C9486"/>
  <c r="D9486"/>
  <c r="C9487"/>
  <c r="D9487"/>
  <c r="C9488"/>
  <c r="D9488"/>
  <c r="C9489"/>
  <c r="D9489"/>
  <c r="C9490"/>
  <c r="D9490"/>
  <c r="C9491"/>
  <c r="D9491"/>
  <c r="C9492"/>
  <c r="D9492"/>
  <c r="C9493"/>
  <c r="D9493"/>
  <c r="C9494"/>
  <c r="D9494"/>
  <c r="C9495"/>
  <c r="D9495"/>
  <c r="C9496"/>
  <c r="D9496"/>
  <c r="C9497"/>
  <c r="D9497"/>
  <c r="C9498"/>
  <c r="D9498"/>
  <c r="C9499"/>
  <c r="D9499"/>
  <c r="C9500"/>
  <c r="D9500"/>
  <c r="C9501"/>
  <c r="D9501"/>
  <c r="C9502"/>
  <c r="D9502"/>
  <c r="C9503"/>
  <c r="D9503"/>
  <c r="C9504"/>
  <c r="D9504"/>
  <c r="C9505"/>
  <c r="D9505"/>
  <c r="C9506"/>
  <c r="D9506"/>
  <c r="C9507"/>
  <c r="D9507"/>
  <c r="C9508"/>
  <c r="D9508"/>
  <c r="C9509"/>
  <c r="D9509"/>
  <c r="C9510"/>
  <c r="D9510"/>
  <c r="C9511"/>
  <c r="D9511"/>
  <c r="C9512"/>
  <c r="D9512"/>
  <c r="C9513"/>
  <c r="D9513"/>
  <c r="C9514"/>
  <c r="D9514"/>
  <c r="C9515"/>
  <c r="D9515"/>
  <c r="C9516"/>
  <c r="D9516"/>
  <c r="C9517"/>
  <c r="D9517"/>
  <c r="C9518"/>
  <c r="D9518"/>
  <c r="C9519"/>
  <c r="D9519"/>
  <c r="C9520"/>
  <c r="D9520"/>
  <c r="C9521"/>
  <c r="D9521"/>
  <c r="C9522"/>
  <c r="D9522"/>
  <c r="C9523"/>
  <c r="D9523"/>
  <c r="C9524"/>
  <c r="D9524"/>
  <c r="C9525"/>
  <c r="D9525"/>
  <c r="C9526"/>
  <c r="D9526"/>
  <c r="C9527"/>
  <c r="D9527"/>
  <c r="C9528"/>
  <c r="D9528"/>
  <c r="C9529"/>
  <c r="D9529"/>
  <c r="C9530"/>
  <c r="D9530"/>
  <c r="C9531"/>
  <c r="D9531"/>
  <c r="C9532"/>
  <c r="D9532"/>
  <c r="C9533"/>
  <c r="D9533"/>
  <c r="C9534"/>
  <c r="D9534"/>
  <c r="C9535"/>
  <c r="D9535"/>
  <c r="C9536"/>
  <c r="D9536"/>
  <c r="C9537"/>
  <c r="D9537"/>
  <c r="C9538"/>
  <c r="D9538"/>
  <c r="C9539"/>
  <c r="D9539"/>
  <c r="C9540"/>
  <c r="D9540"/>
  <c r="C9541"/>
  <c r="D9541"/>
  <c r="C9542"/>
  <c r="D9542"/>
  <c r="C9543"/>
  <c r="D9543"/>
  <c r="C9544"/>
  <c r="D9544"/>
  <c r="C9545"/>
  <c r="D9545"/>
  <c r="C9546"/>
  <c r="D9546"/>
  <c r="C9547"/>
  <c r="D9547"/>
  <c r="C9548"/>
  <c r="D9548"/>
  <c r="C9549"/>
  <c r="D9549"/>
  <c r="C9550"/>
  <c r="D9550"/>
  <c r="C9551"/>
  <c r="D9551"/>
  <c r="C9552"/>
  <c r="D9552"/>
  <c r="C9553"/>
  <c r="D9553"/>
  <c r="C9554"/>
  <c r="D9554"/>
  <c r="C9555"/>
  <c r="D9555"/>
  <c r="C9556"/>
  <c r="D9556"/>
  <c r="C9557"/>
  <c r="D9557"/>
  <c r="C9558"/>
  <c r="D9558"/>
  <c r="C9559"/>
  <c r="D9559"/>
  <c r="C9560"/>
  <c r="D9560"/>
  <c r="C9561"/>
  <c r="D9561"/>
  <c r="C9562"/>
  <c r="D9562"/>
  <c r="C9563"/>
  <c r="D9563"/>
  <c r="C9564"/>
  <c r="D9564"/>
  <c r="C9565"/>
  <c r="D9565"/>
  <c r="C9566"/>
  <c r="D9566"/>
  <c r="C9567"/>
  <c r="D9567"/>
  <c r="C9568"/>
  <c r="D9568"/>
  <c r="C9569"/>
  <c r="D9569"/>
  <c r="C9570"/>
  <c r="D9570"/>
  <c r="C9571"/>
  <c r="D9571"/>
  <c r="C9572"/>
  <c r="D9572"/>
  <c r="C9573"/>
  <c r="D9573"/>
  <c r="C9574"/>
  <c r="D9574"/>
  <c r="C9575"/>
  <c r="D9575"/>
  <c r="C9576"/>
  <c r="D9576"/>
  <c r="C9577"/>
  <c r="D9577"/>
  <c r="C9578"/>
  <c r="D9578"/>
  <c r="C9579"/>
  <c r="D9579"/>
  <c r="C9580"/>
  <c r="D9580"/>
  <c r="C9581"/>
  <c r="D9581"/>
  <c r="C9582"/>
  <c r="D9582"/>
  <c r="C9583"/>
  <c r="D9583"/>
  <c r="C9584"/>
  <c r="D9584"/>
  <c r="C9585"/>
  <c r="D9585"/>
  <c r="C9586"/>
  <c r="D9586"/>
  <c r="C9587"/>
  <c r="D9587"/>
  <c r="C9588"/>
  <c r="D9588"/>
  <c r="C9589"/>
  <c r="D9589"/>
  <c r="C9590"/>
  <c r="D9590"/>
  <c r="C9591"/>
  <c r="D9591"/>
  <c r="C9592"/>
  <c r="D9592"/>
  <c r="C9593"/>
  <c r="D9593"/>
  <c r="C9594"/>
  <c r="D9594"/>
  <c r="C9595"/>
  <c r="D9595"/>
  <c r="C9596"/>
  <c r="D9596"/>
  <c r="C9597"/>
  <c r="D9597"/>
  <c r="C9598"/>
  <c r="D9598"/>
  <c r="C9599"/>
  <c r="D9599"/>
  <c r="C9600"/>
  <c r="D9600"/>
  <c r="C9601"/>
  <c r="D9601"/>
  <c r="C9602"/>
  <c r="D9602"/>
  <c r="C9603"/>
  <c r="D9603"/>
  <c r="C9604"/>
  <c r="D9604"/>
  <c r="C9605"/>
  <c r="D9605"/>
  <c r="C9606"/>
  <c r="D9606"/>
  <c r="C9607"/>
  <c r="D9607"/>
  <c r="C9608"/>
  <c r="D9608"/>
  <c r="C9609"/>
  <c r="D9609"/>
  <c r="C9610"/>
  <c r="D9610"/>
  <c r="C9611"/>
  <c r="D9611"/>
  <c r="C9612"/>
  <c r="D9612"/>
  <c r="C9613"/>
  <c r="D9613"/>
  <c r="C9614"/>
  <c r="D9614"/>
  <c r="C9615"/>
  <c r="D9615"/>
  <c r="C9616"/>
  <c r="D9616"/>
  <c r="C9617"/>
  <c r="D9617"/>
  <c r="C9618"/>
  <c r="D9618"/>
  <c r="C9619"/>
  <c r="D9619"/>
  <c r="C9620"/>
  <c r="D9620"/>
  <c r="C9621"/>
  <c r="D9621"/>
  <c r="C9622"/>
  <c r="D9622"/>
  <c r="C9623"/>
  <c r="D9623"/>
  <c r="C9624"/>
  <c r="D9624"/>
  <c r="C9625"/>
  <c r="D9625"/>
  <c r="C9626"/>
  <c r="D9626"/>
  <c r="C9627"/>
  <c r="D9627"/>
  <c r="C9628"/>
  <c r="D9628"/>
  <c r="C9629"/>
  <c r="D9629"/>
  <c r="C9630"/>
  <c r="D9630"/>
  <c r="C9631"/>
  <c r="D9631"/>
  <c r="C9632"/>
  <c r="D9632"/>
  <c r="C9633"/>
  <c r="D9633"/>
  <c r="C9634"/>
  <c r="D9634"/>
  <c r="C9635"/>
  <c r="D9635"/>
  <c r="C9636"/>
  <c r="D9636"/>
  <c r="C9637"/>
  <c r="D9637"/>
  <c r="C9638"/>
  <c r="D9638"/>
  <c r="C9639"/>
  <c r="D9639"/>
  <c r="C9640"/>
  <c r="D9640"/>
  <c r="C9641"/>
  <c r="D9641"/>
  <c r="C9642"/>
  <c r="D9642"/>
  <c r="C9643"/>
  <c r="D9643"/>
  <c r="C9644"/>
  <c r="D9644"/>
  <c r="C9645"/>
  <c r="D9645"/>
  <c r="C9646"/>
  <c r="D9646"/>
  <c r="C9647"/>
  <c r="D9647"/>
  <c r="C9648"/>
  <c r="D9648"/>
  <c r="C9649"/>
  <c r="D9649"/>
  <c r="C9650"/>
  <c r="D9650"/>
  <c r="C9651"/>
  <c r="D9651"/>
  <c r="C9652"/>
  <c r="D9652"/>
  <c r="C9653"/>
  <c r="D9653"/>
  <c r="C9654"/>
  <c r="D9654"/>
  <c r="C9655"/>
  <c r="D9655"/>
  <c r="C9656"/>
  <c r="D9656"/>
  <c r="C9657"/>
  <c r="D9657"/>
  <c r="C9658"/>
  <c r="D9658"/>
  <c r="C9659"/>
  <c r="D9659"/>
  <c r="C9660"/>
  <c r="D9660"/>
  <c r="C9661"/>
  <c r="D9661"/>
  <c r="C9662"/>
  <c r="D9662"/>
  <c r="C9663"/>
  <c r="D9663"/>
  <c r="C9664"/>
  <c r="D9664"/>
  <c r="C9665"/>
  <c r="D9665"/>
  <c r="C9666"/>
  <c r="D9666"/>
  <c r="C9667"/>
  <c r="D9667"/>
  <c r="C9668"/>
  <c r="D9668"/>
  <c r="C9669"/>
  <c r="D9669"/>
  <c r="C9670"/>
  <c r="D9670"/>
  <c r="C9671"/>
  <c r="D9671"/>
  <c r="C9672"/>
  <c r="D9672"/>
  <c r="C9673"/>
  <c r="D9673"/>
  <c r="C9674"/>
  <c r="D9674"/>
  <c r="C9675"/>
  <c r="D9675"/>
  <c r="C9676"/>
  <c r="D9676"/>
  <c r="C9677"/>
  <c r="D9677"/>
  <c r="C9678"/>
  <c r="D9678"/>
  <c r="C9679"/>
  <c r="D9679"/>
  <c r="C9680"/>
  <c r="D9680"/>
  <c r="C9681"/>
  <c r="D9681"/>
  <c r="C9682"/>
  <c r="D9682"/>
  <c r="C9683"/>
  <c r="D9683"/>
  <c r="C9684"/>
  <c r="D9684"/>
  <c r="C9685"/>
  <c r="D9685"/>
  <c r="C9686"/>
  <c r="D9686"/>
  <c r="C9687"/>
  <c r="D9687"/>
  <c r="C9688"/>
  <c r="D9688"/>
  <c r="C9689"/>
  <c r="D9689"/>
  <c r="C9690"/>
  <c r="D9690"/>
  <c r="C9691"/>
  <c r="D9691"/>
  <c r="C9692"/>
  <c r="D9692"/>
  <c r="C9693"/>
  <c r="D9693"/>
  <c r="C9694"/>
  <c r="D9694"/>
  <c r="C9695"/>
  <c r="D9695"/>
  <c r="C9696"/>
  <c r="D9696"/>
  <c r="C9697"/>
  <c r="D9697"/>
  <c r="C9698"/>
  <c r="D9698"/>
  <c r="C9699"/>
  <c r="D9699"/>
  <c r="C9700"/>
  <c r="D9700"/>
  <c r="C9701"/>
  <c r="D9701"/>
  <c r="C9702"/>
  <c r="D9702"/>
  <c r="C9703"/>
  <c r="D9703"/>
  <c r="C9704"/>
  <c r="D9704"/>
  <c r="C9705"/>
  <c r="D9705"/>
  <c r="C9706"/>
  <c r="D9706"/>
  <c r="C9707"/>
  <c r="D9707"/>
  <c r="C9708"/>
  <c r="D9708"/>
  <c r="C9709"/>
  <c r="D9709"/>
  <c r="C9710"/>
  <c r="D9710"/>
  <c r="C9711"/>
  <c r="D9711"/>
  <c r="C9712"/>
  <c r="D9712"/>
  <c r="C9713"/>
  <c r="D9713"/>
  <c r="C9714"/>
  <c r="D9714"/>
  <c r="C9715"/>
  <c r="D9715"/>
  <c r="C9716"/>
  <c r="D9716"/>
  <c r="C9717"/>
  <c r="D9717"/>
  <c r="C9718"/>
  <c r="D9718"/>
  <c r="C9719"/>
  <c r="D9719"/>
  <c r="C9720"/>
  <c r="D9720"/>
  <c r="C9721"/>
  <c r="D9721"/>
  <c r="C9722"/>
  <c r="D9722"/>
  <c r="C9723"/>
  <c r="D9723"/>
  <c r="C9724"/>
  <c r="D9724"/>
  <c r="C9725"/>
  <c r="D9725"/>
  <c r="C9726"/>
  <c r="D9726"/>
  <c r="C9727"/>
  <c r="D9727"/>
  <c r="C9728"/>
  <c r="D9728"/>
  <c r="C9729"/>
  <c r="D9729"/>
  <c r="C9730"/>
  <c r="D9730"/>
  <c r="C9731"/>
  <c r="D9731"/>
  <c r="C9732"/>
  <c r="D9732"/>
  <c r="C9733"/>
  <c r="D9733"/>
  <c r="C9734"/>
  <c r="D9734"/>
  <c r="C9735"/>
  <c r="D9735"/>
  <c r="C9736"/>
  <c r="D9736"/>
  <c r="C9737"/>
  <c r="D9737"/>
  <c r="C9738"/>
  <c r="D9738"/>
  <c r="C9739"/>
  <c r="D9739"/>
  <c r="C9740"/>
  <c r="D9740"/>
  <c r="C9741"/>
  <c r="D9741"/>
  <c r="C9742"/>
  <c r="D9742"/>
  <c r="C9743"/>
  <c r="D9743"/>
  <c r="C9744"/>
  <c r="D9744"/>
  <c r="C9745"/>
  <c r="D9745"/>
  <c r="C9746"/>
  <c r="D9746"/>
  <c r="C9747"/>
  <c r="D9747"/>
  <c r="C9748"/>
  <c r="D9748"/>
  <c r="C9749"/>
  <c r="D9749"/>
  <c r="C9750"/>
  <c r="D9750"/>
  <c r="C9751"/>
  <c r="D9751"/>
  <c r="C9752"/>
  <c r="D9752"/>
  <c r="C9753"/>
  <c r="D9753"/>
  <c r="C9754"/>
  <c r="D9754"/>
  <c r="C9755"/>
  <c r="D9755"/>
  <c r="C9756"/>
  <c r="D9756"/>
  <c r="C9757"/>
  <c r="D9757"/>
  <c r="C9758"/>
  <c r="D9758"/>
  <c r="C9759"/>
  <c r="D9759"/>
  <c r="C9760"/>
  <c r="D9760"/>
  <c r="C9761"/>
  <c r="D9761"/>
  <c r="C9762"/>
  <c r="D9762"/>
  <c r="C9763"/>
  <c r="D9763"/>
  <c r="C9764"/>
  <c r="D9764"/>
  <c r="C9765"/>
  <c r="D9765"/>
  <c r="C9766"/>
  <c r="D9766"/>
  <c r="C9767"/>
  <c r="D9767"/>
  <c r="C9768"/>
  <c r="D9768"/>
  <c r="C9769"/>
  <c r="D9769"/>
  <c r="C9770"/>
  <c r="D9770"/>
  <c r="C9771"/>
  <c r="D9771"/>
  <c r="C9772"/>
  <c r="D9772"/>
  <c r="C9773"/>
  <c r="D9773"/>
  <c r="C9774"/>
  <c r="D9774"/>
  <c r="C9775"/>
  <c r="D9775"/>
  <c r="C9776"/>
  <c r="D9776"/>
  <c r="C9777"/>
  <c r="D9777"/>
  <c r="C9778"/>
  <c r="D9778"/>
  <c r="C9779"/>
  <c r="D9779"/>
  <c r="C9780"/>
  <c r="D9780"/>
  <c r="C9781"/>
  <c r="D9781"/>
  <c r="C9782"/>
  <c r="D9782"/>
  <c r="C9783"/>
  <c r="D9783"/>
  <c r="C9784"/>
  <c r="D9784"/>
  <c r="C9785"/>
  <c r="D9785"/>
  <c r="C9786"/>
  <c r="D9786"/>
  <c r="C9787"/>
  <c r="D9787"/>
  <c r="C9788"/>
  <c r="D9788"/>
  <c r="C9789"/>
  <c r="D9789"/>
  <c r="C9790"/>
  <c r="D9790"/>
  <c r="C9791"/>
  <c r="D9791"/>
  <c r="C9792"/>
  <c r="D9792"/>
  <c r="C9793"/>
  <c r="D9793"/>
  <c r="C9794"/>
  <c r="D9794"/>
  <c r="C9795"/>
  <c r="D9795"/>
  <c r="C9796"/>
  <c r="D9796"/>
  <c r="C9797"/>
  <c r="D9797"/>
  <c r="C9798"/>
  <c r="D9798"/>
  <c r="C9799"/>
  <c r="D9799"/>
  <c r="C9800"/>
  <c r="D9800"/>
  <c r="C9801"/>
  <c r="D9801"/>
  <c r="C9802"/>
  <c r="D9802"/>
  <c r="C9803"/>
  <c r="D9803"/>
  <c r="C9804"/>
  <c r="D9804"/>
  <c r="C9805"/>
  <c r="D9805"/>
  <c r="C9806"/>
  <c r="D9806"/>
  <c r="C9807"/>
  <c r="D9807"/>
  <c r="C9808"/>
  <c r="D9808"/>
  <c r="C9809"/>
  <c r="D9809"/>
  <c r="C9810"/>
  <c r="D9810"/>
  <c r="C9811"/>
  <c r="D9811"/>
  <c r="C9812"/>
  <c r="D9812"/>
  <c r="C9813"/>
  <c r="D9813"/>
  <c r="C9814"/>
  <c r="D9814"/>
  <c r="C9815"/>
  <c r="D9815"/>
  <c r="C9816"/>
  <c r="D9816"/>
  <c r="C9817"/>
  <c r="D9817"/>
  <c r="C9818"/>
  <c r="D9818"/>
  <c r="C9819"/>
  <c r="D9819"/>
  <c r="C9820"/>
  <c r="D9820"/>
  <c r="C9821"/>
  <c r="D9821"/>
  <c r="C9822"/>
  <c r="D9822"/>
  <c r="C9823"/>
  <c r="D9823"/>
  <c r="C9824"/>
  <c r="D9824"/>
  <c r="C9825"/>
  <c r="D9825"/>
  <c r="C9826"/>
  <c r="D9826"/>
  <c r="C9827"/>
  <c r="D9827"/>
  <c r="C9828"/>
  <c r="D9828"/>
  <c r="C9829"/>
  <c r="D9829"/>
  <c r="C9830"/>
  <c r="D9830"/>
  <c r="C9831"/>
  <c r="D9831"/>
  <c r="C9832"/>
  <c r="D9832"/>
  <c r="C9833"/>
  <c r="D9833"/>
  <c r="C9834"/>
  <c r="D9834"/>
  <c r="C9835"/>
  <c r="D9835"/>
  <c r="C9836"/>
  <c r="D9836"/>
  <c r="C9837"/>
  <c r="D9837"/>
  <c r="C9838"/>
  <c r="D9838"/>
  <c r="C9839"/>
  <c r="D9839"/>
  <c r="C9840"/>
  <c r="D9840"/>
  <c r="C9841"/>
  <c r="D9841"/>
  <c r="C9842"/>
  <c r="D9842"/>
  <c r="C9843"/>
  <c r="D9843"/>
  <c r="C9844"/>
  <c r="D9844"/>
  <c r="C9845"/>
  <c r="D9845"/>
  <c r="C9846"/>
  <c r="D9846"/>
  <c r="C9847"/>
  <c r="D9847"/>
  <c r="C9848"/>
  <c r="D9848"/>
  <c r="C9849"/>
  <c r="D9849"/>
  <c r="C9850"/>
  <c r="D9850"/>
  <c r="C9851"/>
  <c r="D9851"/>
  <c r="C9852"/>
  <c r="D9852"/>
  <c r="C9853"/>
  <c r="D9853"/>
  <c r="C9854"/>
  <c r="D9854"/>
  <c r="C9855"/>
  <c r="D9855"/>
  <c r="C9856"/>
  <c r="D9856"/>
  <c r="C9857"/>
  <c r="D9857"/>
  <c r="C9858"/>
  <c r="D9858"/>
  <c r="C9859"/>
  <c r="D9859"/>
  <c r="C9860"/>
  <c r="D9860"/>
  <c r="C9861"/>
  <c r="D9861"/>
  <c r="C9862"/>
  <c r="D9862"/>
  <c r="C9863"/>
  <c r="D9863"/>
  <c r="C9864"/>
  <c r="D9864"/>
  <c r="C9865"/>
  <c r="D9865"/>
  <c r="C9866"/>
  <c r="D9866"/>
  <c r="C9867"/>
  <c r="D9867"/>
  <c r="C9868"/>
  <c r="D9868"/>
  <c r="C9869"/>
  <c r="D9869"/>
  <c r="C9870"/>
  <c r="D9870"/>
  <c r="C9871"/>
  <c r="D9871"/>
  <c r="C9872"/>
  <c r="D9872"/>
  <c r="C9873"/>
  <c r="D9873"/>
  <c r="C9874"/>
  <c r="D9874"/>
  <c r="C9875"/>
  <c r="D9875"/>
  <c r="C9876"/>
  <c r="D9876"/>
  <c r="C9877"/>
  <c r="D9877"/>
  <c r="C9878"/>
  <c r="D9878"/>
  <c r="C9879"/>
  <c r="D9879"/>
  <c r="C9880"/>
  <c r="D9880"/>
  <c r="C9881"/>
  <c r="D9881"/>
  <c r="C9882"/>
  <c r="D9882"/>
  <c r="C9883"/>
  <c r="D9883"/>
  <c r="C9884"/>
  <c r="D9884"/>
  <c r="C9885"/>
  <c r="D9885"/>
  <c r="C9886"/>
  <c r="D9886"/>
  <c r="C9887"/>
  <c r="D9887"/>
  <c r="C9888"/>
  <c r="D9888"/>
  <c r="C9889"/>
  <c r="D9889"/>
  <c r="C9890"/>
  <c r="D9890"/>
  <c r="C9891"/>
  <c r="D9891"/>
  <c r="C9892"/>
  <c r="D9892"/>
  <c r="C9893"/>
  <c r="D9893"/>
  <c r="C9894"/>
  <c r="D9894"/>
  <c r="C9895"/>
  <c r="D9895"/>
  <c r="C9896"/>
  <c r="D9896"/>
  <c r="C9897"/>
  <c r="D9897"/>
  <c r="C9898"/>
  <c r="D9898"/>
  <c r="C9899"/>
  <c r="D9899"/>
  <c r="C9900"/>
  <c r="D9900"/>
  <c r="C9901"/>
  <c r="D9901"/>
  <c r="C9902"/>
  <c r="D9902"/>
  <c r="C9903"/>
  <c r="D9903"/>
  <c r="C9904"/>
  <c r="D9904"/>
  <c r="C9905"/>
  <c r="D9905"/>
  <c r="C9906"/>
  <c r="D9906"/>
  <c r="C9907"/>
  <c r="D9907"/>
  <c r="C9908"/>
  <c r="D9908"/>
  <c r="C9909"/>
  <c r="D9909"/>
  <c r="C9910"/>
  <c r="D9910"/>
  <c r="C9911"/>
  <c r="D9911"/>
  <c r="C9912"/>
  <c r="D9912"/>
  <c r="C9913"/>
  <c r="D9913"/>
  <c r="C9914"/>
  <c r="D9914"/>
  <c r="C9915"/>
  <c r="D9915"/>
  <c r="C9916"/>
  <c r="D9916"/>
  <c r="C9917"/>
  <c r="D9917"/>
  <c r="C9918"/>
  <c r="D9918"/>
  <c r="C9919"/>
  <c r="D9919"/>
  <c r="C9920"/>
  <c r="D9920"/>
  <c r="C9921"/>
  <c r="D9921"/>
  <c r="C9922"/>
  <c r="D9922"/>
  <c r="C9923"/>
  <c r="D9923"/>
  <c r="C9924"/>
  <c r="D9924"/>
  <c r="C9925"/>
  <c r="D9925"/>
  <c r="C9926"/>
  <c r="D9926"/>
  <c r="C9927"/>
  <c r="D9927"/>
  <c r="C9928"/>
  <c r="D9928"/>
  <c r="C9929"/>
  <c r="D9929"/>
  <c r="C9930"/>
  <c r="D9930"/>
  <c r="C9931"/>
  <c r="D9931"/>
  <c r="C9932"/>
  <c r="D9932"/>
  <c r="C9933"/>
  <c r="D9933"/>
  <c r="C9934"/>
  <c r="D9934"/>
  <c r="C9935"/>
  <c r="D9935"/>
  <c r="C9936"/>
  <c r="D9936"/>
  <c r="C9937"/>
  <c r="D9937"/>
  <c r="C9938"/>
  <c r="D9938"/>
  <c r="C9939"/>
  <c r="D9939"/>
  <c r="C9940"/>
  <c r="D9940"/>
  <c r="C9941"/>
  <c r="D9941"/>
  <c r="C9942"/>
  <c r="D9942"/>
  <c r="C9943"/>
  <c r="D9943"/>
  <c r="C9944"/>
  <c r="D9944"/>
  <c r="C9945"/>
  <c r="D9945"/>
  <c r="C9946"/>
  <c r="D9946"/>
  <c r="C9947"/>
  <c r="D9947"/>
  <c r="C9948"/>
  <c r="D9948"/>
  <c r="C9949"/>
  <c r="D9949"/>
  <c r="C9950"/>
  <c r="D9950"/>
  <c r="C9951"/>
  <c r="D9951"/>
  <c r="C9952"/>
  <c r="D9952"/>
  <c r="C9953"/>
  <c r="D9953"/>
  <c r="C9954"/>
  <c r="D9954"/>
  <c r="C9955"/>
  <c r="D9955"/>
  <c r="C9956"/>
  <c r="D9956"/>
  <c r="C9957"/>
  <c r="D9957"/>
  <c r="C9958"/>
  <c r="D9958"/>
  <c r="C9959"/>
  <c r="D9959"/>
  <c r="C9960"/>
  <c r="D9960"/>
  <c r="C9961"/>
  <c r="D9961"/>
  <c r="C9962"/>
  <c r="D9962"/>
  <c r="C9963"/>
  <c r="D9963"/>
  <c r="C9964"/>
  <c r="D9964"/>
  <c r="C9965"/>
  <c r="D9965"/>
  <c r="C9966"/>
  <c r="D9966"/>
  <c r="C9967"/>
  <c r="D9967"/>
  <c r="C9968"/>
  <c r="D9968"/>
  <c r="C9969"/>
  <c r="D9969"/>
  <c r="C9970"/>
  <c r="D9970"/>
  <c r="C9971"/>
  <c r="D9971"/>
  <c r="C9972"/>
  <c r="D9972"/>
  <c r="C9973"/>
  <c r="D9973"/>
  <c r="C9974"/>
  <c r="D9974"/>
  <c r="C9975"/>
  <c r="D9975"/>
  <c r="C9976"/>
  <c r="D9976"/>
  <c r="C9977"/>
  <c r="D9977"/>
  <c r="C9978"/>
  <c r="D9978"/>
  <c r="C9979"/>
  <c r="D9979"/>
  <c r="C9980"/>
  <c r="D9980"/>
  <c r="C9981"/>
  <c r="D9981"/>
  <c r="C9982"/>
  <c r="D9982"/>
  <c r="C9983"/>
  <c r="D9983"/>
  <c r="C9984"/>
  <c r="D9984"/>
  <c r="C9985"/>
  <c r="D9985"/>
  <c r="C9986"/>
  <c r="D9986"/>
  <c r="C9987"/>
  <c r="D9987"/>
  <c r="C9988"/>
  <c r="D9988"/>
  <c r="C9989"/>
  <c r="D9989"/>
  <c r="C9990"/>
  <c r="D9990"/>
  <c r="C9991"/>
  <c r="D9991"/>
  <c r="C9992"/>
  <c r="D9992"/>
  <c r="C9993"/>
  <c r="D9993"/>
  <c r="C9994"/>
  <c r="D9994"/>
  <c r="C9995"/>
  <c r="D9995"/>
  <c r="C9996"/>
  <c r="D9996"/>
  <c r="C9997"/>
  <c r="D9997"/>
  <c r="C9998"/>
  <c r="D9998"/>
  <c r="C9999"/>
  <c r="D9999"/>
  <c r="C10000"/>
  <c r="D10000"/>
  <c r="C10001"/>
  <c r="D10001"/>
  <c r="C10002"/>
  <c r="D10002"/>
  <c r="C10003"/>
  <c r="D10003"/>
  <c r="C10004"/>
  <c r="D10004"/>
  <c r="C10005"/>
  <c r="D10005"/>
  <c r="C10006"/>
  <c r="D10006"/>
  <c r="C10007"/>
  <c r="D10007"/>
  <c r="C10008"/>
  <c r="D10008"/>
  <c r="C10009"/>
  <c r="D10009"/>
  <c r="C10010"/>
  <c r="D10010"/>
  <c r="C10011"/>
  <c r="D10011"/>
  <c r="C10012"/>
  <c r="D10012"/>
  <c r="C10013"/>
  <c r="D10013"/>
  <c r="C10014"/>
  <c r="D10014"/>
  <c r="C10015"/>
  <c r="D10015"/>
  <c r="C10016"/>
  <c r="D10016"/>
  <c r="C10017"/>
  <c r="D10017"/>
  <c r="C10018"/>
  <c r="D10018"/>
  <c r="C10019"/>
  <c r="D10019"/>
  <c r="C10020"/>
  <c r="D10020"/>
  <c r="C10021"/>
  <c r="D10021"/>
  <c r="C10022"/>
  <c r="D10022"/>
  <c r="C10023"/>
  <c r="D10023"/>
  <c r="C10024"/>
  <c r="D10024"/>
  <c r="C10025"/>
  <c r="D10025"/>
  <c r="C10026"/>
  <c r="D10026"/>
  <c r="C10027"/>
  <c r="D10027"/>
  <c r="C10028"/>
  <c r="D10028"/>
  <c r="C10029"/>
  <c r="D10029"/>
  <c r="C10030"/>
  <c r="D10030"/>
  <c r="C10031"/>
  <c r="D10031"/>
  <c r="C10032"/>
  <c r="D10032"/>
  <c r="C10033"/>
  <c r="D10033"/>
  <c r="C10034"/>
  <c r="D10034"/>
  <c r="C10035"/>
  <c r="D10035"/>
  <c r="C10036"/>
  <c r="D10036"/>
  <c r="C10037"/>
  <c r="D10037"/>
  <c r="C10038"/>
  <c r="D10038"/>
  <c r="C10039"/>
  <c r="D10039"/>
  <c r="C10040"/>
  <c r="D10040"/>
  <c r="C10041"/>
  <c r="D10041"/>
  <c r="C10042"/>
  <c r="D10042"/>
  <c r="C10043"/>
  <c r="D10043"/>
  <c r="C10044"/>
  <c r="D10044"/>
  <c r="C10045"/>
  <c r="D10045"/>
  <c r="C10046"/>
  <c r="D10046"/>
  <c r="C10047"/>
  <c r="D10047"/>
  <c r="C10048"/>
  <c r="D10048"/>
  <c r="C10049"/>
  <c r="D10049"/>
  <c r="C10050"/>
  <c r="D10050"/>
  <c r="C10051"/>
  <c r="D10051"/>
  <c r="C10052"/>
  <c r="D10052"/>
  <c r="C10053"/>
  <c r="D10053"/>
  <c r="C10054"/>
  <c r="D10054"/>
  <c r="C10055"/>
  <c r="D10055"/>
  <c r="C10056"/>
  <c r="D10056"/>
  <c r="C10057"/>
  <c r="D10057"/>
  <c r="C10058"/>
  <c r="D10058"/>
  <c r="C10059"/>
  <c r="D10059"/>
  <c r="C10060"/>
  <c r="D10060"/>
  <c r="C10061"/>
  <c r="D10061"/>
  <c r="C10062"/>
  <c r="D10062"/>
  <c r="C10063"/>
  <c r="D10063"/>
  <c r="C10064"/>
  <c r="D10064"/>
  <c r="C10065"/>
  <c r="D10065"/>
  <c r="C10066"/>
  <c r="D10066"/>
  <c r="C10067"/>
  <c r="D10067"/>
  <c r="C10068"/>
  <c r="D10068"/>
  <c r="C10069"/>
  <c r="D10069"/>
  <c r="C10070"/>
  <c r="D10070"/>
  <c r="C10071"/>
  <c r="D10071"/>
  <c r="C10072"/>
  <c r="D10072"/>
  <c r="C10073"/>
  <c r="D10073"/>
  <c r="C10074"/>
  <c r="D10074"/>
  <c r="C10075"/>
  <c r="D10075"/>
  <c r="C10076"/>
  <c r="D10076"/>
  <c r="C10077"/>
  <c r="D10077"/>
  <c r="C10078"/>
  <c r="D10078"/>
  <c r="C10079"/>
  <c r="D10079"/>
  <c r="C10080"/>
  <c r="D10080"/>
  <c r="C10081"/>
  <c r="D10081"/>
  <c r="C10082"/>
  <c r="D10082"/>
  <c r="C10083"/>
  <c r="D10083"/>
  <c r="C10084"/>
  <c r="D10084"/>
  <c r="C10085"/>
  <c r="D10085"/>
  <c r="C10086"/>
  <c r="D10086"/>
  <c r="C10087"/>
  <c r="D10087"/>
  <c r="C10088"/>
  <c r="D10088"/>
  <c r="C10089"/>
  <c r="D10089"/>
  <c r="C10090"/>
  <c r="D10090"/>
  <c r="C10091"/>
  <c r="D10091"/>
  <c r="C10092"/>
  <c r="D10092"/>
  <c r="C10093"/>
  <c r="D10093"/>
  <c r="C10094"/>
  <c r="D10094"/>
  <c r="C10095"/>
  <c r="D10095"/>
  <c r="C10096"/>
  <c r="D10096"/>
  <c r="C10097"/>
  <c r="D10097"/>
  <c r="C10098"/>
  <c r="D10098"/>
  <c r="C10099"/>
  <c r="D10099"/>
  <c r="C10100"/>
  <c r="D10100"/>
  <c r="C10101"/>
  <c r="D10101"/>
  <c r="C10102"/>
  <c r="D10102"/>
  <c r="C10103"/>
  <c r="D10103"/>
  <c r="C10104"/>
  <c r="D10104"/>
  <c r="C10105"/>
  <c r="D10105"/>
  <c r="C10106"/>
  <c r="D10106"/>
  <c r="C10107"/>
  <c r="D10107"/>
  <c r="C10108"/>
  <c r="D10108"/>
  <c r="C10109"/>
  <c r="D10109"/>
  <c r="C10110"/>
  <c r="D10110"/>
  <c r="C10111"/>
  <c r="D10111"/>
  <c r="C10112"/>
  <c r="D10112"/>
  <c r="C10113"/>
  <c r="D10113"/>
  <c r="C10114"/>
  <c r="D10114"/>
  <c r="C10115"/>
  <c r="D10115"/>
  <c r="C10116"/>
  <c r="D10116"/>
  <c r="C10117"/>
  <c r="D10117"/>
  <c r="C10118"/>
  <c r="D10118"/>
  <c r="C10119"/>
  <c r="D10119"/>
  <c r="C10120"/>
  <c r="D10120"/>
  <c r="C10121"/>
  <c r="D10121"/>
  <c r="C10122"/>
  <c r="D10122"/>
  <c r="C10123"/>
  <c r="D10123"/>
  <c r="C10124"/>
  <c r="D10124"/>
  <c r="C10125"/>
  <c r="D10125"/>
  <c r="C10126"/>
  <c r="D10126"/>
  <c r="C10127"/>
  <c r="D10127"/>
  <c r="C10128"/>
  <c r="D10128"/>
  <c r="C10129"/>
  <c r="D10129"/>
  <c r="C10130"/>
  <c r="D10130"/>
  <c r="C10131"/>
  <c r="D10131"/>
  <c r="C10132"/>
  <c r="D10132"/>
  <c r="C10133"/>
  <c r="D10133"/>
  <c r="C10134"/>
  <c r="D10134"/>
  <c r="C10135"/>
  <c r="D10135"/>
  <c r="C10136"/>
  <c r="D10136"/>
  <c r="C10137"/>
  <c r="D10137"/>
  <c r="C10138"/>
  <c r="D10138"/>
  <c r="C10139"/>
  <c r="D10139"/>
  <c r="C10140"/>
  <c r="D10140"/>
  <c r="C10141"/>
  <c r="D10141"/>
  <c r="C10142"/>
  <c r="D10142"/>
  <c r="C10143"/>
  <c r="D10143"/>
  <c r="C10144"/>
  <c r="D10144"/>
  <c r="C10145"/>
  <c r="D10145"/>
  <c r="C10146"/>
  <c r="D10146"/>
  <c r="C10147"/>
  <c r="D10147"/>
  <c r="C10148"/>
  <c r="D10148"/>
  <c r="C10149"/>
  <c r="D10149"/>
  <c r="C10150"/>
  <c r="D10150"/>
  <c r="C10151"/>
  <c r="D10151"/>
  <c r="C10152"/>
  <c r="D10152"/>
  <c r="C10153"/>
  <c r="D10153"/>
  <c r="C10154"/>
  <c r="D10154"/>
  <c r="C10155"/>
  <c r="D10155"/>
  <c r="C10156"/>
  <c r="D10156"/>
  <c r="C10157"/>
  <c r="D10157"/>
  <c r="C10158"/>
  <c r="D10158"/>
  <c r="C10159"/>
  <c r="D10159"/>
  <c r="C10160"/>
  <c r="D10160"/>
  <c r="C10161"/>
  <c r="D10161"/>
  <c r="C10162"/>
  <c r="D10162"/>
  <c r="C10163"/>
  <c r="D10163"/>
  <c r="C10164"/>
  <c r="D10164"/>
  <c r="C10165"/>
  <c r="D10165"/>
  <c r="C10166"/>
  <c r="D10166"/>
  <c r="C10167"/>
  <c r="D10167"/>
  <c r="C10168"/>
  <c r="D10168"/>
  <c r="C10169"/>
  <c r="D10169"/>
  <c r="C10170"/>
  <c r="D10170"/>
  <c r="C10171"/>
  <c r="D10171"/>
  <c r="C10172"/>
  <c r="D10172"/>
  <c r="C10173"/>
  <c r="D10173"/>
  <c r="C10174"/>
  <c r="D10174"/>
  <c r="C10175"/>
  <c r="D10175"/>
  <c r="C10176"/>
  <c r="D10176"/>
  <c r="C10177"/>
  <c r="D10177"/>
  <c r="C10178"/>
  <c r="D10178"/>
  <c r="C10179"/>
  <c r="D10179"/>
  <c r="C10180"/>
  <c r="D10180"/>
  <c r="C10181"/>
  <c r="D10181"/>
  <c r="C10182"/>
  <c r="D10182"/>
  <c r="C10183"/>
  <c r="D10183"/>
  <c r="C10184"/>
  <c r="D10184"/>
  <c r="C10185"/>
  <c r="D10185"/>
  <c r="C10186"/>
  <c r="D10186"/>
  <c r="C10187"/>
  <c r="D10187"/>
  <c r="C10188"/>
  <c r="D10188"/>
  <c r="C10189"/>
  <c r="D10189"/>
  <c r="C10190"/>
  <c r="D10190"/>
  <c r="C10191"/>
  <c r="D10191"/>
  <c r="C10192"/>
  <c r="D10192"/>
  <c r="C10193"/>
  <c r="D10193"/>
  <c r="C10194"/>
  <c r="D10194"/>
  <c r="C10195"/>
  <c r="D10195"/>
  <c r="C10196"/>
  <c r="D10196"/>
  <c r="C10197"/>
  <c r="D10197"/>
  <c r="C10198"/>
  <c r="D10198"/>
  <c r="C10199"/>
  <c r="D10199"/>
  <c r="C10200"/>
  <c r="D10200"/>
  <c r="C10201"/>
  <c r="D10201"/>
  <c r="C10202"/>
  <c r="D10202"/>
  <c r="C10203"/>
  <c r="D10203"/>
  <c r="C10204"/>
  <c r="D10204"/>
  <c r="C10205"/>
  <c r="D10205"/>
  <c r="C10206"/>
  <c r="D10206"/>
  <c r="C10207"/>
  <c r="D10207"/>
  <c r="C10208"/>
  <c r="D10208"/>
  <c r="C10209"/>
  <c r="D10209"/>
  <c r="C10210"/>
  <c r="D10210"/>
  <c r="C10211"/>
  <c r="D10211"/>
  <c r="C10212"/>
  <c r="D10212"/>
  <c r="C10213"/>
  <c r="D10213"/>
  <c r="C10214"/>
  <c r="D10214"/>
  <c r="C10215"/>
  <c r="D10215"/>
  <c r="C10216"/>
  <c r="D10216"/>
  <c r="C10217"/>
  <c r="D10217"/>
  <c r="C10218"/>
  <c r="D10218"/>
  <c r="C10219"/>
  <c r="D10219"/>
  <c r="C10220"/>
  <c r="D10220"/>
  <c r="C10221"/>
  <c r="D10221"/>
  <c r="C10222"/>
  <c r="D10222"/>
  <c r="C10223"/>
  <c r="D10223"/>
  <c r="C10224"/>
  <c r="D10224"/>
  <c r="C10225"/>
  <c r="D10225"/>
  <c r="C10226"/>
  <c r="D10226"/>
  <c r="C10227"/>
  <c r="D10227"/>
  <c r="C10228"/>
  <c r="D10228"/>
  <c r="C10229"/>
  <c r="D10229"/>
  <c r="C10230"/>
  <c r="D10230"/>
  <c r="C10231"/>
  <c r="D10231"/>
  <c r="C10232"/>
  <c r="D10232"/>
  <c r="C10233"/>
  <c r="D10233"/>
  <c r="C10234"/>
  <c r="D10234"/>
  <c r="C10235"/>
  <c r="D10235"/>
  <c r="C10236"/>
  <c r="D10236"/>
  <c r="C10237"/>
  <c r="D10237"/>
  <c r="C10238"/>
  <c r="D10238"/>
  <c r="C10239"/>
  <c r="D10239"/>
  <c r="C10240"/>
  <c r="D10240"/>
  <c r="C10241"/>
  <c r="D10241"/>
  <c r="C10242"/>
  <c r="D10242"/>
  <c r="C10243"/>
  <c r="D10243"/>
  <c r="C10244"/>
  <c r="D10244"/>
  <c r="C10245"/>
  <c r="D10245"/>
  <c r="C10246"/>
  <c r="D10246"/>
  <c r="C10247"/>
  <c r="D10247"/>
  <c r="C10248"/>
  <c r="D10248"/>
  <c r="C10249"/>
  <c r="D10249"/>
  <c r="C10250"/>
  <c r="D10250"/>
  <c r="C10251"/>
  <c r="D10251"/>
  <c r="C10252"/>
  <c r="D10252"/>
  <c r="C10253"/>
  <c r="D10253"/>
  <c r="C10254"/>
  <c r="D10254"/>
  <c r="C10255"/>
  <c r="D10255"/>
  <c r="C10256"/>
  <c r="D10256"/>
  <c r="C10257"/>
  <c r="D10257"/>
  <c r="C10258"/>
  <c r="D10258"/>
  <c r="C10259"/>
  <c r="D10259"/>
  <c r="C10260"/>
  <c r="D10260"/>
  <c r="C10261"/>
  <c r="D10261"/>
  <c r="C10262"/>
  <c r="D10262"/>
  <c r="C10263"/>
  <c r="D10263"/>
  <c r="C10264"/>
  <c r="D10264"/>
  <c r="C10265"/>
  <c r="D10265"/>
  <c r="C10266"/>
  <c r="D10266"/>
  <c r="C10267"/>
  <c r="D10267"/>
  <c r="C10268"/>
  <c r="D10268"/>
  <c r="C10269"/>
  <c r="D10269"/>
  <c r="C10270"/>
  <c r="D10270"/>
  <c r="C10271"/>
  <c r="D10271"/>
  <c r="C10272"/>
  <c r="D10272"/>
  <c r="C10273"/>
  <c r="D10273"/>
  <c r="C10274"/>
  <c r="D10274"/>
  <c r="C10275"/>
  <c r="D10275"/>
  <c r="C10276"/>
  <c r="D10276"/>
  <c r="C10277"/>
  <c r="D10277"/>
  <c r="C10278"/>
  <c r="D10278"/>
  <c r="C10279"/>
  <c r="D10279"/>
  <c r="C10280"/>
  <c r="D10280"/>
  <c r="C10281"/>
  <c r="D10281"/>
  <c r="C10282"/>
  <c r="D10282"/>
  <c r="C10283"/>
  <c r="D10283"/>
  <c r="C10284"/>
  <c r="D10284"/>
  <c r="C10285"/>
  <c r="D10285"/>
  <c r="C10286"/>
  <c r="D10286"/>
  <c r="C10287"/>
  <c r="D10287"/>
  <c r="C10288"/>
  <c r="D10288"/>
  <c r="C10289"/>
  <c r="D10289"/>
  <c r="C10290"/>
  <c r="D10290"/>
  <c r="C10291"/>
  <c r="D10291"/>
  <c r="C10292"/>
  <c r="D10292"/>
  <c r="C10293"/>
  <c r="D10293"/>
  <c r="C10294"/>
  <c r="D10294"/>
  <c r="C10295"/>
  <c r="D10295"/>
  <c r="C10296"/>
  <c r="D10296"/>
  <c r="C10297"/>
  <c r="D10297"/>
  <c r="C10298"/>
  <c r="D10298"/>
  <c r="C10299"/>
  <c r="D10299"/>
  <c r="C10300"/>
  <c r="D10300"/>
  <c r="C10301"/>
  <c r="D10301"/>
  <c r="C10302"/>
  <c r="D10302"/>
  <c r="C10303"/>
  <c r="D10303"/>
  <c r="C10304"/>
  <c r="D10304"/>
  <c r="C10305"/>
  <c r="D10305"/>
  <c r="C10306"/>
  <c r="D10306"/>
  <c r="C10307"/>
  <c r="D10307"/>
  <c r="C10308"/>
  <c r="D10308"/>
  <c r="C10309"/>
  <c r="D10309"/>
  <c r="C10310"/>
  <c r="D10310"/>
  <c r="C10311"/>
  <c r="D10311"/>
  <c r="C10312"/>
  <c r="D10312"/>
  <c r="C10313"/>
  <c r="D10313"/>
  <c r="C10314"/>
  <c r="D10314"/>
  <c r="C10315"/>
  <c r="D10315"/>
  <c r="C10316"/>
  <c r="D10316"/>
  <c r="C10317"/>
  <c r="D10317"/>
  <c r="C10318"/>
  <c r="D10318"/>
  <c r="C10319"/>
  <c r="D10319"/>
  <c r="C10320"/>
  <c r="D10320"/>
  <c r="C10321"/>
  <c r="D10321"/>
  <c r="C10322"/>
  <c r="D10322"/>
  <c r="C10323"/>
  <c r="D10323"/>
  <c r="C10324"/>
  <c r="D10324"/>
  <c r="C10325"/>
  <c r="D10325"/>
  <c r="C10326"/>
  <c r="D10326"/>
  <c r="C10327"/>
  <c r="D10327"/>
  <c r="C10328"/>
  <c r="D10328"/>
  <c r="C10329"/>
  <c r="D10329"/>
  <c r="C10330"/>
  <c r="D10330"/>
  <c r="C10331"/>
  <c r="D10331"/>
  <c r="C10332"/>
  <c r="D10332"/>
  <c r="C10333"/>
  <c r="D10333"/>
  <c r="C10334"/>
  <c r="D10334"/>
  <c r="C10335"/>
  <c r="D10335"/>
  <c r="C10336"/>
  <c r="D10336"/>
  <c r="C10337"/>
  <c r="D10337"/>
  <c r="C10338"/>
  <c r="D10338"/>
  <c r="C10339"/>
  <c r="D10339"/>
  <c r="C10340"/>
  <c r="D10340"/>
  <c r="C10341"/>
  <c r="D10341"/>
  <c r="C10342"/>
  <c r="D10342"/>
  <c r="C10343"/>
  <c r="D10343"/>
  <c r="C10344"/>
  <c r="D10344"/>
  <c r="C10345"/>
  <c r="D10345"/>
  <c r="C10346"/>
  <c r="D10346"/>
  <c r="C10347"/>
  <c r="D10347"/>
  <c r="C10348"/>
  <c r="D10348"/>
  <c r="C10349"/>
  <c r="D10349"/>
  <c r="C10350"/>
  <c r="D10350"/>
  <c r="C10351"/>
  <c r="D10351"/>
  <c r="C10352"/>
  <c r="D10352"/>
  <c r="C10353"/>
  <c r="D10353"/>
  <c r="C10354"/>
  <c r="D10354"/>
  <c r="C10355"/>
  <c r="D10355"/>
  <c r="C10356"/>
  <c r="D10356"/>
  <c r="C10357"/>
  <c r="D10357"/>
  <c r="C10358"/>
  <c r="D10358"/>
  <c r="C10359"/>
  <c r="D10359"/>
  <c r="C10360"/>
  <c r="D10360"/>
  <c r="C10361"/>
  <c r="D10361"/>
  <c r="C10362"/>
  <c r="D10362"/>
  <c r="C10363"/>
  <c r="D10363"/>
  <c r="C10364"/>
  <c r="D10364"/>
  <c r="C10365"/>
  <c r="D10365"/>
  <c r="C10366"/>
  <c r="D10366"/>
  <c r="C10367"/>
  <c r="D10367"/>
  <c r="C10368"/>
  <c r="D10368"/>
  <c r="C10369"/>
  <c r="D10369"/>
  <c r="C10370"/>
  <c r="D10370"/>
  <c r="C10371"/>
  <c r="D10371"/>
  <c r="C10372"/>
  <c r="D10372"/>
  <c r="C10373"/>
  <c r="D10373"/>
  <c r="C10374"/>
  <c r="D10374"/>
  <c r="C10375"/>
  <c r="D10375"/>
  <c r="C10376"/>
  <c r="D10376"/>
  <c r="C10377"/>
  <c r="D10377"/>
  <c r="C10378"/>
  <c r="D10378"/>
  <c r="C10379"/>
  <c r="D10379"/>
  <c r="C10380"/>
  <c r="D10380"/>
  <c r="C10381"/>
  <c r="D10381"/>
  <c r="C10382"/>
  <c r="D10382"/>
  <c r="C10383"/>
  <c r="D10383"/>
  <c r="C10384"/>
  <c r="D10384"/>
  <c r="C10385"/>
  <c r="D10385"/>
  <c r="C10386"/>
  <c r="D10386"/>
  <c r="C10387"/>
  <c r="D10387"/>
  <c r="C10388"/>
  <c r="D10388"/>
  <c r="C10389"/>
  <c r="D10389"/>
  <c r="C10390"/>
  <c r="D10390"/>
  <c r="C10391"/>
  <c r="D10391"/>
  <c r="C10392"/>
  <c r="D10392"/>
  <c r="C10393"/>
  <c r="D10393"/>
  <c r="C10394"/>
  <c r="D10394"/>
  <c r="C10395"/>
  <c r="D10395"/>
  <c r="C10396"/>
  <c r="D10396"/>
  <c r="C10397"/>
  <c r="D10397"/>
  <c r="C10398"/>
  <c r="D10398"/>
  <c r="C10399"/>
  <c r="D10399"/>
  <c r="C10400"/>
  <c r="D10400"/>
  <c r="C10401"/>
  <c r="D10401"/>
  <c r="C10402"/>
  <c r="D10402"/>
  <c r="C10403"/>
  <c r="D10403"/>
  <c r="C10404"/>
  <c r="D10404"/>
  <c r="C10405"/>
  <c r="D10405"/>
  <c r="C10406"/>
  <c r="D10406"/>
  <c r="C10407"/>
  <c r="D10407"/>
  <c r="C10408"/>
  <c r="D10408"/>
  <c r="C10409"/>
  <c r="D10409"/>
  <c r="C10410"/>
  <c r="D10410"/>
  <c r="C10411"/>
  <c r="D10411"/>
  <c r="C10412"/>
  <c r="D10412"/>
  <c r="C10413"/>
  <c r="D10413"/>
  <c r="C10414"/>
  <c r="D10414"/>
  <c r="C10415"/>
  <c r="D10415"/>
  <c r="C10416"/>
  <c r="D10416"/>
  <c r="C10417"/>
  <c r="D10417"/>
  <c r="C10418"/>
  <c r="D10418"/>
  <c r="C10419"/>
  <c r="D10419"/>
  <c r="C10420"/>
  <c r="D10420"/>
  <c r="C10421"/>
  <c r="D10421"/>
  <c r="C10422"/>
  <c r="D10422"/>
  <c r="C10423"/>
  <c r="D10423"/>
  <c r="C10424"/>
  <c r="D10424"/>
  <c r="C10425"/>
  <c r="D10425"/>
  <c r="C10426"/>
  <c r="D10426"/>
  <c r="C10427"/>
  <c r="D10427"/>
  <c r="C10428"/>
  <c r="D10428"/>
  <c r="C10429"/>
  <c r="D10429"/>
  <c r="C10430"/>
  <c r="D10430"/>
  <c r="C10431"/>
  <c r="D10431"/>
  <c r="C10432"/>
  <c r="D10432"/>
  <c r="C10433"/>
  <c r="D10433"/>
  <c r="C10434"/>
  <c r="D10434"/>
  <c r="C10435"/>
  <c r="D10435"/>
  <c r="C10436"/>
  <c r="D10436"/>
  <c r="C10437"/>
  <c r="D10437"/>
  <c r="C10438"/>
  <c r="D10438"/>
  <c r="C10439"/>
  <c r="D10439"/>
  <c r="C10440"/>
  <c r="D10440"/>
  <c r="C10441"/>
  <c r="D10441"/>
  <c r="C10442"/>
  <c r="D10442"/>
  <c r="C10443"/>
  <c r="D10443"/>
  <c r="C10444"/>
  <c r="D10444"/>
  <c r="C10445"/>
  <c r="D10445"/>
  <c r="C10446"/>
  <c r="D10446"/>
  <c r="C10447"/>
  <c r="D10447"/>
  <c r="C10448"/>
  <c r="D10448"/>
  <c r="C10449"/>
  <c r="D10449"/>
  <c r="C10450"/>
  <c r="D10450"/>
  <c r="C10451"/>
  <c r="D10451"/>
  <c r="C10452"/>
  <c r="D10452"/>
  <c r="C10453"/>
  <c r="D10453"/>
  <c r="C10454"/>
  <c r="D10454"/>
  <c r="C10455"/>
  <c r="D10455"/>
  <c r="C10456"/>
  <c r="D10456"/>
  <c r="C10457"/>
  <c r="D10457"/>
  <c r="C10458"/>
  <c r="D10458"/>
  <c r="C10459"/>
  <c r="D10459"/>
  <c r="C10460"/>
  <c r="D10460"/>
  <c r="C10461"/>
  <c r="D10461"/>
  <c r="C10462"/>
  <c r="D10462"/>
  <c r="C10463"/>
  <c r="D10463"/>
  <c r="C10464"/>
  <c r="D10464"/>
  <c r="C10465"/>
  <c r="D10465"/>
  <c r="C10466"/>
  <c r="D10466"/>
  <c r="C10467"/>
  <c r="D10467"/>
  <c r="C10468"/>
  <c r="D10468"/>
  <c r="C10469"/>
  <c r="D10469"/>
  <c r="C10470"/>
  <c r="D10470"/>
  <c r="C10471"/>
  <c r="D10471"/>
  <c r="C10472"/>
  <c r="D10472"/>
  <c r="C10473"/>
  <c r="D10473"/>
  <c r="C10474"/>
  <c r="D10474"/>
  <c r="C10475"/>
  <c r="D10475"/>
  <c r="C10476"/>
  <c r="D10476"/>
  <c r="C10477"/>
  <c r="D10477"/>
  <c r="C10478"/>
  <c r="D10478"/>
  <c r="C10479"/>
  <c r="D10479"/>
  <c r="C10480"/>
  <c r="D10480"/>
  <c r="C10481"/>
  <c r="D10481"/>
  <c r="C10482"/>
  <c r="D10482"/>
  <c r="C10483"/>
  <c r="D10483"/>
  <c r="C10484"/>
  <c r="D10484"/>
  <c r="C10485"/>
  <c r="D10485"/>
  <c r="C10486"/>
  <c r="D10486"/>
  <c r="C10487"/>
  <c r="D10487"/>
  <c r="C10488"/>
  <c r="D10488"/>
  <c r="C10489"/>
  <c r="D10489"/>
  <c r="C10490"/>
  <c r="D10490"/>
  <c r="C10491"/>
  <c r="D10491"/>
  <c r="C10492"/>
  <c r="D10492"/>
  <c r="C10493"/>
  <c r="D10493"/>
  <c r="C10494"/>
  <c r="D10494"/>
  <c r="C10495"/>
  <c r="D10495"/>
  <c r="C10496"/>
  <c r="D10496"/>
  <c r="C10497"/>
  <c r="D10497"/>
  <c r="C10498"/>
  <c r="D10498"/>
  <c r="C10499"/>
  <c r="D10499"/>
  <c r="C10500"/>
  <c r="D10500"/>
  <c r="C10501"/>
  <c r="D10501"/>
  <c r="C10502"/>
  <c r="D10502"/>
  <c r="C10503"/>
  <c r="D10503"/>
  <c r="C10504"/>
  <c r="D10504"/>
  <c r="C10505"/>
  <c r="D10505"/>
  <c r="C10506"/>
  <c r="D10506"/>
  <c r="C10507"/>
  <c r="D10507"/>
  <c r="C10508"/>
  <c r="D10508"/>
  <c r="C10509"/>
  <c r="D10509"/>
  <c r="C10510"/>
  <c r="D10510"/>
  <c r="C10511"/>
  <c r="D10511"/>
  <c r="C10512"/>
  <c r="D10512"/>
  <c r="C10513"/>
  <c r="D10513"/>
  <c r="C10514"/>
  <c r="D10514"/>
  <c r="C10515"/>
  <c r="D10515"/>
  <c r="C10516"/>
  <c r="D10516"/>
  <c r="C10517"/>
  <c r="D10517"/>
  <c r="C10518"/>
  <c r="D10518"/>
  <c r="C10519"/>
  <c r="D10519"/>
  <c r="C10520"/>
  <c r="D10520"/>
  <c r="C10521"/>
  <c r="D10521"/>
  <c r="C10522"/>
  <c r="D10522"/>
  <c r="C10523"/>
  <c r="D10523"/>
  <c r="C10524"/>
  <c r="D10524"/>
  <c r="C10525"/>
  <c r="D10525"/>
  <c r="C10526"/>
  <c r="D10526"/>
  <c r="C10527"/>
  <c r="D10527"/>
  <c r="C10528"/>
  <c r="D10528"/>
  <c r="C10529"/>
  <c r="D10529"/>
  <c r="C10530"/>
  <c r="D10530"/>
  <c r="C10531"/>
  <c r="D10531"/>
  <c r="C10532"/>
  <c r="D10532"/>
  <c r="C10533"/>
  <c r="D10533"/>
  <c r="C10534"/>
  <c r="D10534"/>
  <c r="C10535"/>
  <c r="D10535"/>
  <c r="C10536"/>
  <c r="D10536"/>
  <c r="C10537"/>
  <c r="D10537"/>
  <c r="C10538"/>
  <c r="D10538"/>
  <c r="C10539"/>
  <c r="D10539"/>
  <c r="C10540"/>
  <c r="D10540"/>
  <c r="C10541"/>
  <c r="D10541"/>
  <c r="C10542"/>
  <c r="D10542"/>
  <c r="C10543"/>
  <c r="D10543"/>
  <c r="C10544"/>
  <c r="D10544"/>
  <c r="C10545"/>
  <c r="D10545"/>
  <c r="C10546"/>
  <c r="D10546"/>
  <c r="C10547"/>
  <c r="D10547"/>
  <c r="C10548"/>
  <c r="D10548"/>
  <c r="C10549"/>
  <c r="D10549"/>
  <c r="C10550"/>
  <c r="D10550"/>
  <c r="C10551"/>
  <c r="D10551"/>
  <c r="C10552"/>
  <c r="D10552"/>
  <c r="C10553"/>
  <c r="D10553"/>
  <c r="C10554"/>
  <c r="D10554"/>
  <c r="C10555"/>
  <c r="D10555"/>
  <c r="C10556"/>
  <c r="D10556"/>
  <c r="C10557"/>
  <c r="D10557"/>
  <c r="C10558"/>
  <c r="D10558"/>
  <c r="C10559"/>
  <c r="D10559"/>
  <c r="C10560"/>
  <c r="D10560"/>
  <c r="C10561"/>
  <c r="D10561"/>
  <c r="C10562"/>
  <c r="D10562"/>
  <c r="C10563"/>
  <c r="D10563"/>
  <c r="C10564"/>
  <c r="D10564"/>
  <c r="C10565"/>
  <c r="D10565"/>
  <c r="C10566"/>
  <c r="D10566"/>
  <c r="C10567"/>
  <c r="D10567"/>
  <c r="C10568"/>
  <c r="D10568"/>
  <c r="C10569"/>
  <c r="D10569"/>
  <c r="C10570"/>
  <c r="D10570"/>
  <c r="C10571"/>
  <c r="D10571"/>
  <c r="C10572"/>
  <c r="D10572"/>
  <c r="C10573"/>
  <c r="D10573"/>
  <c r="C10574"/>
  <c r="D10574"/>
  <c r="C10575"/>
  <c r="D10575"/>
  <c r="C10576"/>
  <c r="D10576"/>
  <c r="C10577"/>
  <c r="D10577"/>
  <c r="C10578"/>
  <c r="D10578"/>
  <c r="C10579"/>
  <c r="D10579"/>
  <c r="C10580"/>
  <c r="D10580"/>
  <c r="C10581"/>
  <c r="D10581"/>
  <c r="C10582"/>
  <c r="D10582"/>
  <c r="C10583"/>
  <c r="D10583"/>
  <c r="C10584"/>
  <c r="D10584"/>
  <c r="C10585"/>
  <c r="D10585"/>
  <c r="C10586"/>
  <c r="D10586"/>
  <c r="C10587"/>
  <c r="D10587"/>
  <c r="C10588"/>
  <c r="D10588"/>
  <c r="C10589"/>
  <c r="D10589"/>
  <c r="C10590"/>
  <c r="D10590"/>
  <c r="C10591"/>
  <c r="D10591"/>
  <c r="C10592"/>
  <c r="D10592"/>
  <c r="C10593"/>
  <c r="D10593"/>
  <c r="C10594"/>
  <c r="D10594"/>
  <c r="C10595"/>
  <c r="D10595"/>
  <c r="C10596"/>
  <c r="D10596"/>
  <c r="C10597"/>
  <c r="D10597"/>
  <c r="C10598"/>
  <c r="D10598"/>
  <c r="C10599"/>
  <c r="D10599"/>
  <c r="C10600"/>
  <c r="D10600"/>
  <c r="C10601"/>
  <c r="D10601"/>
  <c r="C10602"/>
  <c r="D10602"/>
  <c r="C10603"/>
  <c r="D10603"/>
  <c r="C10604"/>
  <c r="D10604"/>
  <c r="C10605"/>
  <c r="D10605"/>
  <c r="C10606"/>
  <c r="D10606"/>
  <c r="C10607"/>
  <c r="D10607"/>
  <c r="C10608"/>
  <c r="D10608"/>
  <c r="C10609"/>
  <c r="D10609"/>
  <c r="C10610"/>
  <c r="D10610"/>
  <c r="C10611"/>
  <c r="D10611"/>
  <c r="C10612"/>
  <c r="D10612"/>
  <c r="C10613"/>
  <c r="D10613"/>
  <c r="C10614"/>
  <c r="D10614"/>
  <c r="C10615"/>
  <c r="D10615"/>
  <c r="C10616"/>
  <c r="D10616"/>
  <c r="C10617"/>
  <c r="D10617"/>
  <c r="C10618"/>
  <c r="D10618"/>
  <c r="C10619"/>
  <c r="D10619"/>
  <c r="C10620"/>
  <c r="D10620"/>
  <c r="C10621"/>
  <c r="D10621"/>
  <c r="C10622"/>
  <c r="D10622"/>
  <c r="C10623"/>
  <c r="D10623"/>
  <c r="C10624"/>
  <c r="D10624"/>
  <c r="C10625"/>
  <c r="D10625"/>
  <c r="C10626"/>
  <c r="D10626"/>
  <c r="C10627"/>
  <c r="D10627"/>
  <c r="C10628"/>
  <c r="D10628"/>
  <c r="C10629"/>
  <c r="D10629"/>
  <c r="C10630"/>
  <c r="D10630"/>
  <c r="C10631"/>
  <c r="D10631"/>
  <c r="C10632"/>
  <c r="D10632"/>
  <c r="C10633"/>
  <c r="D10633"/>
  <c r="C10634"/>
  <c r="D10634"/>
  <c r="C10635"/>
  <c r="D10635"/>
  <c r="C10636"/>
  <c r="D10636"/>
  <c r="C10637"/>
  <c r="D10637"/>
  <c r="C10638"/>
  <c r="D10638"/>
  <c r="C10639"/>
  <c r="D10639"/>
  <c r="C10640"/>
  <c r="D10640"/>
  <c r="C10641"/>
  <c r="D10641"/>
  <c r="C10642"/>
  <c r="D10642"/>
  <c r="C10643"/>
  <c r="D10643"/>
  <c r="C10644"/>
  <c r="D10644"/>
  <c r="C10645"/>
  <c r="D10645"/>
  <c r="C10646"/>
  <c r="D10646"/>
  <c r="C10647"/>
  <c r="D10647"/>
  <c r="C10648"/>
  <c r="D10648"/>
  <c r="C10649"/>
  <c r="D10649"/>
  <c r="C10650"/>
  <c r="D10650"/>
  <c r="C10651"/>
  <c r="D10651"/>
  <c r="C10652"/>
  <c r="D10652"/>
  <c r="C10653"/>
  <c r="D10653"/>
  <c r="C10654"/>
  <c r="D10654"/>
  <c r="C10655"/>
  <c r="D10655"/>
  <c r="C10656"/>
  <c r="D10656"/>
  <c r="C10657"/>
  <c r="D10657"/>
  <c r="C10658"/>
  <c r="D10658"/>
  <c r="C10659"/>
  <c r="D10659"/>
  <c r="C10660"/>
  <c r="D10660"/>
  <c r="C10661"/>
  <c r="D10661"/>
  <c r="C10662"/>
  <c r="D10662"/>
  <c r="C10663"/>
  <c r="D10663"/>
  <c r="C10664"/>
  <c r="D10664"/>
  <c r="C10665"/>
  <c r="D10665"/>
  <c r="C10666"/>
  <c r="D10666"/>
  <c r="C10667"/>
  <c r="D10667"/>
  <c r="C10668"/>
  <c r="D10668"/>
  <c r="C10669"/>
  <c r="D10669"/>
  <c r="C10670"/>
  <c r="D10670"/>
  <c r="C10671"/>
  <c r="D10671"/>
  <c r="C10672"/>
  <c r="D10672"/>
  <c r="C10673"/>
  <c r="D10673"/>
  <c r="C10674"/>
  <c r="D10674"/>
  <c r="C10675"/>
  <c r="D10675"/>
  <c r="C10676"/>
  <c r="D10676"/>
  <c r="C10677"/>
  <c r="D10677"/>
  <c r="C10678"/>
  <c r="D10678"/>
  <c r="C10679"/>
  <c r="D10679"/>
  <c r="C10680"/>
  <c r="D10680"/>
  <c r="C10681"/>
  <c r="D10681"/>
  <c r="C10682"/>
  <c r="D10682"/>
  <c r="C10683"/>
  <c r="D10683"/>
  <c r="C10684"/>
  <c r="D10684"/>
  <c r="C10685"/>
  <c r="D10685"/>
  <c r="C10686"/>
  <c r="D10686"/>
  <c r="C10687"/>
  <c r="D10687"/>
  <c r="C10688"/>
  <c r="D10688"/>
  <c r="C10689"/>
  <c r="D10689"/>
  <c r="C10690"/>
  <c r="D10690"/>
  <c r="C10691"/>
  <c r="D10691"/>
  <c r="C10692"/>
  <c r="D10692"/>
  <c r="C10693"/>
  <c r="D10693"/>
  <c r="C10694"/>
  <c r="D10694"/>
  <c r="C10695"/>
  <c r="D10695"/>
  <c r="C10696"/>
  <c r="D10696"/>
  <c r="C10697"/>
  <c r="D10697"/>
  <c r="C10698"/>
  <c r="D10698"/>
  <c r="C10699"/>
  <c r="D10699"/>
  <c r="C10700"/>
  <c r="D10700"/>
  <c r="C10701"/>
  <c r="D10701"/>
  <c r="C10702"/>
  <c r="D10702"/>
  <c r="C10703"/>
  <c r="D10703"/>
  <c r="C10704"/>
  <c r="D10704"/>
  <c r="C10705"/>
  <c r="D10705"/>
  <c r="C10706"/>
  <c r="D10706"/>
  <c r="C10707"/>
  <c r="D10707"/>
  <c r="C10708"/>
  <c r="D10708"/>
  <c r="C10709"/>
  <c r="D10709"/>
  <c r="C10710"/>
  <c r="D10710"/>
  <c r="C10711"/>
  <c r="D10711"/>
  <c r="C10712"/>
  <c r="D10712"/>
  <c r="C10713"/>
  <c r="D10713"/>
  <c r="C10714"/>
  <c r="D10714"/>
  <c r="C10715"/>
  <c r="D10715"/>
  <c r="C10716"/>
  <c r="D10716"/>
  <c r="C10717"/>
  <c r="D10717"/>
  <c r="C10718"/>
  <c r="D10718"/>
  <c r="C10719"/>
  <c r="D10719"/>
  <c r="C10720"/>
  <c r="D10720"/>
  <c r="C10721"/>
  <c r="D10721"/>
  <c r="C10722"/>
  <c r="D10722"/>
  <c r="C10723"/>
  <c r="D10723"/>
  <c r="C10724"/>
  <c r="D10724"/>
  <c r="C10725"/>
  <c r="D10725"/>
  <c r="C10726"/>
  <c r="D10726"/>
  <c r="C10727"/>
  <c r="D10727"/>
  <c r="C10728"/>
  <c r="D10728"/>
  <c r="C10729"/>
  <c r="D10729"/>
  <c r="C10730"/>
  <c r="D10730"/>
  <c r="C10731"/>
  <c r="D10731"/>
  <c r="C10732"/>
  <c r="D10732"/>
  <c r="C10733"/>
  <c r="D10733"/>
  <c r="C10734"/>
  <c r="D10734"/>
  <c r="C10735"/>
  <c r="D10735"/>
  <c r="C10736"/>
  <c r="D10736"/>
  <c r="C10737"/>
  <c r="D10737"/>
  <c r="C10738"/>
  <c r="D10738"/>
  <c r="C10739"/>
  <c r="D10739"/>
  <c r="C10740"/>
  <c r="D10740"/>
  <c r="C10741"/>
  <c r="D10741"/>
  <c r="C10742"/>
  <c r="D10742"/>
  <c r="C10743"/>
  <c r="D10743"/>
  <c r="C10744"/>
  <c r="D10744"/>
  <c r="C10745"/>
  <c r="D10745"/>
  <c r="C10746"/>
  <c r="D10746"/>
  <c r="C10747"/>
  <c r="D10747"/>
  <c r="C10748"/>
  <c r="D10748"/>
  <c r="C10749"/>
  <c r="D10749"/>
  <c r="C10750"/>
  <c r="D10750"/>
  <c r="C10751"/>
  <c r="D10751"/>
  <c r="C10752"/>
  <c r="D10752"/>
  <c r="C10753"/>
  <c r="D10753"/>
  <c r="C10754"/>
  <c r="D10754"/>
  <c r="C10755"/>
  <c r="D10755"/>
  <c r="C10756"/>
  <c r="D10756"/>
  <c r="C10757"/>
  <c r="D10757"/>
  <c r="C10758"/>
  <c r="D10758"/>
  <c r="C10759"/>
  <c r="D10759"/>
  <c r="C10760"/>
  <c r="D10760"/>
  <c r="C10761"/>
  <c r="D10761"/>
  <c r="C10762"/>
  <c r="D10762"/>
  <c r="C10763"/>
  <c r="D10763"/>
  <c r="C10764"/>
  <c r="D10764"/>
  <c r="C10765"/>
  <c r="D10765"/>
  <c r="C10766"/>
  <c r="D10766"/>
  <c r="C10767"/>
  <c r="D10767"/>
  <c r="C10768"/>
  <c r="D10768"/>
  <c r="C10769"/>
  <c r="D10769"/>
  <c r="C10770"/>
  <c r="D10770"/>
  <c r="C10771"/>
  <c r="D10771"/>
  <c r="C10772"/>
  <c r="D10772"/>
  <c r="C10773"/>
  <c r="D10773"/>
  <c r="C10774"/>
  <c r="D10774"/>
  <c r="C10775"/>
  <c r="D10775"/>
  <c r="C10776"/>
  <c r="D10776"/>
  <c r="C10777"/>
  <c r="D10777"/>
  <c r="C10778"/>
  <c r="D10778"/>
  <c r="C10779"/>
  <c r="D10779"/>
  <c r="C10780"/>
  <c r="D10780"/>
  <c r="C10781"/>
  <c r="D10781"/>
  <c r="C10782"/>
  <c r="D10782"/>
  <c r="C10783"/>
  <c r="D10783"/>
  <c r="C10784"/>
  <c r="D10784"/>
  <c r="C10785"/>
  <c r="D10785"/>
  <c r="C10786"/>
  <c r="D10786"/>
  <c r="C10787"/>
  <c r="D10787"/>
  <c r="C10788"/>
  <c r="D10788"/>
  <c r="C10789"/>
  <c r="D10789"/>
  <c r="C10790"/>
  <c r="D10790"/>
  <c r="C10791"/>
  <c r="D10791"/>
  <c r="C10792"/>
  <c r="D10792"/>
  <c r="C10793"/>
  <c r="D10793"/>
  <c r="C10794"/>
  <c r="D10794"/>
  <c r="C10795"/>
  <c r="D10795"/>
  <c r="C10796"/>
  <c r="D10796"/>
  <c r="C10797"/>
  <c r="D10797"/>
  <c r="C10798"/>
  <c r="D10798"/>
  <c r="C10799"/>
  <c r="D10799"/>
  <c r="C10800"/>
  <c r="D10800"/>
  <c r="C10801"/>
  <c r="D10801"/>
  <c r="C10802"/>
  <c r="D10802"/>
  <c r="C10803"/>
  <c r="D10803"/>
  <c r="C10804"/>
  <c r="D10804"/>
  <c r="C10805"/>
  <c r="D10805"/>
  <c r="C10806"/>
  <c r="D10806"/>
  <c r="C10807"/>
  <c r="D10807"/>
  <c r="C10808"/>
  <c r="D10808"/>
  <c r="C10809"/>
  <c r="D10809"/>
  <c r="C10810"/>
  <c r="D10810"/>
  <c r="C10811"/>
  <c r="D10811"/>
  <c r="C10812"/>
  <c r="D10812"/>
  <c r="C10813"/>
  <c r="D10813"/>
  <c r="C10814"/>
  <c r="D10814"/>
  <c r="C10815"/>
  <c r="D10815"/>
  <c r="C10816"/>
  <c r="D10816"/>
  <c r="C10817"/>
  <c r="D10817"/>
  <c r="C10818"/>
  <c r="D10818"/>
  <c r="C10819"/>
  <c r="D10819"/>
  <c r="C10820"/>
  <c r="D10820"/>
  <c r="C10821"/>
  <c r="D10821"/>
  <c r="C10822"/>
  <c r="D10822"/>
  <c r="C10823"/>
  <c r="D10823"/>
  <c r="C10824"/>
  <c r="D10824"/>
  <c r="C10825"/>
  <c r="D10825"/>
  <c r="C10826"/>
  <c r="D10826"/>
  <c r="C10827"/>
  <c r="D10827"/>
  <c r="C10828"/>
  <c r="D10828"/>
  <c r="C10829"/>
  <c r="D10829"/>
  <c r="C10830"/>
  <c r="D10830"/>
  <c r="C10831"/>
  <c r="D10831"/>
  <c r="C10832"/>
  <c r="D10832"/>
  <c r="C10833"/>
  <c r="D10833"/>
  <c r="C10834"/>
  <c r="D10834"/>
  <c r="C10835"/>
  <c r="D10835"/>
  <c r="C10836"/>
  <c r="D10836"/>
  <c r="C10837"/>
  <c r="D10837"/>
  <c r="C10838"/>
  <c r="D10838"/>
  <c r="C10839"/>
  <c r="D10839"/>
  <c r="C10840"/>
  <c r="D10840"/>
  <c r="C10841"/>
  <c r="D10841"/>
  <c r="C10842"/>
  <c r="D10842"/>
  <c r="C10843"/>
  <c r="D10843"/>
  <c r="C10844"/>
  <c r="D10844"/>
  <c r="C10845"/>
  <c r="D10845"/>
  <c r="C10846"/>
  <c r="D10846"/>
  <c r="C10847"/>
  <c r="D10847"/>
  <c r="C10848"/>
  <c r="D10848"/>
  <c r="C10849"/>
  <c r="D10849"/>
  <c r="C10850"/>
  <c r="D10850"/>
  <c r="C10851"/>
  <c r="D10851"/>
  <c r="C10852"/>
  <c r="D10852"/>
  <c r="C10853"/>
  <c r="D10853"/>
  <c r="C10854"/>
  <c r="D10854"/>
  <c r="C10855"/>
  <c r="D10855"/>
  <c r="C10856"/>
  <c r="D10856"/>
  <c r="C10857"/>
  <c r="D10857"/>
  <c r="C10858"/>
  <c r="D10858"/>
  <c r="C10859"/>
  <c r="D10859"/>
  <c r="C10860"/>
  <c r="D10860"/>
  <c r="C10861"/>
  <c r="D10861"/>
  <c r="C10862"/>
  <c r="D10862"/>
  <c r="C10863"/>
  <c r="D10863"/>
  <c r="C10864"/>
  <c r="D10864"/>
  <c r="C10865"/>
  <c r="D10865"/>
  <c r="C10866"/>
  <c r="D10866"/>
  <c r="C10867"/>
  <c r="D10867"/>
  <c r="C10868"/>
  <c r="D10868"/>
  <c r="C10869"/>
  <c r="D10869"/>
  <c r="C10870"/>
  <c r="D10870"/>
  <c r="C10871"/>
  <c r="D10871"/>
  <c r="C10872"/>
  <c r="D10872"/>
  <c r="C10873"/>
  <c r="D10873"/>
  <c r="C10874"/>
  <c r="D10874"/>
  <c r="C10875"/>
  <c r="D10875"/>
  <c r="C10876"/>
  <c r="D10876"/>
  <c r="C10877"/>
  <c r="D10877"/>
  <c r="C10878"/>
  <c r="D10878"/>
  <c r="C10879"/>
  <c r="D10879"/>
  <c r="C10880"/>
  <c r="D10880"/>
  <c r="C10881"/>
  <c r="D10881"/>
  <c r="C10882"/>
  <c r="D10882"/>
  <c r="C10883"/>
  <c r="D10883"/>
  <c r="C10884"/>
  <c r="D10884"/>
  <c r="C10885"/>
  <c r="D10885"/>
  <c r="C10886"/>
  <c r="D10886"/>
  <c r="C10887"/>
  <c r="D10887"/>
  <c r="C10888"/>
  <c r="D10888"/>
  <c r="C10889"/>
  <c r="D10889"/>
  <c r="C10890"/>
  <c r="D10890"/>
  <c r="C10891"/>
  <c r="D10891"/>
  <c r="C10892"/>
  <c r="D10892"/>
  <c r="C10893"/>
  <c r="D10893"/>
  <c r="C10894"/>
  <c r="D10894"/>
  <c r="C10895"/>
  <c r="D10895"/>
  <c r="C10896"/>
  <c r="D10896"/>
  <c r="C10897"/>
  <c r="D10897"/>
  <c r="C10898"/>
  <c r="D10898"/>
  <c r="C10899"/>
  <c r="D10899"/>
  <c r="C10900"/>
  <c r="D10900"/>
  <c r="C10901"/>
  <c r="D10901"/>
  <c r="C10902"/>
  <c r="D10902"/>
  <c r="C10903"/>
  <c r="D10903"/>
  <c r="C10904"/>
  <c r="D10904"/>
  <c r="C10905"/>
  <c r="D10905"/>
  <c r="C10906"/>
  <c r="D10906"/>
  <c r="C10907"/>
  <c r="D10907"/>
  <c r="C10908"/>
  <c r="D10908"/>
  <c r="C10909"/>
  <c r="D10909"/>
  <c r="C10910"/>
  <c r="D10910"/>
  <c r="C10911"/>
  <c r="D10911"/>
  <c r="C10912"/>
  <c r="D10912"/>
  <c r="C10913"/>
  <c r="D10913"/>
  <c r="C10914"/>
  <c r="D10914"/>
  <c r="C10915"/>
  <c r="D10915"/>
  <c r="C10916"/>
  <c r="D10916"/>
  <c r="C10917"/>
  <c r="D10917"/>
  <c r="C10918"/>
  <c r="D10918"/>
  <c r="C10919"/>
  <c r="D10919"/>
  <c r="C10920"/>
  <c r="D10920"/>
  <c r="C10921"/>
  <c r="D10921"/>
  <c r="C10922"/>
  <c r="D10922"/>
  <c r="C10923"/>
  <c r="D10923"/>
  <c r="C10924"/>
  <c r="D10924"/>
  <c r="C10925"/>
  <c r="D10925"/>
  <c r="C10926"/>
  <c r="D10926"/>
  <c r="C10927"/>
  <c r="D10927"/>
  <c r="C10928"/>
  <c r="D10928"/>
  <c r="C10929"/>
  <c r="D10929"/>
  <c r="C10930"/>
  <c r="D10930"/>
  <c r="C10931"/>
  <c r="D10931"/>
  <c r="C10932"/>
  <c r="D10932"/>
  <c r="C10933"/>
  <c r="D10933"/>
  <c r="C10934"/>
  <c r="D10934"/>
  <c r="C10935"/>
  <c r="D10935"/>
  <c r="C10936"/>
  <c r="D10936"/>
  <c r="C10937"/>
  <c r="D10937"/>
  <c r="C10938"/>
  <c r="D10938"/>
  <c r="C10939"/>
  <c r="D10939"/>
  <c r="C10940"/>
  <c r="D10940"/>
  <c r="C10941"/>
  <c r="D10941"/>
  <c r="C10942"/>
  <c r="D10942"/>
  <c r="C10943"/>
  <c r="D10943"/>
  <c r="C10944"/>
  <c r="D10944"/>
  <c r="C10945"/>
  <c r="D10945"/>
  <c r="C10946"/>
  <c r="D10946"/>
  <c r="C10947"/>
  <c r="D10947"/>
  <c r="C10948"/>
  <c r="D10948"/>
  <c r="C10949"/>
  <c r="D10949"/>
  <c r="C10950"/>
  <c r="D10950"/>
  <c r="C10951"/>
  <c r="D10951"/>
  <c r="C10952"/>
  <c r="D10952"/>
  <c r="C10953"/>
  <c r="D10953"/>
  <c r="C10954"/>
  <c r="D10954"/>
  <c r="C10955"/>
  <c r="D10955"/>
  <c r="C10956"/>
  <c r="D10956"/>
  <c r="C10957"/>
  <c r="D10957"/>
  <c r="C10958"/>
  <c r="D10958"/>
  <c r="C10959"/>
  <c r="D10959"/>
  <c r="C10960"/>
  <c r="D10960"/>
  <c r="C10961"/>
  <c r="D10961"/>
  <c r="C10962"/>
  <c r="D10962"/>
  <c r="C10963"/>
  <c r="D10963"/>
  <c r="C10964"/>
  <c r="D10964"/>
  <c r="C10965"/>
  <c r="D10965"/>
  <c r="C10966"/>
  <c r="D10966"/>
  <c r="C10967"/>
  <c r="D10967"/>
  <c r="C10968"/>
  <c r="D10968"/>
  <c r="C10969"/>
  <c r="D10969"/>
  <c r="C10970"/>
  <c r="D10970"/>
  <c r="C10971"/>
  <c r="D10971"/>
  <c r="C10972"/>
  <c r="D10972"/>
  <c r="C10973"/>
  <c r="D10973"/>
  <c r="C10974"/>
  <c r="D10974"/>
  <c r="C10975"/>
  <c r="D10975"/>
  <c r="C10976"/>
  <c r="D10976"/>
  <c r="C10977"/>
  <c r="D10977"/>
  <c r="C10978"/>
  <c r="D10978"/>
  <c r="C10979"/>
  <c r="D10979"/>
  <c r="C10980"/>
  <c r="D10980"/>
  <c r="C10981"/>
  <c r="D10981"/>
  <c r="C10982"/>
  <c r="D10982"/>
  <c r="C10983"/>
  <c r="D10983"/>
  <c r="C10984"/>
  <c r="D10984"/>
  <c r="C10985"/>
  <c r="D10985"/>
  <c r="C10986"/>
  <c r="D10986"/>
  <c r="C10987"/>
  <c r="D10987"/>
  <c r="C10988"/>
  <c r="D10988"/>
  <c r="C10989"/>
  <c r="D10989"/>
  <c r="C10990"/>
  <c r="D10990"/>
  <c r="C10991"/>
  <c r="D10991"/>
  <c r="C10992"/>
  <c r="D10992"/>
  <c r="C10993"/>
  <c r="D10993"/>
  <c r="C10994"/>
  <c r="D10994"/>
  <c r="C10995"/>
  <c r="D10995"/>
  <c r="C10996"/>
  <c r="D10996"/>
  <c r="C10997"/>
  <c r="D10997"/>
  <c r="C10998"/>
  <c r="D10998"/>
  <c r="C10999"/>
  <c r="D10999"/>
  <c r="C11000"/>
  <c r="D11000"/>
  <c r="C11001"/>
  <c r="D11001"/>
  <c r="C11002"/>
  <c r="D11002"/>
  <c r="C11003"/>
  <c r="D11003"/>
  <c r="C11004"/>
  <c r="D11004"/>
  <c r="C11005"/>
  <c r="D11005"/>
  <c r="C11006"/>
  <c r="D11006"/>
  <c r="C11007"/>
  <c r="D11007"/>
  <c r="C11008"/>
  <c r="D11008"/>
  <c r="C11009"/>
  <c r="D11009"/>
  <c r="C11010"/>
  <c r="D11010"/>
  <c r="C11011"/>
  <c r="D11011"/>
  <c r="C11012"/>
  <c r="D11012"/>
  <c r="C11013"/>
  <c r="D11013"/>
  <c r="C11014"/>
  <c r="D11014"/>
  <c r="C11015"/>
  <c r="D11015"/>
  <c r="C11016"/>
  <c r="D11016"/>
  <c r="C11017"/>
  <c r="D11017"/>
  <c r="C11018"/>
  <c r="D11018"/>
  <c r="C11019"/>
  <c r="D11019"/>
  <c r="C11020"/>
  <c r="D11020"/>
  <c r="C11021"/>
  <c r="D11021"/>
  <c r="C11022"/>
  <c r="D11022"/>
  <c r="C11023"/>
  <c r="D11023"/>
  <c r="C11024"/>
  <c r="D11024"/>
  <c r="C11025"/>
  <c r="D11025"/>
  <c r="C11026"/>
  <c r="D11026"/>
  <c r="C11027"/>
  <c r="D11027"/>
  <c r="C11028"/>
  <c r="D11028"/>
  <c r="C11029"/>
  <c r="D11029"/>
  <c r="C11030"/>
  <c r="D11030"/>
  <c r="C11031"/>
  <c r="D11031"/>
  <c r="C11032"/>
  <c r="D11032"/>
  <c r="C11033"/>
  <c r="D11033"/>
  <c r="C11034"/>
  <c r="D11034"/>
  <c r="C11035"/>
  <c r="D11035"/>
  <c r="C11036"/>
  <c r="D11036"/>
  <c r="C11037"/>
  <c r="D11037"/>
  <c r="C11038"/>
  <c r="D11038"/>
  <c r="C11039"/>
  <c r="D11039"/>
  <c r="C11040"/>
  <c r="D11040"/>
  <c r="C11041"/>
  <c r="D11041"/>
  <c r="C11042"/>
  <c r="D11042"/>
  <c r="C11043"/>
  <c r="D11043"/>
  <c r="C11044"/>
  <c r="D11044"/>
  <c r="C11045"/>
  <c r="D11045"/>
  <c r="C11046"/>
  <c r="D11046"/>
  <c r="C11047"/>
  <c r="D11047"/>
  <c r="C11048"/>
  <c r="D11048"/>
  <c r="C11049"/>
  <c r="D11049"/>
  <c r="C11050"/>
  <c r="D11050"/>
  <c r="C11051"/>
  <c r="D11051"/>
  <c r="C11052"/>
  <c r="D11052"/>
  <c r="C11053"/>
  <c r="D11053"/>
  <c r="C11054"/>
  <c r="D11054"/>
  <c r="C11055"/>
  <c r="D11055"/>
  <c r="C11056"/>
  <c r="D11056"/>
  <c r="C11057"/>
  <c r="D11057"/>
  <c r="C11058"/>
  <c r="D11058"/>
  <c r="C11059"/>
  <c r="D11059"/>
  <c r="C11060"/>
  <c r="D11060"/>
  <c r="C11061"/>
  <c r="D11061"/>
  <c r="C11062"/>
  <c r="D11062"/>
  <c r="C11063"/>
  <c r="D11063"/>
  <c r="C11064"/>
  <c r="D11064"/>
  <c r="C11065"/>
  <c r="D11065"/>
  <c r="C11066"/>
  <c r="D11066"/>
  <c r="C11067"/>
  <c r="D11067"/>
  <c r="C11068"/>
  <c r="D11068"/>
  <c r="C11069"/>
  <c r="D11069"/>
  <c r="C11070"/>
  <c r="D11070"/>
  <c r="C11071"/>
  <c r="D11071"/>
  <c r="C11072"/>
  <c r="D11072"/>
  <c r="C11073"/>
  <c r="D11073"/>
  <c r="C11074"/>
  <c r="D11074"/>
  <c r="C11075"/>
  <c r="D11075"/>
  <c r="C11076"/>
  <c r="D11076"/>
  <c r="C11077"/>
  <c r="D11077"/>
  <c r="C11078"/>
  <c r="D11078"/>
  <c r="C11079"/>
  <c r="D11079"/>
  <c r="C11080"/>
  <c r="D11080"/>
  <c r="C11081"/>
  <c r="D11081"/>
  <c r="C11082"/>
  <c r="D11082"/>
  <c r="C11083"/>
  <c r="D11083"/>
  <c r="C11084"/>
  <c r="D11084"/>
  <c r="C11085"/>
  <c r="D11085"/>
  <c r="C11086"/>
  <c r="D11086"/>
  <c r="C11087"/>
  <c r="D11087"/>
  <c r="C11088"/>
  <c r="D11088"/>
  <c r="C11089"/>
  <c r="D11089"/>
  <c r="C11090"/>
  <c r="D11090"/>
  <c r="C11091"/>
  <c r="D11091"/>
  <c r="C11092"/>
  <c r="D11092"/>
  <c r="C11093"/>
  <c r="D11093"/>
  <c r="C11094"/>
  <c r="D11094"/>
  <c r="C11095"/>
  <c r="D11095"/>
  <c r="C11096"/>
  <c r="D11096"/>
  <c r="C11097"/>
  <c r="D11097"/>
  <c r="C11098"/>
  <c r="D11098"/>
  <c r="C11099"/>
  <c r="D11099"/>
  <c r="C11100"/>
  <c r="D11100"/>
  <c r="C11101"/>
  <c r="D11101"/>
  <c r="C11102"/>
  <c r="D11102"/>
  <c r="C11103"/>
  <c r="D11103"/>
  <c r="C11104"/>
  <c r="D11104"/>
  <c r="C11105"/>
  <c r="D11105"/>
  <c r="C11106"/>
  <c r="D11106"/>
  <c r="C11107"/>
  <c r="D11107"/>
  <c r="C11108"/>
  <c r="D11108"/>
  <c r="C11109"/>
  <c r="D11109"/>
  <c r="C11110"/>
  <c r="D11110"/>
  <c r="C11111"/>
  <c r="D11111"/>
  <c r="C11112"/>
  <c r="D11112"/>
  <c r="C11113"/>
  <c r="D11113"/>
  <c r="C11114"/>
  <c r="D11114"/>
  <c r="C11115"/>
  <c r="D11115"/>
  <c r="C11116"/>
  <c r="D11116"/>
  <c r="C11117"/>
  <c r="D11117"/>
  <c r="C11118"/>
  <c r="D11118"/>
  <c r="C11119"/>
  <c r="D11119"/>
  <c r="C11120"/>
  <c r="D11120"/>
  <c r="C11121"/>
  <c r="D11121"/>
  <c r="C11122"/>
  <c r="D11122"/>
  <c r="C11123"/>
  <c r="D11123"/>
  <c r="C11124"/>
  <c r="D11124"/>
  <c r="C11125"/>
  <c r="D11125"/>
  <c r="C11126"/>
  <c r="D11126"/>
  <c r="C11127"/>
  <c r="D11127"/>
  <c r="C11128"/>
  <c r="D11128"/>
  <c r="C11129"/>
  <c r="D11129"/>
  <c r="C11130"/>
  <c r="D11130"/>
  <c r="C11131"/>
  <c r="D11131"/>
  <c r="C11132"/>
  <c r="D11132"/>
  <c r="C11133"/>
  <c r="D11133"/>
  <c r="C11134"/>
  <c r="D11134"/>
  <c r="C11135"/>
  <c r="D11135"/>
  <c r="C11136"/>
  <c r="D11136"/>
  <c r="C11137"/>
  <c r="D11137"/>
  <c r="C11138"/>
  <c r="D11138"/>
  <c r="C11139"/>
  <c r="D11139"/>
  <c r="C11140"/>
  <c r="D11140"/>
  <c r="C11141"/>
  <c r="D11141"/>
  <c r="C11142"/>
  <c r="D11142"/>
  <c r="C11143"/>
  <c r="D11143"/>
  <c r="C11144"/>
  <c r="D11144"/>
  <c r="C11145"/>
  <c r="D11145"/>
  <c r="C11146"/>
  <c r="D11146"/>
  <c r="C11147"/>
  <c r="D11147"/>
  <c r="C11148"/>
  <c r="D11148"/>
  <c r="C11149"/>
  <c r="D11149"/>
  <c r="C11150"/>
  <c r="D11150"/>
  <c r="C11151"/>
  <c r="D11151"/>
  <c r="C11152"/>
  <c r="D11152"/>
  <c r="C11153"/>
  <c r="D11153"/>
  <c r="C11154"/>
  <c r="D11154"/>
  <c r="C11155"/>
  <c r="D11155"/>
  <c r="C11156"/>
  <c r="D11156"/>
  <c r="C11157"/>
  <c r="D11157"/>
  <c r="C11158"/>
  <c r="D11158"/>
  <c r="C11159"/>
  <c r="D11159"/>
  <c r="C11160"/>
  <c r="D11160"/>
  <c r="C11161"/>
  <c r="D11161"/>
  <c r="C11162"/>
  <c r="D11162"/>
  <c r="C11163"/>
  <c r="D11163"/>
  <c r="C11164"/>
  <c r="D11164"/>
  <c r="C11165"/>
  <c r="D11165"/>
  <c r="C11166"/>
  <c r="D11166"/>
  <c r="C11167"/>
  <c r="D11167"/>
  <c r="C11168"/>
  <c r="D11168"/>
  <c r="C11169"/>
  <c r="D11169"/>
  <c r="C11170"/>
  <c r="D11170"/>
  <c r="C11171"/>
  <c r="D11171"/>
  <c r="C11172"/>
  <c r="D11172"/>
  <c r="C11173"/>
  <c r="D11173"/>
  <c r="C11174"/>
  <c r="D11174"/>
  <c r="C11175"/>
  <c r="D11175"/>
  <c r="C11176"/>
  <c r="D11176"/>
  <c r="C11177"/>
  <c r="D11177"/>
  <c r="C11178"/>
  <c r="D11178"/>
  <c r="C11179"/>
  <c r="D11179"/>
  <c r="C11180"/>
  <c r="D11180"/>
  <c r="C11181"/>
  <c r="D11181"/>
  <c r="C11182"/>
  <c r="D11182"/>
  <c r="C11183"/>
  <c r="D11183"/>
  <c r="C11184"/>
  <c r="D11184"/>
  <c r="C11185"/>
  <c r="D11185"/>
  <c r="C11186"/>
  <c r="D11186"/>
  <c r="C11187"/>
  <c r="D11187"/>
  <c r="C11188"/>
  <c r="D11188"/>
  <c r="C11189"/>
  <c r="D11189"/>
  <c r="C11190"/>
  <c r="D11190"/>
  <c r="C11191"/>
  <c r="D11191"/>
  <c r="C11192"/>
  <c r="D11192"/>
  <c r="C11193"/>
  <c r="D11193"/>
  <c r="C11194"/>
  <c r="D11194"/>
  <c r="C11195"/>
  <c r="D11195"/>
  <c r="C11196"/>
  <c r="D11196"/>
  <c r="C11197"/>
  <c r="D11197"/>
  <c r="C11198"/>
  <c r="D11198"/>
  <c r="C11199"/>
  <c r="D11199"/>
  <c r="C11200"/>
  <c r="D11200"/>
  <c r="C11201"/>
  <c r="D11201"/>
  <c r="C11202"/>
  <c r="D11202"/>
  <c r="C11203"/>
  <c r="D11203"/>
  <c r="C11204"/>
  <c r="D11204"/>
  <c r="C11205"/>
  <c r="D11205"/>
  <c r="C11206"/>
  <c r="D11206"/>
  <c r="C11207"/>
  <c r="D11207"/>
  <c r="C11208"/>
  <c r="D11208"/>
  <c r="C11209"/>
  <c r="D11209"/>
  <c r="C11210"/>
  <c r="D11210"/>
  <c r="C11211"/>
  <c r="D11211"/>
  <c r="C11212"/>
  <c r="D11212"/>
  <c r="C11213"/>
  <c r="D11213"/>
  <c r="C11214"/>
  <c r="D11214"/>
  <c r="C11215"/>
  <c r="D11215"/>
  <c r="C11216"/>
  <c r="D11216"/>
  <c r="C11217"/>
  <c r="D11217"/>
  <c r="C11218"/>
  <c r="D11218"/>
  <c r="C11219"/>
  <c r="D11219"/>
  <c r="C11220"/>
  <c r="D11220"/>
  <c r="C11221"/>
  <c r="D11221"/>
  <c r="C11222"/>
  <c r="D11222"/>
  <c r="C11223"/>
  <c r="D11223"/>
  <c r="C11224"/>
  <c r="D11224"/>
  <c r="C11225"/>
  <c r="D11225"/>
  <c r="C11226"/>
  <c r="D11226"/>
  <c r="C11227"/>
  <c r="D11227"/>
  <c r="C11228"/>
  <c r="D11228"/>
  <c r="C11229"/>
  <c r="D11229"/>
  <c r="C11230"/>
  <c r="D11230"/>
  <c r="C11231"/>
  <c r="D11231"/>
  <c r="C11232"/>
  <c r="D11232"/>
  <c r="C11233"/>
  <c r="D11233"/>
  <c r="C11234"/>
  <c r="D11234"/>
  <c r="C11235"/>
  <c r="D11235"/>
  <c r="C11236"/>
  <c r="D11236"/>
  <c r="C11237"/>
  <c r="D11237"/>
  <c r="C11238"/>
  <c r="D11238"/>
  <c r="C11239"/>
  <c r="D11239"/>
  <c r="C11240"/>
  <c r="D11240"/>
  <c r="C11241"/>
  <c r="D11241"/>
  <c r="C11242"/>
  <c r="D11242"/>
  <c r="C11243"/>
  <c r="D11243"/>
  <c r="C11244"/>
  <c r="D11244"/>
  <c r="C11245"/>
  <c r="D11245"/>
  <c r="C11246"/>
  <c r="D11246"/>
  <c r="C11247"/>
  <c r="D11247"/>
  <c r="C11248"/>
  <c r="D11248"/>
  <c r="C11249"/>
  <c r="D11249"/>
  <c r="C11250"/>
  <c r="D11250"/>
  <c r="C11251"/>
  <c r="D11251"/>
  <c r="C11252"/>
  <c r="D11252"/>
  <c r="C11253"/>
  <c r="D11253"/>
  <c r="C11254"/>
  <c r="D11254"/>
  <c r="C11255"/>
  <c r="D11255"/>
  <c r="C11256"/>
  <c r="D11256"/>
  <c r="C11257"/>
  <c r="D11257"/>
  <c r="C11258"/>
  <c r="D11258"/>
  <c r="C11259"/>
  <c r="D11259"/>
  <c r="C11260"/>
  <c r="D11260"/>
  <c r="C11261"/>
  <c r="D11261"/>
  <c r="C11262"/>
  <c r="D11262"/>
  <c r="C11263"/>
  <c r="D11263"/>
  <c r="C11264"/>
  <c r="D11264"/>
  <c r="C11265"/>
  <c r="D11265"/>
  <c r="C11266"/>
  <c r="D11266"/>
  <c r="C11267"/>
  <c r="D11267"/>
  <c r="C11268"/>
  <c r="D11268"/>
  <c r="C11269"/>
  <c r="D11269"/>
  <c r="C11270"/>
  <c r="D11270"/>
  <c r="C11271"/>
  <c r="D11271"/>
  <c r="C11272"/>
  <c r="D11272"/>
  <c r="C11273"/>
  <c r="D11273"/>
  <c r="C11274"/>
  <c r="D11274"/>
  <c r="C11275"/>
  <c r="D11275"/>
  <c r="C11276"/>
  <c r="D11276"/>
  <c r="C11277"/>
  <c r="D11277"/>
  <c r="C11278"/>
  <c r="D11278"/>
  <c r="C11279"/>
  <c r="D11279"/>
  <c r="C11280"/>
  <c r="D11280"/>
  <c r="C11281"/>
  <c r="D11281"/>
  <c r="C11282"/>
  <c r="D11282"/>
  <c r="C11283"/>
  <c r="D11283"/>
  <c r="C11284"/>
  <c r="D11284"/>
  <c r="C11285"/>
  <c r="D11285"/>
  <c r="C11286"/>
  <c r="D11286"/>
  <c r="C11287"/>
  <c r="D11287"/>
  <c r="C11288"/>
  <c r="D11288"/>
  <c r="C11289"/>
  <c r="D11289"/>
  <c r="C11290"/>
  <c r="D11290"/>
  <c r="C11291"/>
  <c r="D11291"/>
  <c r="C11292"/>
  <c r="D11292"/>
  <c r="C11293"/>
  <c r="D11293"/>
  <c r="C11294"/>
  <c r="D11294"/>
  <c r="C11295"/>
  <c r="D11295"/>
  <c r="C11296"/>
  <c r="D11296"/>
  <c r="C11297"/>
  <c r="D11297"/>
  <c r="C11298"/>
  <c r="D11298"/>
  <c r="C11299"/>
  <c r="D11299"/>
  <c r="C11300"/>
  <c r="D11300"/>
  <c r="C11301"/>
  <c r="D11301"/>
  <c r="C11302"/>
  <c r="D11302"/>
  <c r="C11303"/>
  <c r="D11303"/>
  <c r="C11304"/>
  <c r="D11304"/>
  <c r="C11305"/>
  <c r="D11305"/>
  <c r="C11306"/>
  <c r="D11306"/>
  <c r="C11307"/>
  <c r="D11307"/>
  <c r="C11308"/>
  <c r="D11308"/>
  <c r="C11309"/>
  <c r="D11309"/>
  <c r="C11310"/>
  <c r="D11310"/>
  <c r="C11311"/>
  <c r="D11311"/>
  <c r="C11312"/>
  <c r="D11312"/>
  <c r="C11313"/>
  <c r="D11313"/>
  <c r="C11314"/>
  <c r="D11314"/>
  <c r="C11315"/>
  <c r="D11315"/>
  <c r="C11316"/>
  <c r="D11316"/>
  <c r="C11317"/>
  <c r="D11317"/>
  <c r="C11318"/>
  <c r="D11318"/>
  <c r="C11319"/>
  <c r="D11319"/>
  <c r="C11320"/>
  <c r="D11320"/>
  <c r="C11321"/>
  <c r="D11321"/>
  <c r="C11322"/>
  <c r="D11322"/>
  <c r="C11323"/>
  <c r="D11323"/>
  <c r="C11324"/>
  <c r="D11324"/>
  <c r="C11325"/>
  <c r="D11325"/>
  <c r="C11326"/>
  <c r="D11326"/>
  <c r="C11327"/>
  <c r="D11327"/>
  <c r="C11328"/>
  <c r="D11328"/>
  <c r="C11329"/>
  <c r="D11329"/>
  <c r="C11330"/>
  <c r="D11330"/>
  <c r="C11331"/>
  <c r="D11331"/>
  <c r="C11332"/>
  <c r="D11332"/>
  <c r="C11333"/>
  <c r="D11333"/>
  <c r="C11334"/>
  <c r="D11334"/>
  <c r="C11335"/>
  <c r="D11335"/>
  <c r="C11336"/>
  <c r="D11336"/>
  <c r="C11337"/>
  <c r="D11337"/>
  <c r="C11338"/>
  <c r="D11338"/>
  <c r="C11339"/>
  <c r="D11339"/>
  <c r="C11340"/>
  <c r="D11340"/>
  <c r="C11341"/>
  <c r="D11341"/>
  <c r="C11342"/>
  <c r="D11342"/>
  <c r="C11343"/>
  <c r="D11343"/>
  <c r="C11344"/>
  <c r="D11344"/>
  <c r="C11345"/>
  <c r="D11345"/>
  <c r="C11346"/>
  <c r="D11346"/>
  <c r="C11347"/>
  <c r="D11347"/>
  <c r="C11348"/>
  <c r="D11348"/>
  <c r="C11349"/>
  <c r="D11349"/>
  <c r="C11350"/>
  <c r="D11350"/>
  <c r="C11351"/>
  <c r="D11351"/>
  <c r="C11352"/>
  <c r="D11352"/>
  <c r="C11353"/>
  <c r="D11353"/>
  <c r="C11354"/>
  <c r="D11354"/>
  <c r="C11355"/>
  <c r="D11355"/>
  <c r="C11356"/>
  <c r="D11356"/>
  <c r="C11357"/>
  <c r="D11357"/>
  <c r="C11358"/>
  <c r="D11358"/>
  <c r="C11359"/>
  <c r="D11359"/>
  <c r="C11360"/>
  <c r="D11360"/>
  <c r="C11361"/>
  <c r="D11361"/>
  <c r="C11362"/>
  <c r="D11362"/>
  <c r="C11363"/>
  <c r="D11363"/>
  <c r="C11364"/>
  <c r="D11364"/>
  <c r="C11365"/>
  <c r="D11365"/>
  <c r="C11366"/>
  <c r="D11366"/>
  <c r="C11367"/>
  <c r="D11367"/>
  <c r="C11368"/>
  <c r="D11368"/>
  <c r="C11369"/>
  <c r="D11369"/>
  <c r="C11370"/>
  <c r="D11370"/>
  <c r="C11371"/>
  <c r="D11371"/>
  <c r="C11372"/>
  <c r="D11372"/>
  <c r="C11373"/>
  <c r="D11373"/>
  <c r="C11374"/>
  <c r="D11374"/>
  <c r="C11375"/>
  <c r="D11375"/>
  <c r="C11376"/>
  <c r="D11376"/>
  <c r="C11377"/>
  <c r="D11377"/>
  <c r="C11378"/>
  <c r="D11378"/>
  <c r="C11379"/>
  <c r="D11379"/>
  <c r="C11380"/>
  <c r="D11380"/>
  <c r="C11381"/>
  <c r="D11381"/>
  <c r="C11382"/>
  <c r="D11382"/>
  <c r="C11383"/>
  <c r="D11383"/>
  <c r="C11384"/>
  <c r="D11384"/>
  <c r="C11385"/>
  <c r="D11385"/>
  <c r="C11386"/>
  <c r="D11386"/>
  <c r="C11387"/>
  <c r="D11387"/>
  <c r="C11388"/>
  <c r="D11388"/>
  <c r="C11389"/>
  <c r="D11389"/>
  <c r="C11390"/>
  <c r="D11390"/>
  <c r="C11391"/>
  <c r="D11391"/>
  <c r="C11392"/>
  <c r="D11392"/>
  <c r="C11393"/>
  <c r="D11393"/>
  <c r="C11394"/>
  <c r="D11394"/>
  <c r="C11395"/>
  <c r="D11395"/>
  <c r="C11396"/>
  <c r="D11396"/>
  <c r="C11397"/>
  <c r="D11397"/>
  <c r="C11398"/>
  <c r="D11398"/>
  <c r="C11399"/>
  <c r="D11399"/>
  <c r="C11400"/>
  <c r="D11400"/>
  <c r="C11401"/>
  <c r="D11401"/>
  <c r="C11402"/>
  <c r="D11402"/>
  <c r="C11403"/>
  <c r="D11403"/>
  <c r="C11404"/>
  <c r="D11404"/>
  <c r="C11405"/>
  <c r="D11405"/>
  <c r="C11406"/>
  <c r="D11406"/>
  <c r="C11407"/>
  <c r="D11407"/>
  <c r="C11408"/>
  <c r="D11408"/>
  <c r="C11409"/>
  <c r="D11409"/>
  <c r="C11410"/>
  <c r="D11410"/>
  <c r="C11411"/>
  <c r="D11411"/>
  <c r="C11412"/>
  <c r="D11412"/>
  <c r="C11413"/>
  <c r="D11413"/>
  <c r="C11414"/>
  <c r="D11414"/>
  <c r="C11415"/>
  <c r="D11415"/>
  <c r="C11416"/>
  <c r="D11416"/>
  <c r="C11417"/>
  <c r="D11417"/>
  <c r="C11418"/>
  <c r="D11418"/>
  <c r="C11419"/>
  <c r="D11419"/>
  <c r="C11420"/>
  <c r="D11420"/>
  <c r="C11421"/>
  <c r="D11421"/>
  <c r="C11422"/>
  <c r="D11422"/>
  <c r="C11423"/>
  <c r="D11423"/>
  <c r="C11424"/>
  <c r="D11424"/>
  <c r="C11425"/>
  <c r="D11425"/>
  <c r="C11426"/>
  <c r="D11426"/>
  <c r="C11427"/>
  <c r="D11427"/>
  <c r="C11428"/>
  <c r="D11428"/>
  <c r="C11429"/>
  <c r="D11429"/>
  <c r="C11430"/>
  <c r="D11430"/>
  <c r="C11431"/>
  <c r="D11431"/>
  <c r="C11432"/>
  <c r="D11432"/>
  <c r="C11433"/>
  <c r="D11433"/>
  <c r="C11434"/>
  <c r="D11434"/>
  <c r="C11435"/>
  <c r="D11435"/>
  <c r="C11436"/>
  <c r="D11436"/>
  <c r="C11437"/>
  <c r="D11437"/>
  <c r="C11438"/>
  <c r="D11438"/>
  <c r="C11439"/>
  <c r="D11439"/>
  <c r="C11440"/>
  <c r="D11440"/>
  <c r="C11441"/>
  <c r="D11441"/>
  <c r="C11442"/>
  <c r="D11442"/>
  <c r="C11443"/>
  <c r="D11443"/>
  <c r="C11444"/>
  <c r="D11444"/>
  <c r="C11445"/>
  <c r="D11445"/>
  <c r="C11446"/>
  <c r="D11446"/>
  <c r="C11447"/>
  <c r="D11447"/>
  <c r="C11448"/>
  <c r="D11448"/>
  <c r="C11449"/>
  <c r="D11449"/>
  <c r="C11450"/>
  <c r="D11450"/>
  <c r="C11451"/>
  <c r="D11451"/>
  <c r="C11452"/>
  <c r="D11452"/>
  <c r="C11453"/>
  <c r="D11453"/>
  <c r="C11454"/>
  <c r="D11454"/>
  <c r="C11455"/>
  <c r="D11455"/>
  <c r="C11456"/>
  <c r="D11456"/>
  <c r="C11457"/>
  <c r="D11457"/>
  <c r="C11458"/>
  <c r="D11458"/>
  <c r="C11459"/>
  <c r="D11459"/>
  <c r="C11460"/>
  <c r="D11460"/>
  <c r="C11461"/>
  <c r="D11461"/>
  <c r="C11462"/>
  <c r="D11462"/>
  <c r="C11463"/>
  <c r="D11463"/>
  <c r="C11464"/>
  <c r="D11464"/>
  <c r="C11465"/>
  <c r="D11465"/>
  <c r="C11466"/>
  <c r="D11466"/>
  <c r="C11467"/>
  <c r="D11467"/>
  <c r="C11468"/>
  <c r="D11468"/>
  <c r="C11469"/>
  <c r="D11469"/>
  <c r="C11470"/>
  <c r="D11470"/>
  <c r="C11471"/>
  <c r="D11471"/>
  <c r="C11472"/>
  <c r="D11472"/>
  <c r="C11473"/>
  <c r="D11473"/>
  <c r="C11474"/>
  <c r="D11474"/>
  <c r="C11475"/>
  <c r="D11475"/>
  <c r="C11476"/>
  <c r="D11476"/>
  <c r="C11477"/>
  <c r="D11477"/>
  <c r="C11478"/>
  <c r="D11478"/>
  <c r="C11479"/>
  <c r="D11479"/>
  <c r="C11480"/>
  <c r="D11480"/>
  <c r="C11481"/>
  <c r="D11481"/>
  <c r="C11482"/>
  <c r="D11482"/>
  <c r="C11483"/>
  <c r="D11483"/>
  <c r="C11484"/>
  <c r="D11484"/>
  <c r="C11485"/>
  <c r="D11485"/>
  <c r="C11486"/>
  <c r="D11486"/>
  <c r="C11487"/>
  <c r="D11487"/>
  <c r="C11488"/>
  <c r="D11488"/>
  <c r="C11489"/>
  <c r="D11489"/>
  <c r="C11490"/>
  <c r="D11490"/>
  <c r="C11491"/>
  <c r="D11491"/>
  <c r="C11492"/>
  <c r="D11492"/>
  <c r="C11493"/>
  <c r="D11493"/>
  <c r="C11494"/>
  <c r="D11494"/>
  <c r="C11495"/>
  <c r="D11495"/>
  <c r="C11496"/>
  <c r="D11496"/>
  <c r="C11497"/>
  <c r="D11497"/>
  <c r="C11498"/>
  <c r="D11498"/>
  <c r="C11499"/>
  <c r="D11499"/>
  <c r="C11500"/>
  <c r="D11500"/>
  <c r="C11501"/>
  <c r="D11501"/>
  <c r="C11502"/>
  <c r="D11502"/>
  <c r="C11503"/>
  <c r="D11503"/>
  <c r="C11504"/>
  <c r="D11504"/>
  <c r="C11505"/>
  <c r="D11505"/>
  <c r="C11506"/>
  <c r="D11506"/>
  <c r="C11507"/>
  <c r="D11507"/>
  <c r="C11508"/>
  <c r="D11508"/>
  <c r="C11509"/>
  <c r="D11509"/>
  <c r="C11510"/>
  <c r="D11510"/>
  <c r="C11511"/>
  <c r="D11511"/>
  <c r="C11512"/>
  <c r="D11512"/>
  <c r="C11513"/>
  <c r="D11513"/>
  <c r="C11514"/>
  <c r="D11514"/>
  <c r="C11515"/>
  <c r="D11515"/>
  <c r="C11516"/>
  <c r="D11516"/>
  <c r="C11517"/>
  <c r="D11517"/>
  <c r="C11518"/>
  <c r="D11518"/>
  <c r="C11519"/>
  <c r="D11519"/>
  <c r="C11520"/>
  <c r="D11520"/>
  <c r="C11521"/>
  <c r="D11521"/>
  <c r="C11522"/>
  <c r="D11522"/>
  <c r="C11523"/>
  <c r="D11523"/>
  <c r="C11524"/>
  <c r="D11524"/>
  <c r="C11525"/>
  <c r="D11525"/>
  <c r="C11526"/>
  <c r="D11526"/>
  <c r="C11527"/>
  <c r="D11527"/>
  <c r="C11528"/>
  <c r="D11528"/>
  <c r="C11529"/>
  <c r="D11529"/>
  <c r="C11530"/>
  <c r="D11530"/>
  <c r="C11531"/>
  <c r="D11531"/>
  <c r="C11532"/>
  <c r="D11532"/>
  <c r="C11533"/>
  <c r="D11533"/>
  <c r="C11534"/>
  <c r="D11534"/>
  <c r="C11535"/>
  <c r="D11535"/>
  <c r="C11536"/>
  <c r="D11536"/>
  <c r="C11537"/>
  <c r="D11537"/>
  <c r="C11538"/>
  <c r="D11538"/>
  <c r="C11539"/>
  <c r="D11539"/>
  <c r="C11540"/>
  <c r="D11540"/>
  <c r="C11541"/>
  <c r="D11541"/>
  <c r="C11542"/>
  <c r="D11542"/>
  <c r="C11543"/>
  <c r="D11543"/>
  <c r="C11544"/>
  <c r="D11544"/>
  <c r="C11545"/>
  <c r="D11545"/>
  <c r="C11546"/>
  <c r="D11546"/>
  <c r="C11547"/>
  <c r="D11547"/>
  <c r="C11548"/>
  <c r="D11548"/>
  <c r="C11549"/>
  <c r="D11549"/>
  <c r="C11550"/>
  <c r="D11550"/>
  <c r="C11551"/>
  <c r="D11551"/>
  <c r="C11552"/>
  <c r="D11552"/>
  <c r="C11553"/>
  <c r="D11553"/>
  <c r="C11554"/>
  <c r="D11554"/>
  <c r="C11555"/>
  <c r="D11555"/>
  <c r="C11556"/>
  <c r="D11556"/>
  <c r="C11557"/>
  <c r="D11557"/>
  <c r="C11558"/>
  <c r="D11558"/>
  <c r="C11559"/>
  <c r="D11559"/>
  <c r="C11560"/>
  <c r="D11560"/>
  <c r="C11561"/>
  <c r="D11561"/>
  <c r="C11562"/>
  <c r="D11562"/>
  <c r="C11563"/>
  <c r="D11563"/>
  <c r="C11564"/>
  <c r="D11564"/>
  <c r="C11565"/>
  <c r="D11565"/>
  <c r="C11566"/>
  <c r="D11566"/>
  <c r="C11567"/>
  <c r="D11567"/>
  <c r="C11568"/>
  <c r="D11568"/>
  <c r="C11569"/>
  <c r="D11569"/>
  <c r="C11570"/>
  <c r="D11570"/>
  <c r="C11571"/>
  <c r="D11571"/>
  <c r="C11572"/>
  <c r="D11572"/>
  <c r="C11573"/>
  <c r="D11573"/>
  <c r="C11574"/>
  <c r="D11574"/>
  <c r="C11575"/>
  <c r="D11575"/>
  <c r="C11576"/>
  <c r="D11576"/>
  <c r="C11577"/>
  <c r="D11577"/>
  <c r="C11578"/>
  <c r="D11578"/>
  <c r="C11579"/>
  <c r="D11579"/>
  <c r="C11580"/>
  <c r="D11580"/>
  <c r="C11581"/>
  <c r="D11581"/>
  <c r="C11582"/>
  <c r="D11582"/>
  <c r="C11583"/>
  <c r="D11583"/>
  <c r="C11584"/>
  <c r="D11584"/>
  <c r="C11585"/>
  <c r="D11585"/>
  <c r="C11586"/>
  <c r="D11586"/>
  <c r="C11587"/>
  <c r="D11587"/>
  <c r="C11588"/>
  <c r="D11588"/>
  <c r="C11589"/>
  <c r="D11589"/>
  <c r="C11590"/>
  <c r="D11590"/>
  <c r="C11591"/>
  <c r="D11591"/>
  <c r="C11592"/>
  <c r="D11592"/>
  <c r="C11593"/>
  <c r="D11593"/>
  <c r="C11594"/>
  <c r="D11594"/>
  <c r="C11595"/>
  <c r="D11595"/>
  <c r="C11596"/>
  <c r="D11596"/>
  <c r="C11597"/>
  <c r="D11597"/>
  <c r="C11598"/>
  <c r="D11598"/>
  <c r="C11599"/>
  <c r="D11599"/>
  <c r="C11600"/>
  <c r="D11600"/>
  <c r="C11601"/>
  <c r="D11601"/>
  <c r="C11602"/>
  <c r="D11602"/>
  <c r="C11603"/>
  <c r="D11603"/>
  <c r="C11604"/>
  <c r="D11604"/>
  <c r="C11605"/>
  <c r="D11605"/>
  <c r="C11606"/>
  <c r="D11606"/>
  <c r="C11607"/>
  <c r="D11607"/>
  <c r="C11608"/>
  <c r="D11608"/>
  <c r="C11609"/>
  <c r="D11609"/>
  <c r="C11610"/>
  <c r="D11610"/>
  <c r="C11611"/>
  <c r="D11611"/>
  <c r="C11612"/>
  <c r="D11612"/>
  <c r="C11613"/>
  <c r="D11613"/>
  <c r="C11614"/>
  <c r="D11614"/>
  <c r="C11615"/>
  <c r="D11615"/>
  <c r="C11616"/>
  <c r="D11616"/>
  <c r="C11617"/>
  <c r="D11617"/>
  <c r="C11618"/>
  <c r="D11618"/>
  <c r="C11619"/>
  <c r="D11619"/>
  <c r="C11620"/>
  <c r="D11620"/>
  <c r="C11621"/>
  <c r="D11621"/>
  <c r="C11622"/>
  <c r="D11622"/>
  <c r="C11623"/>
  <c r="D11623"/>
  <c r="C11624"/>
  <c r="D11624"/>
  <c r="C11625"/>
  <c r="D11625"/>
  <c r="C11626"/>
  <c r="D11626"/>
  <c r="C11627"/>
  <c r="D11627"/>
  <c r="C11628"/>
  <c r="D11628"/>
  <c r="C11629"/>
  <c r="D11629"/>
  <c r="C11630"/>
  <c r="D11630"/>
  <c r="C11631"/>
  <c r="D11631"/>
  <c r="C11632"/>
  <c r="D11632"/>
  <c r="C11633"/>
  <c r="D11633"/>
  <c r="C11634"/>
  <c r="D11634"/>
  <c r="C11635"/>
  <c r="D11635"/>
  <c r="C11636"/>
  <c r="D11636"/>
  <c r="C11637"/>
  <c r="D11637"/>
  <c r="C11638"/>
  <c r="D11638"/>
  <c r="C11639"/>
  <c r="D11639"/>
  <c r="C11640"/>
  <c r="D11640"/>
  <c r="C11641"/>
  <c r="D11641"/>
  <c r="C11642"/>
  <c r="D11642"/>
  <c r="C11643"/>
  <c r="D11643"/>
  <c r="C11644"/>
  <c r="D11644"/>
  <c r="C11645"/>
  <c r="D11645"/>
  <c r="C11646"/>
  <c r="D11646"/>
  <c r="C11647"/>
  <c r="D11647"/>
  <c r="C11648"/>
  <c r="D11648"/>
  <c r="C11649"/>
  <c r="D11649"/>
  <c r="C11650"/>
  <c r="D11650"/>
  <c r="C11651"/>
  <c r="D11651"/>
  <c r="C11652"/>
  <c r="D11652"/>
  <c r="C11653"/>
  <c r="D11653"/>
  <c r="C11654"/>
  <c r="D11654"/>
  <c r="C11655"/>
  <c r="D11655"/>
  <c r="C11656"/>
  <c r="D11656"/>
  <c r="C11657"/>
  <c r="D11657"/>
  <c r="C11658"/>
  <c r="D11658"/>
  <c r="C11659"/>
  <c r="D11659"/>
  <c r="C11660"/>
  <c r="D11660"/>
  <c r="C11661"/>
  <c r="D11661"/>
  <c r="C11662"/>
  <c r="D11662"/>
  <c r="C11663"/>
  <c r="D11663"/>
  <c r="C11664"/>
  <c r="D11664"/>
  <c r="C11665"/>
  <c r="D11665"/>
  <c r="C11666"/>
  <c r="D11666"/>
  <c r="C11667"/>
  <c r="D11667"/>
  <c r="C11668"/>
  <c r="D11668"/>
  <c r="C11669"/>
  <c r="D11669"/>
  <c r="C11670"/>
  <c r="D11670"/>
  <c r="C11671"/>
  <c r="D11671"/>
  <c r="C11672"/>
  <c r="D11672"/>
  <c r="C11673"/>
  <c r="D11673"/>
  <c r="C11674"/>
  <c r="D11674"/>
  <c r="C11675"/>
  <c r="D11675"/>
  <c r="C11676"/>
  <c r="D11676"/>
  <c r="C11677"/>
  <c r="D11677"/>
  <c r="C11678"/>
  <c r="D11678"/>
  <c r="C11679"/>
  <c r="D11679"/>
  <c r="C11680"/>
  <c r="D11680"/>
  <c r="C11681"/>
  <c r="D11681"/>
  <c r="C11682"/>
  <c r="D11682"/>
  <c r="C11683"/>
  <c r="D11683"/>
  <c r="C11684"/>
  <c r="D11684"/>
  <c r="C11685"/>
  <c r="D11685"/>
  <c r="C11686"/>
  <c r="D11686"/>
  <c r="C11687"/>
  <c r="D11687"/>
  <c r="C11688"/>
  <c r="D11688"/>
  <c r="C11689"/>
  <c r="D11689"/>
  <c r="C11690"/>
  <c r="D11690"/>
  <c r="C11691"/>
  <c r="D11691"/>
  <c r="C11692"/>
  <c r="D11692"/>
  <c r="C11693"/>
  <c r="D11693"/>
  <c r="C11694"/>
  <c r="D11694"/>
  <c r="C11695"/>
  <c r="D11695"/>
  <c r="C11696"/>
  <c r="D11696"/>
  <c r="C11697"/>
  <c r="D11697"/>
  <c r="C11698"/>
  <c r="D11698"/>
  <c r="C11699"/>
  <c r="D11699"/>
  <c r="C11700"/>
  <c r="D11700"/>
  <c r="C11701"/>
  <c r="D11701"/>
  <c r="C11702"/>
  <c r="D11702"/>
  <c r="C11703"/>
  <c r="D11703"/>
  <c r="C11704"/>
  <c r="D11704"/>
  <c r="C11705"/>
  <c r="D11705"/>
  <c r="C11706"/>
  <c r="D11706"/>
  <c r="C11707"/>
  <c r="D11707"/>
  <c r="C11708"/>
  <c r="D11708"/>
  <c r="C11709"/>
  <c r="D11709"/>
  <c r="C11710"/>
  <c r="D11710"/>
  <c r="C11711"/>
  <c r="D11711"/>
  <c r="C11712"/>
  <c r="D11712"/>
  <c r="C11713"/>
  <c r="D11713"/>
  <c r="C11714"/>
  <c r="D11714"/>
  <c r="C11715"/>
  <c r="D11715"/>
  <c r="C11716"/>
  <c r="D11716"/>
  <c r="C11717"/>
  <c r="D11717"/>
  <c r="C11718"/>
  <c r="D11718"/>
  <c r="C11719"/>
  <c r="D11719"/>
  <c r="C11720"/>
  <c r="D11720"/>
  <c r="C11721"/>
  <c r="D11721"/>
  <c r="C11722"/>
  <c r="D11722"/>
  <c r="C11723"/>
  <c r="D11723"/>
  <c r="C11724"/>
  <c r="D11724"/>
  <c r="C11725"/>
  <c r="D11725"/>
  <c r="C11726"/>
  <c r="D11726"/>
  <c r="C11727"/>
  <c r="D11727"/>
  <c r="C11728"/>
  <c r="D11728"/>
  <c r="C11729"/>
  <c r="D11729"/>
  <c r="C11730"/>
  <c r="D11730"/>
  <c r="C11731"/>
  <c r="D11731"/>
  <c r="C11732"/>
  <c r="D11732"/>
  <c r="C11733"/>
  <c r="D11733"/>
  <c r="C11734"/>
  <c r="D11734"/>
  <c r="C11735"/>
  <c r="D11735"/>
  <c r="C11736"/>
  <c r="D11736"/>
  <c r="C11737"/>
  <c r="D11737"/>
  <c r="C11738"/>
  <c r="D11738"/>
  <c r="C11739"/>
  <c r="D11739"/>
  <c r="C11740"/>
  <c r="D11740"/>
  <c r="C11741"/>
  <c r="D11741"/>
  <c r="C11742"/>
  <c r="D11742"/>
  <c r="C11743"/>
  <c r="D11743"/>
  <c r="C11744"/>
  <c r="D11744"/>
  <c r="C11745"/>
  <c r="D11745"/>
  <c r="C11746"/>
  <c r="D11746"/>
  <c r="C11747"/>
  <c r="D11747"/>
  <c r="C11748"/>
  <c r="D11748"/>
  <c r="C11749"/>
  <c r="D11749"/>
  <c r="C11750"/>
  <c r="D11750"/>
  <c r="C11751"/>
  <c r="D11751"/>
  <c r="C11752"/>
  <c r="D11752"/>
  <c r="C11753"/>
  <c r="D11753"/>
  <c r="C11754"/>
  <c r="D11754"/>
  <c r="C11755"/>
  <c r="D11755"/>
  <c r="C11756"/>
  <c r="D11756"/>
  <c r="C11757"/>
  <c r="D11757"/>
  <c r="C11758"/>
  <c r="D11758"/>
  <c r="C11759"/>
  <c r="D11759"/>
  <c r="C11760"/>
  <c r="D11760"/>
  <c r="C11761"/>
  <c r="D11761"/>
  <c r="C11762"/>
  <c r="D11762"/>
  <c r="C11763"/>
  <c r="D11763"/>
  <c r="C11764"/>
  <c r="D11764"/>
  <c r="C11765"/>
  <c r="D11765"/>
  <c r="C11766"/>
  <c r="D11766"/>
  <c r="C11767"/>
  <c r="D11767"/>
  <c r="C11768"/>
  <c r="D11768"/>
  <c r="C11769"/>
  <c r="D11769"/>
  <c r="C11770"/>
  <c r="D11770"/>
  <c r="C11771"/>
  <c r="D11771"/>
  <c r="C11772"/>
  <c r="D11772"/>
  <c r="C11773"/>
  <c r="D11773"/>
  <c r="C11774"/>
  <c r="D11774"/>
  <c r="C11775"/>
  <c r="D11775"/>
  <c r="C11776"/>
  <c r="D11776"/>
  <c r="C11777"/>
  <c r="D11777"/>
  <c r="C11778"/>
  <c r="D11778"/>
  <c r="C11779"/>
  <c r="D11779"/>
  <c r="C11780"/>
  <c r="D11780"/>
  <c r="C11781"/>
  <c r="D11781"/>
  <c r="C11782"/>
  <c r="D11782"/>
  <c r="C11783"/>
  <c r="D11783"/>
  <c r="C11784"/>
  <c r="D11784"/>
  <c r="C11785"/>
  <c r="D11785"/>
  <c r="C11786"/>
  <c r="D11786"/>
  <c r="C11787"/>
  <c r="D11787"/>
  <c r="C11788"/>
  <c r="D11788"/>
  <c r="C11789"/>
  <c r="D11789"/>
  <c r="C11790"/>
  <c r="D11790"/>
  <c r="C11791"/>
  <c r="D11791"/>
  <c r="C11792"/>
  <c r="D11792"/>
  <c r="C11793"/>
  <c r="D11793"/>
  <c r="C11794"/>
  <c r="D11794"/>
  <c r="C11795"/>
  <c r="D11795"/>
  <c r="C11796"/>
  <c r="D11796"/>
  <c r="C11797"/>
  <c r="D11797"/>
  <c r="C11798"/>
  <c r="D11798"/>
  <c r="C11799"/>
  <c r="D11799"/>
  <c r="C11800"/>
  <c r="D11800"/>
  <c r="C11801"/>
  <c r="D11801"/>
  <c r="C11802"/>
  <c r="D11802"/>
  <c r="C11803"/>
  <c r="D11803"/>
  <c r="C11804"/>
  <c r="D11804"/>
  <c r="C11805"/>
  <c r="D11805"/>
  <c r="C11806"/>
  <c r="D11806"/>
  <c r="C11807"/>
  <c r="D11807"/>
  <c r="C11808"/>
  <c r="D11808"/>
  <c r="C11809"/>
  <c r="D11809"/>
  <c r="C11810"/>
  <c r="D11810"/>
  <c r="C11811"/>
  <c r="D11811"/>
  <c r="C11812"/>
  <c r="D11812"/>
  <c r="C11813"/>
  <c r="D11813"/>
  <c r="C11814"/>
  <c r="D11814"/>
  <c r="C11815"/>
  <c r="D11815"/>
  <c r="C11816"/>
  <c r="D11816"/>
  <c r="C11817"/>
  <c r="D11817"/>
  <c r="C11818"/>
  <c r="D11818"/>
  <c r="C11819"/>
  <c r="D11819"/>
  <c r="C11820"/>
  <c r="D11820"/>
  <c r="C11821"/>
  <c r="D11821"/>
  <c r="C11822"/>
  <c r="D11822"/>
  <c r="C11823"/>
  <c r="D11823"/>
  <c r="C11824"/>
  <c r="D11824"/>
  <c r="C11825"/>
  <c r="D11825"/>
  <c r="C11826"/>
  <c r="D11826"/>
  <c r="C11827"/>
  <c r="D11827"/>
  <c r="C11828"/>
  <c r="D11828"/>
  <c r="C11829"/>
  <c r="D11829"/>
  <c r="C11830"/>
  <c r="D11830"/>
  <c r="C11831"/>
  <c r="D11831"/>
  <c r="C11832"/>
  <c r="D11832"/>
  <c r="C11833"/>
  <c r="D11833"/>
  <c r="C11834"/>
  <c r="D11834"/>
  <c r="C11835"/>
  <c r="D11835"/>
  <c r="C11836"/>
  <c r="D11836"/>
  <c r="C11837"/>
  <c r="D11837"/>
  <c r="C11838"/>
  <c r="D11838"/>
  <c r="C11839"/>
  <c r="D11839"/>
  <c r="C11840"/>
  <c r="D11840"/>
  <c r="C11841"/>
  <c r="D11841"/>
  <c r="C11842"/>
  <c r="D11842"/>
  <c r="C11843"/>
  <c r="D11843"/>
  <c r="C11844"/>
  <c r="D11844"/>
  <c r="C11845"/>
  <c r="D11845"/>
  <c r="C11846"/>
  <c r="D11846"/>
  <c r="C11847"/>
  <c r="D11847"/>
  <c r="C11848"/>
  <c r="D11848"/>
  <c r="C11849"/>
  <c r="D11849"/>
  <c r="C11850"/>
  <c r="D11850"/>
  <c r="C11851"/>
  <c r="D11851"/>
  <c r="C11852"/>
  <c r="D11852"/>
  <c r="C11853"/>
  <c r="D11853"/>
  <c r="C11854"/>
  <c r="D11854"/>
  <c r="C11855"/>
  <c r="D11855"/>
  <c r="C11856"/>
  <c r="D11856"/>
  <c r="C11857"/>
  <c r="D11857"/>
  <c r="C11858"/>
  <c r="D11858"/>
  <c r="C11859"/>
  <c r="D11859"/>
  <c r="C11860"/>
  <c r="D11860"/>
  <c r="C11861"/>
  <c r="D11861"/>
  <c r="C11862"/>
  <c r="D11862"/>
  <c r="C11863"/>
  <c r="D11863"/>
  <c r="C11864"/>
  <c r="D11864"/>
  <c r="C11865"/>
  <c r="D11865"/>
  <c r="C11866"/>
  <c r="D11866"/>
  <c r="C11867"/>
  <c r="D11867"/>
  <c r="C11868"/>
  <c r="D11868"/>
  <c r="C11869"/>
  <c r="D11869"/>
  <c r="C11870"/>
  <c r="D11870"/>
  <c r="C11871"/>
  <c r="D11871"/>
  <c r="C11872"/>
  <c r="D11872"/>
  <c r="C11873"/>
  <c r="D11873"/>
  <c r="C11874"/>
  <c r="D11874"/>
  <c r="C11875"/>
  <c r="D11875"/>
  <c r="C11876"/>
  <c r="D11876"/>
  <c r="C11877"/>
  <c r="D11877"/>
  <c r="C11878"/>
  <c r="D11878"/>
  <c r="C11879"/>
  <c r="D11879"/>
  <c r="C11880"/>
  <c r="D11880"/>
  <c r="C11881"/>
  <c r="D11881"/>
  <c r="C11882"/>
  <c r="D11882"/>
  <c r="C11883"/>
  <c r="D11883"/>
  <c r="C11884"/>
  <c r="D11884"/>
  <c r="C11885"/>
  <c r="D11885"/>
  <c r="C11886"/>
  <c r="D11886"/>
  <c r="C11887"/>
  <c r="D11887"/>
  <c r="C11888"/>
  <c r="D11888"/>
  <c r="C11889"/>
  <c r="D11889"/>
  <c r="C11890"/>
  <c r="D11890"/>
  <c r="C11891"/>
  <c r="D11891"/>
  <c r="C11892"/>
  <c r="D11892"/>
  <c r="C11893"/>
  <c r="D11893"/>
  <c r="C11894"/>
  <c r="D11894"/>
  <c r="C11895"/>
  <c r="D11895"/>
  <c r="C11896"/>
  <c r="D11896"/>
  <c r="C11897"/>
  <c r="D11897"/>
  <c r="C11898"/>
  <c r="D11898"/>
  <c r="C11899"/>
  <c r="D11899"/>
  <c r="C11900"/>
  <c r="D11900"/>
  <c r="C11901"/>
  <c r="D11901"/>
  <c r="C11902"/>
  <c r="D11902"/>
  <c r="C11903"/>
  <c r="D11903"/>
  <c r="C11904"/>
  <c r="D11904"/>
  <c r="C11905"/>
  <c r="D11905"/>
  <c r="C11906"/>
  <c r="D11906"/>
  <c r="C11907"/>
  <c r="D11907"/>
  <c r="C11908"/>
  <c r="D11908"/>
  <c r="C11909"/>
  <c r="D11909"/>
  <c r="C11910"/>
  <c r="D11910"/>
  <c r="C11911"/>
  <c r="D11911"/>
  <c r="C11912"/>
  <c r="D11912"/>
  <c r="C11913"/>
  <c r="D11913"/>
  <c r="C11914"/>
  <c r="D11914"/>
  <c r="C11915"/>
  <c r="D11915"/>
  <c r="C11916"/>
  <c r="D11916"/>
  <c r="C11917"/>
  <c r="D11917"/>
  <c r="C11918"/>
  <c r="D11918"/>
  <c r="C11919"/>
  <c r="D11919"/>
  <c r="C11920"/>
  <c r="D11920"/>
  <c r="C11921"/>
  <c r="D11921"/>
  <c r="C11922"/>
  <c r="D11922"/>
  <c r="C11923"/>
  <c r="D11923"/>
  <c r="C11924"/>
  <c r="D11924"/>
  <c r="C11925"/>
  <c r="D11925"/>
  <c r="C11926"/>
  <c r="D11926"/>
  <c r="C11927"/>
  <c r="D11927"/>
  <c r="C11928"/>
  <c r="D11928"/>
  <c r="C11929"/>
  <c r="D11929"/>
  <c r="C11930"/>
  <c r="D11930"/>
  <c r="C11931"/>
  <c r="D11931"/>
  <c r="C11932"/>
  <c r="D11932"/>
  <c r="C11933"/>
  <c r="D11933"/>
  <c r="C11934"/>
  <c r="D11934"/>
  <c r="C11935"/>
  <c r="D11935"/>
  <c r="C11936"/>
  <c r="D11936"/>
  <c r="C11937"/>
  <c r="D11937"/>
  <c r="C11938"/>
  <c r="D11938"/>
  <c r="C11939"/>
  <c r="D11939"/>
  <c r="C11940"/>
  <c r="D11940"/>
  <c r="C11941"/>
  <c r="D11941"/>
  <c r="C11942"/>
  <c r="D11942"/>
  <c r="C11943"/>
  <c r="D11943"/>
  <c r="C11944"/>
  <c r="D11944"/>
  <c r="C11945"/>
  <c r="D11945"/>
  <c r="C11946"/>
  <c r="D11946"/>
  <c r="C11947"/>
  <c r="D11947"/>
  <c r="C11948"/>
  <c r="D11948"/>
  <c r="C11949"/>
  <c r="D11949"/>
  <c r="C11950"/>
  <c r="D11950"/>
  <c r="C11951"/>
  <c r="D11951"/>
  <c r="C11952"/>
  <c r="D11952"/>
  <c r="C11953"/>
  <c r="D11953"/>
  <c r="C11954"/>
  <c r="D11954"/>
  <c r="C11955"/>
  <c r="D11955"/>
  <c r="C11956"/>
  <c r="D11956"/>
  <c r="C11957"/>
  <c r="D11957"/>
  <c r="C11958"/>
  <c r="D11958"/>
  <c r="C11959"/>
  <c r="D11959"/>
  <c r="C11960"/>
  <c r="D11960"/>
  <c r="C11961"/>
  <c r="D11961"/>
  <c r="C11962"/>
  <c r="D11962"/>
  <c r="C11963"/>
  <c r="D11963"/>
  <c r="C11964"/>
  <c r="D11964"/>
  <c r="C11965"/>
  <c r="D11965"/>
  <c r="C11966"/>
  <c r="D11966"/>
  <c r="C11967"/>
  <c r="D11967"/>
  <c r="C11968"/>
  <c r="D11968"/>
  <c r="C11969"/>
  <c r="D11969"/>
  <c r="C11970"/>
  <c r="D11970"/>
  <c r="C11971"/>
  <c r="D11971"/>
  <c r="C11972"/>
  <c r="D11972"/>
  <c r="C11973"/>
  <c r="D11973"/>
  <c r="C11974"/>
  <c r="D11974"/>
  <c r="C11975"/>
  <c r="D11975"/>
  <c r="C11976"/>
  <c r="D11976"/>
  <c r="C11977"/>
  <c r="D11977"/>
  <c r="C11978"/>
  <c r="D11978"/>
  <c r="C11979"/>
  <c r="D11979"/>
  <c r="C11980"/>
  <c r="D11980"/>
  <c r="C11981"/>
  <c r="D11981"/>
  <c r="C11982"/>
  <c r="D11982"/>
  <c r="C11983"/>
  <c r="D11983"/>
  <c r="C11984"/>
  <c r="D11984"/>
  <c r="C11985"/>
  <c r="D11985"/>
  <c r="C11986"/>
  <c r="D11986"/>
  <c r="C11987"/>
  <c r="D11987"/>
  <c r="C11988"/>
  <c r="D11988"/>
  <c r="C11989"/>
  <c r="D11989"/>
  <c r="C11990"/>
  <c r="D11990"/>
  <c r="C11991"/>
  <c r="D11991"/>
  <c r="C11992"/>
  <c r="D11992"/>
  <c r="C11993"/>
  <c r="D11993"/>
  <c r="C11994"/>
  <c r="D11994"/>
  <c r="C11995"/>
  <c r="D11995"/>
  <c r="C11996"/>
  <c r="D11996"/>
  <c r="C11997"/>
  <c r="D11997"/>
  <c r="C11998"/>
  <c r="D11998"/>
  <c r="C11999"/>
  <c r="D11999"/>
  <c r="C12000"/>
  <c r="D12000"/>
  <c r="C12001"/>
  <c r="D12001"/>
  <c r="C12002"/>
  <c r="D12002"/>
  <c r="C12003"/>
  <c r="D12003"/>
  <c r="C12004"/>
  <c r="D12004"/>
  <c r="C12005"/>
  <c r="D12005"/>
  <c r="C12006"/>
  <c r="D12006"/>
  <c r="C12007"/>
  <c r="D12007"/>
  <c r="C12008"/>
  <c r="D12008"/>
  <c r="C12009"/>
  <c r="D12009"/>
  <c r="C12010"/>
  <c r="D12010"/>
  <c r="C12011"/>
  <c r="D12011"/>
  <c r="C12012"/>
  <c r="D12012"/>
  <c r="C12013"/>
  <c r="D12013"/>
  <c r="C12014"/>
  <c r="D12014"/>
  <c r="C12015"/>
  <c r="D12015"/>
  <c r="C12016"/>
  <c r="D12016"/>
  <c r="C12017"/>
  <c r="D12017"/>
  <c r="C12018"/>
  <c r="D12018"/>
  <c r="C12019"/>
  <c r="D12019"/>
  <c r="C12020"/>
  <c r="D12020"/>
  <c r="C12021"/>
  <c r="D12021"/>
  <c r="C12022"/>
  <c r="D12022"/>
  <c r="C12023"/>
  <c r="D12023"/>
  <c r="C12024"/>
  <c r="D12024"/>
  <c r="C12025"/>
  <c r="D12025"/>
  <c r="C12026"/>
  <c r="D12026"/>
  <c r="C12027"/>
  <c r="D12027"/>
  <c r="C12028"/>
  <c r="D12028"/>
  <c r="C12029"/>
  <c r="D12029"/>
  <c r="C12030"/>
  <c r="D12030"/>
  <c r="C12031"/>
  <c r="D12031"/>
  <c r="C12032"/>
  <c r="D12032"/>
  <c r="C12033"/>
  <c r="D12033"/>
  <c r="C12034"/>
  <c r="D12034"/>
  <c r="C12035"/>
  <c r="D12035"/>
  <c r="C12036"/>
  <c r="D12036"/>
  <c r="C12037"/>
  <c r="D12037"/>
  <c r="C12038"/>
  <c r="D12038"/>
  <c r="C12039"/>
  <c r="D12039"/>
  <c r="C12040"/>
  <c r="D12040"/>
  <c r="C12041"/>
  <c r="D12041"/>
  <c r="C12042"/>
  <c r="D12042"/>
  <c r="C12043"/>
  <c r="D12043"/>
  <c r="C12044"/>
  <c r="D12044"/>
  <c r="C12045"/>
  <c r="D12045"/>
  <c r="C12046"/>
  <c r="D12046"/>
  <c r="C12047"/>
  <c r="D12047"/>
  <c r="C12048"/>
  <c r="D12048"/>
  <c r="C12049"/>
  <c r="D12049"/>
  <c r="C12050"/>
  <c r="D12050"/>
  <c r="C12051"/>
  <c r="D12051"/>
  <c r="C12052"/>
  <c r="D12052"/>
  <c r="C12053"/>
  <c r="D12053"/>
  <c r="C12054"/>
  <c r="D12054"/>
  <c r="C12055"/>
  <c r="D12055"/>
  <c r="C12056"/>
  <c r="D12056"/>
  <c r="C12057"/>
  <c r="D12057"/>
  <c r="C12058"/>
  <c r="D12058"/>
  <c r="C12059"/>
  <c r="D12059"/>
  <c r="C12060"/>
  <c r="D12060"/>
  <c r="C12061"/>
  <c r="D12061"/>
  <c r="C12062"/>
  <c r="D12062"/>
  <c r="C12063"/>
  <c r="D12063"/>
  <c r="C12064"/>
  <c r="D12064"/>
  <c r="C12065"/>
  <c r="D12065"/>
  <c r="C12066"/>
  <c r="D12066"/>
  <c r="C12067"/>
  <c r="D12067"/>
  <c r="C12068"/>
  <c r="D12068"/>
  <c r="C12069"/>
  <c r="D12069"/>
  <c r="C12070"/>
  <c r="D12070"/>
  <c r="C12071"/>
  <c r="D12071"/>
  <c r="C12072"/>
  <c r="D12072"/>
  <c r="C12073"/>
  <c r="D12073"/>
  <c r="C12074"/>
  <c r="D12074"/>
  <c r="C12075"/>
  <c r="D12075"/>
  <c r="C12076"/>
  <c r="D12076"/>
  <c r="C12077"/>
  <c r="D12077"/>
  <c r="C12078"/>
  <c r="D12078"/>
  <c r="C12079"/>
  <c r="D12079"/>
  <c r="C12080"/>
  <c r="D12080"/>
  <c r="C12081"/>
  <c r="D12081"/>
  <c r="C12082"/>
  <c r="D12082"/>
  <c r="C12083"/>
  <c r="D12083"/>
  <c r="C12084"/>
  <c r="D12084"/>
  <c r="C12085"/>
  <c r="D12085"/>
  <c r="C12086"/>
  <c r="D12086"/>
  <c r="C12087"/>
  <c r="D12087"/>
  <c r="C12088"/>
  <c r="D12088"/>
  <c r="C12089"/>
  <c r="D12089"/>
  <c r="C12090"/>
  <c r="D12090"/>
  <c r="C12091"/>
  <c r="D12091"/>
  <c r="C12092"/>
  <c r="D12092"/>
  <c r="C12093"/>
  <c r="D12093"/>
  <c r="C12094"/>
  <c r="D12094"/>
  <c r="C12095"/>
  <c r="D12095"/>
  <c r="C12096"/>
  <c r="D12096"/>
  <c r="C12097"/>
  <c r="D12097"/>
  <c r="C12098"/>
  <c r="D12098"/>
  <c r="C12099"/>
  <c r="D12099"/>
  <c r="C12100"/>
  <c r="D12100"/>
  <c r="C12101"/>
  <c r="D12101"/>
  <c r="C12102"/>
  <c r="D12102"/>
  <c r="C12103"/>
  <c r="D12103"/>
  <c r="C12104"/>
  <c r="D12104"/>
  <c r="C12105"/>
  <c r="D12105"/>
  <c r="C12106"/>
  <c r="D12106"/>
  <c r="C12107"/>
  <c r="D12107"/>
  <c r="C12108"/>
  <c r="D12108"/>
  <c r="C12109"/>
  <c r="D12109"/>
  <c r="C12110"/>
  <c r="D12110"/>
  <c r="C12111"/>
  <c r="D12111"/>
  <c r="C12112"/>
  <c r="D12112"/>
  <c r="C12113"/>
  <c r="D12113"/>
  <c r="C12114"/>
  <c r="D12114"/>
  <c r="C12115"/>
  <c r="D12115"/>
  <c r="C12116"/>
  <c r="D12116"/>
  <c r="C12117"/>
  <c r="D12117"/>
  <c r="C12118"/>
  <c r="D12118"/>
  <c r="C12119"/>
  <c r="D12119"/>
  <c r="C12120"/>
  <c r="D12120"/>
  <c r="C12121"/>
  <c r="D12121"/>
  <c r="C12122"/>
  <c r="D12122"/>
  <c r="C12123"/>
  <c r="D12123"/>
  <c r="C12124"/>
  <c r="D12124"/>
  <c r="C12125"/>
  <c r="D12125"/>
  <c r="C12126"/>
  <c r="D12126"/>
  <c r="C12127"/>
  <c r="D12127"/>
  <c r="C12128"/>
  <c r="D12128"/>
  <c r="C12129"/>
  <c r="D12129"/>
  <c r="C12130"/>
  <c r="D12130"/>
  <c r="C12131"/>
  <c r="D12131"/>
  <c r="C12132"/>
  <c r="D12132"/>
  <c r="C12133"/>
  <c r="D12133"/>
  <c r="C12134"/>
  <c r="D12134"/>
  <c r="C12135"/>
  <c r="D12135"/>
  <c r="C12136"/>
  <c r="D12136"/>
  <c r="C12137"/>
  <c r="D12137"/>
  <c r="C12138"/>
  <c r="D12138"/>
  <c r="C12139"/>
  <c r="D12139"/>
  <c r="C12140"/>
  <c r="D12140"/>
  <c r="C12141"/>
  <c r="D12141"/>
  <c r="C12142"/>
  <c r="D12142"/>
  <c r="C12143"/>
  <c r="D12143"/>
  <c r="C12144"/>
  <c r="D12144"/>
  <c r="C12145"/>
  <c r="D12145"/>
  <c r="C12146"/>
  <c r="D12146"/>
  <c r="C12147"/>
  <c r="D12147"/>
  <c r="C12148"/>
  <c r="D12148"/>
  <c r="C12149"/>
  <c r="D12149"/>
  <c r="C12150"/>
  <c r="D12150"/>
  <c r="C12151"/>
  <c r="D12151"/>
  <c r="C12152"/>
  <c r="D12152"/>
  <c r="C12153"/>
  <c r="D12153"/>
  <c r="C12154"/>
  <c r="D12154"/>
  <c r="C12155"/>
  <c r="D12155"/>
  <c r="C12156"/>
  <c r="D12156"/>
  <c r="C12157"/>
  <c r="D12157"/>
  <c r="C12158"/>
  <c r="D12158"/>
  <c r="C12159"/>
  <c r="D12159"/>
  <c r="C12160"/>
  <c r="D12160"/>
  <c r="C12161"/>
  <c r="D12161"/>
  <c r="C12162"/>
  <c r="D12162"/>
  <c r="C12163"/>
  <c r="D12163"/>
  <c r="C12164"/>
  <c r="D12164"/>
  <c r="C12165"/>
  <c r="D12165"/>
  <c r="C12166"/>
  <c r="D12166"/>
  <c r="C12167"/>
  <c r="D12167"/>
  <c r="C12168"/>
  <c r="D12168"/>
  <c r="C12169"/>
  <c r="D12169"/>
  <c r="C12170"/>
  <c r="D12170"/>
  <c r="C12171"/>
  <c r="D12171"/>
  <c r="C12172"/>
  <c r="D12172"/>
  <c r="C12173"/>
  <c r="D12173"/>
  <c r="C12174"/>
  <c r="D12174"/>
  <c r="C12175"/>
  <c r="D12175"/>
  <c r="C12176"/>
  <c r="D12176"/>
  <c r="C12177"/>
  <c r="D12177"/>
  <c r="C12178"/>
  <c r="D12178"/>
  <c r="C12179"/>
  <c r="D12179"/>
  <c r="C12180"/>
  <c r="D12180"/>
  <c r="C12181"/>
  <c r="D12181"/>
  <c r="C12182"/>
  <c r="D12182"/>
  <c r="C12183"/>
  <c r="D12183"/>
  <c r="C12184"/>
  <c r="D12184"/>
  <c r="C12185"/>
  <c r="D12185"/>
  <c r="C12186"/>
  <c r="D12186"/>
  <c r="C12187"/>
  <c r="D12187"/>
  <c r="C12188"/>
  <c r="D12188"/>
  <c r="C12189"/>
  <c r="D12189"/>
  <c r="C12190"/>
  <c r="D12190"/>
  <c r="C12191"/>
  <c r="D12191"/>
  <c r="C12192"/>
  <c r="D12192"/>
  <c r="C12193"/>
  <c r="D12193"/>
  <c r="C12194"/>
  <c r="D12194"/>
  <c r="C12195"/>
  <c r="D12195"/>
  <c r="C12196"/>
  <c r="D12196"/>
  <c r="C12197"/>
  <c r="D12197"/>
  <c r="C12198"/>
  <c r="D12198"/>
  <c r="C12199"/>
  <c r="D12199"/>
  <c r="C12200"/>
  <c r="D12200"/>
  <c r="C12201"/>
  <c r="D12201"/>
  <c r="C12202"/>
  <c r="D12202"/>
  <c r="C12203"/>
  <c r="D12203"/>
  <c r="C12204"/>
  <c r="D12204"/>
  <c r="C12205"/>
  <c r="D12205"/>
  <c r="C12206"/>
  <c r="D12206"/>
  <c r="C12207"/>
  <c r="D12207"/>
  <c r="C12208"/>
  <c r="D12208"/>
  <c r="C12209"/>
  <c r="D12209"/>
  <c r="C12210"/>
  <c r="D12210"/>
  <c r="C12211"/>
  <c r="D12211"/>
  <c r="C12212"/>
  <c r="D12212"/>
  <c r="C12213"/>
  <c r="D12213"/>
  <c r="C12214"/>
  <c r="D12214"/>
  <c r="C12215"/>
  <c r="D12215"/>
  <c r="C12216"/>
  <c r="D12216"/>
  <c r="C12217"/>
  <c r="D12217"/>
  <c r="C12218"/>
  <c r="D12218"/>
  <c r="C12219"/>
  <c r="D12219"/>
  <c r="C12220"/>
  <c r="D12220"/>
  <c r="C12221"/>
  <c r="D12221"/>
  <c r="C12222"/>
  <c r="D12222"/>
  <c r="C12223"/>
  <c r="D12223"/>
  <c r="C12224"/>
  <c r="D12224"/>
  <c r="C12225"/>
  <c r="D12225"/>
  <c r="C12226"/>
  <c r="D12226"/>
  <c r="C12227"/>
  <c r="D12227"/>
  <c r="C12228"/>
  <c r="D12228"/>
  <c r="C12229"/>
  <c r="D12229"/>
  <c r="C12230"/>
  <c r="D12230"/>
  <c r="C12231"/>
  <c r="D12231"/>
  <c r="C12232"/>
  <c r="D12232"/>
  <c r="C12233"/>
  <c r="D12233"/>
  <c r="C12234"/>
  <c r="D12234"/>
  <c r="C12235"/>
  <c r="D12235"/>
  <c r="C12236"/>
  <c r="D12236"/>
  <c r="C12237"/>
  <c r="D12237"/>
  <c r="C12238"/>
  <c r="D12238"/>
  <c r="C12239"/>
  <c r="D12239"/>
  <c r="C12240"/>
  <c r="D12240"/>
  <c r="C12241"/>
  <c r="D12241"/>
  <c r="C12242"/>
  <c r="D12242"/>
  <c r="C12243"/>
  <c r="D12243"/>
  <c r="C12244"/>
  <c r="D12244"/>
  <c r="C12245"/>
  <c r="D12245"/>
  <c r="C12246"/>
  <c r="D12246"/>
  <c r="C12247"/>
  <c r="D12247"/>
  <c r="C12248"/>
  <c r="D12248"/>
  <c r="C12249"/>
  <c r="D12249"/>
  <c r="C12250"/>
  <c r="D12250"/>
  <c r="C12251"/>
  <c r="D12251"/>
  <c r="C12252"/>
  <c r="D12252"/>
  <c r="C12253"/>
  <c r="D12253"/>
  <c r="C12254"/>
  <c r="D12254"/>
  <c r="C12255"/>
  <c r="D12255"/>
  <c r="C12256"/>
  <c r="D12256"/>
  <c r="C12257"/>
  <c r="D12257"/>
  <c r="C12258"/>
  <c r="D12258"/>
  <c r="C12259"/>
  <c r="D12259"/>
  <c r="C12260"/>
  <c r="D12260"/>
  <c r="C12261"/>
  <c r="D12261"/>
  <c r="C12262"/>
  <c r="D12262"/>
  <c r="C12263"/>
  <c r="D12263"/>
  <c r="C12264"/>
  <c r="D12264"/>
  <c r="C12265"/>
  <c r="D12265"/>
  <c r="C12266"/>
  <c r="D12266"/>
  <c r="C12267"/>
  <c r="D12267"/>
  <c r="C12268"/>
  <c r="D12268"/>
  <c r="C12269"/>
  <c r="D12269"/>
  <c r="C12270"/>
  <c r="D12270"/>
  <c r="C12271"/>
  <c r="D12271"/>
  <c r="C12272"/>
  <c r="D12272"/>
  <c r="C12273"/>
  <c r="D12273"/>
  <c r="C12274"/>
  <c r="D12274"/>
  <c r="C12275"/>
  <c r="D12275"/>
  <c r="C12276"/>
  <c r="D12276"/>
  <c r="C12277"/>
  <c r="D12277"/>
  <c r="C12278"/>
  <c r="D12278"/>
  <c r="C12279"/>
  <c r="D12279"/>
  <c r="C12280"/>
  <c r="D12280"/>
  <c r="C12281"/>
  <c r="D12281"/>
  <c r="C12282"/>
  <c r="D12282"/>
  <c r="C12283"/>
  <c r="D12283"/>
  <c r="C12284"/>
  <c r="D12284"/>
  <c r="C12285"/>
  <c r="D12285"/>
  <c r="C12286"/>
  <c r="D12286"/>
  <c r="C12287"/>
  <c r="D12287"/>
  <c r="C12288"/>
  <c r="D12288"/>
  <c r="C12289"/>
  <c r="D12289"/>
  <c r="C12290"/>
  <c r="D12290"/>
  <c r="C12291"/>
  <c r="D12291"/>
  <c r="C12292"/>
  <c r="D12292"/>
  <c r="C12293"/>
  <c r="D12293"/>
  <c r="C12294"/>
  <c r="D12294"/>
  <c r="C12295"/>
  <c r="D12295"/>
  <c r="C12296"/>
  <c r="D12296"/>
  <c r="C12297"/>
  <c r="D12297"/>
  <c r="C12298"/>
  <c r="D12298"/>
  <c r="C12299"/>
  <c r="D12299"/>
  <c r="C12300"/>
  <c r="D12300"/>
  <c r="C12301"/>
  <c r="D12301"/>
  <c r="C12302"/>
  <c r="D12302"/>
  <c r="C12303"/>
  <c r="D12303"/>
  <c r="C12304"/>
  <c r="D12304"/>
  <c r="C12305"/>
  <c r="D12305"/>
  <c r="C12306"/>
  <c r="D12306"/>
  <c r="C12307"/>
  <c r="D12307"/>
  <c r="C12308"/>
  <c r="D12308"/>
  <c r="C12309"/>
  <c r="D12309"/>
  <c r="C12310"/>
  <c r="D12310"/>
  <c r="C12311"/>
  <c r="D12311"/>
  <c r="C12312"/>
  <c r="D12312"/>
  <c r="C12313"/>
  <c r="D12313"/>
  <c r="C12314"/>
  <c r="D12314"/>
  <c r="C12315"/>
  <c r="D12315"/>
  <c r="C12316"/>
  <c r="D12316"/>
  <c r="C12317"/>
  <c r="D12317"/>
  <c r="C12318"/>
  <c r="D12318"/>
  <c r="C12319"/>
  <c r="D12319"/>
  <c r="C12320"/>
  <c r="D12320"/>
  <c r="C12321"/>
  <c r="D12321"/>
  <c r="C12322"/>
  <c r="D12322"/>
  <c r="C12323"/>
  <c r="D12323"/>
  <c r="C12324"/>
  <c r="D12324"/>
  <c r="C12325"/>
  <c r="D12325"/>
  <c r="C12326"/>
  <c r="D12326"/>
  <c r="C12327"/>
  <c r="D12327"/>
  <c r="C12328"/>
  <c r="D12328"/>
  <c r="C12329"/>
  <c r="D12329"/>
  <c r="C12330"/>
  <c r="D12330"/>
  <c r="C12331"/>
  <c r="D12331"/>
  <c r="C12332"/>
  <c r="D12332"/>
  <c r="C12333"/>
  <c r="D12333"/>
  <c r="C12334"/>
  <c r="D12334"/>
  <c r="C12335"/>
  <c r="D12335"/>
  <c r="C12336"/>
  <c r="D12336"/>
  <c r="C12337"/>
  <c r="D12337"/>
  <c r="C12338"/>
  <c r="D12338"/>
  <c r="C12339"/>
  <c r="D12339"/>
  <c r="C12340"/>
  <c r="D12340"/>
  <c r="C12341"/>
  <c r="D12341"/>
  <c r="C12342"/>
  <c r="D12342"/>
  <c r="C12343"/>
  <c r="D12343"/>
  <c r="C12344"/>
  <c r="D12344"/>
  <c r="C12345"/>
  <c r="D12345"/>
  <c r="C12346"/>
  <c r="D12346"/>
  <c r="C12347"/>
  <c r="D12347"/>
  <c r="C12348"/>
  <c r="D12348"/>
  <c r="C12349"/>
  <c r="D12349"/>
  <c r="C12350"/>
  <c r="D12350"/>
  <c r="C12351"/>
  <c r="D12351"/>
  <c r="C12352"/>
  <c r="D12352"/>
  <c r="C12353"/>
  <c r="D12353"/>
  <c r="C12354"/>
  <c r="D12354"/>
  <c r="C12355"/>
  <c r="D12355"/>
  <c r="C12356"/>
  <c r="D12356"/>
  <c r="C12357"/>
  <c r="D12357"/>
  <c r="C12358"/>
  <c r="D12358"/>
  <c r="C12359"/>
  <c r="D12359"/>
  <c r="C12360"/>
  <c r="D12360"/>
  <c r="C12361"/>
  <c r="D12361"/>
  <c r="C12362"/>
  <c r="D12362"/>
  <c r="C12363"/>
  <c r="D12363"/>
  <c r="C12364"/>
  <c r="D12364"/>
  <c r="C12365"/>
  <c r="D12365"/>
  <c r="C12366"/>
  <c r="D12366"/>
  <c r="C12367"/>
  <c r="D12367"/>
  <c r="C12368"/>
  <c r="D12368"/>
  <c r="C12369"/>
  <c r="D12369"/>
  <c r="C12370"/>
  <c r="D12370"/>
  <c r="C12371"/>
  <c r="D12371"/>
  <c r="C12372"/>
  <c r="D12372"/>
  <c r="C12373"/>
  <c r="D12373"/>
  <c r="C12374"/>
  <c r="D12374"/>
  <c r="C12375"/>
  <c r="D12375"/>
  <c r="C12376"/>
  <c r="D12376"/>
  <c r="C12377"/>
  <c r="D12377"/>
  <c r="C12378"/>
  <c r="D12378"/>
  <c r="C12379"/>
  <c r="D12379"/>
  <c r="C12380"/>
  <c r="D12380"/>
  <c r="C12381"/>
  <c r="D12381"/>
  <c r="C12382"/>
  <c r="D12382"/>
  <c r="C12383"/>
  <c r="D12383"/>
  <c r="C12384"/>
  <c r="D12384"/>
  <c r="C12385"/>
  <c r="D12385"/>
  <c r="C12386"/>
  <c r="D12386"/>
  <c r="C12387"/>
  <c r="D12387"/>
  <c r="C12388"/>
  <c r="D12388"/>
  <c r="C12389"/>
  <c r="D12389"/>
  <c r="C12390"/>
  <c r="D12390"/>
  <c r="C12391"/>
  <c r="D12391"/>
  <c r="C12392"/>
  <c r="D12392"/>
  <c r="C12393"/>
  <c r="D12393"/>
  <c r="C12394"/>
  <c r="D12394"/>
  <c r="C12395"/>
  <c r="D12395"/>
  <c r="C12396"/>
  <c r="D12396"/>
  <c r="C12397"/>
  <c r="D12397"/>
  <c r="C12398"/>
  <c r="D12398"/>
  <c r="C12399"/>
  <c r="D12399"/>
  <c r="C12400"/>
  <c r="D12400"/>
  <c r="C12401"/>
  <c r="D12401"/>
  <c r="C12402"/>
  <c r="D12402"/>
  <c r="C12403"/>
  <c r="D12403"/>
  <c r="C12404"/>
  <c r="D12404"/>
  <c r="C12405"/>
  <c r="D12405"/>
  <c r="C12406"/>
  <c r="D12406"/>
  <c r="C12407"/>
  <c r="D12407"/>
  <c r="C12408"/>
  <c r="D12408"/>
  <c r="C12409"/>
  <c r="D12409"/>
  <c r="C12410"/>
  <c r="D12410"/>
  <c r="C12411"/>
  <c r="D12411"/>
  <c r="C12412"/>
  <c r="D12412"/>
  <c r="C12413"/>
  <c r="D12413"/>
  <c r="C12414"/>
  <c r="D12414"/>
  <c r="C12415"/>
  <c r="D12415"/>
  <c r="C12416"/>
  <c r="D12416"/>
  <c r="C12417"/>
  <c r="D12417"/>
  <c r="C12418"/>
  <c r="D12418"/>
  <c r="C12419"/>
  <c r="D12419"/>
  <c r="C12420"/>
  <c r="D12420"/>
  <c r="C12421"/>
  <c r="D12421"/>
  <c r="C12422"/>
  <c r="D12422"/>
  <c r="C12423"/>
  <c r="D12423"/>
  <c r="C12424"/>
  <c r="D12424"/>
  <c r="C12425"/>
  <c r="D12425"/>
  <c r="C12426"/>
  <c r="D12426"/>
  <c r="C12427"/>
  <c r="D12427"/>
  <c r="C12428"/>
  <c r="D12428"/>
  <c r="C12429"/>
  <c r="D12429"/>
  <c r="C12430"/>
  <c r="D12430"/>
  <c r="C12431"/>
  <c r="D12431"/>
  <c r="C12432"/>
  <c r="D12432"/>
  <c r="C12433"/>
  <c r="D12433"/>
  <c r="C12434"/>
  <c r="D12434"/>
  <c r="C12435"/>
  <c r="D12435"/>
  <c r="C12436"/>
  <c r="D12436"/>
  <c r="C12437"/>
  <c r="D12437"/>
  <c r="C12438"/>
  <c r="D12438"/>
  <c r="C12439"/>
  <c r="D12439"/>
  <c r="C12440"/>
  <c r="D12440"/>
  <c r="C12441"/>
  <c r="D12441"/>
  <c r="C12442"/>
  <c r="D12442"/>
  <c r="C12443"/>
  <c r="D12443"/>
  <c r="C12444"/>
  <c r="D12444"/>
  <c r="C12445"/>
  <c r="D12445"/>
  <c r="C12446"/>
  <c r="D12446"/>
  <c r="C12447"/>
  <c r="D12447"/>
  <c r="C12448"/>
  <c r="D12448"/>
  <c r="C12449"/>
  <c r="D12449"/>
  <c r="C12450"/>
  <c r="D12450"/>
  <c r="C12451"/>
  <c r="D12451"/>
  <c r="C12452"/>
  <c r="D12452"/>
  <c r="C12453"/>
  <c r="D12453"/>
  <c r="C12454"/>
  <c r="D12454"/>
  <c r="C12455"/>
  <c r="D12455"/>
  <c r="C12456"/>
  <c r="D12456"/>
  <c r="C12457"/>
  <c r="D12457"/>
  <c r="C12458"/>
  <c r="D12458"/>
  <c r="C12459"/>
  <c r="D12459"/>
  <c r="C12460"/>
  <c r="D12460"/>
  <c r="C12461"/>
  <c r="D12461"/>
  <c r="C12462"/>
  <c r="D12462"/>
  <c r="C12463"/>
  <c r="D12463"/>
  <c r="C12464"/>
  <c r="D12464"/>
  <c r="C12465"/>
  <c r="D12465"/>
  <c r="C12466"/>
  <c r="D12466"/>
  <c r="C12467"/>
  <c r="D12467"/>
  <c r="C12468"/>
  <c r="D12468"/>
  <c r="C12469"/>
  <c r="D12469"/>
  <c r="C12470"/>
  <c r="D12470"/>
  <c r="C12471"/>
  <c r="D12471"/>
  <c r="C12472"/>
  <c r="D12472"/>
  <c r="C12473"/>
  <c r="D12473"/>
  <c r="C12474"/>
  <c r="D12474"/>
  <c r="C12475"/>
  <c r="D12475"/>
  <c r="C12476"/>
  <c r="D12476"/>
  <c r="C12477"/>
  <c r="D12477"/>
  <c r="C12478"/>
  <c r="D12478"/>
  <c r="C12479"/>
  <c r="D12479"/>
  <c r="C12480"/>
  <c r="D12480"/>
  <c r="C12481"/>
  <c r="D12481"/>
  <c r="C12482"/>
  <c r="D12482"/>
  <c r="C12483"/>
  <c r="D12483"/>
  <c r="C12484"/>
  <c r="D12484"/>
  <c r="C12485"/>
  <c r="D12485"/>
  <c r="C12486"/>
  <c r="D12486"/>
  <c r="C12487"/>
  <c r="D12487"/>
  <c r="C12488"/>
  <c r="D12488"/>
  <c r="C12489"/>
  <c r="D12489"/>
  <c r="C12490"/>
  <c r="D12490"/>
  <c r="C12491"/>
  <c r="D12491"/>
  <c r="C12492"/>
  <c r="D12492"/>
  <c r="C12493"/>
  <c r="D12493"/>
  <c r="C12494"/>
  <c r="D12494"/>
  <c r="C12495"/>
  <c r="D12495"/>
  <c r="C12496"/>
  <c r="D12496"/>
  <c r="C12497"/>
  <c r="D12497"/>
  <c r="C12498"/>
  <c r="D12498"/>
  <c r="C12499"/>
  <c r="D12499"/>
  <c r="C12500"/>
  <c r="D12500"/>
  <c r="C12501"/>
  <c r="D12501"/>
  <c r="C12502"/>
  <c r="D12502"/>
  <c r="C12503"/>
  <c r="D12503"/>
  <c r="C12504"/>
  <c r="D12504"/>
  <c r="C12505"/>
  <c r="D12505"/>
  <c r="C12506"/>
  <c r="D12506"/>
  <c r="C12507"/>
  <c r="D12507"/>
  <c r="C12508"/>
  <c r="D12508"/>
  <c r="C12509"/>
  <c r="D12509"/>
  <c r="C12510"/>
  <c r="D12510"/>
  <c r="C12511"/>
  <c r="D12511"/>
  <c r="C12512"/>
  <c r="D12512"/>
  <c r="C12513"/>
  <c r="D12513"/>
  <c r="C12514"/>
  <c r="D12514"/>
  <c r="C12515"/>
  <c r="D12515"/>
  <c r="C12516"/>
  <c r="D12516"/>
  <c r="C12517"/>
  <c r="D12517"/>
  <c r="C12518"/>
  <c r="D12518"/>
  <c r="C12519"/>
  <c r="D12519"/>
  <c r="C12520"/>
  <c r="D12520"/>
  <c r="C12521"/>
  <c r="D12521"/>
  <c r="C12522"/>
  <c r="D12522"/>
  <c r="C12523"/>
  <c r="D12523"/>
  <c r="C12524"/>
  <c r="D12524"/>
  <c r="C12525"/>
  <c r="D12525"/>
  <c r="C12526"/>
  <c r="D12526"/>
  <c r="C12527"/>
  <c r="D12527"/>
  <c r="C12528"/>
  <c r="D12528"/>
  <c r="C12529"/>
  <c r="D12529"/>
  <c r="C12530"/>
  <c r="D12530"/>
  <c r="C12531"/>
  <c r="D12531"/>
  <c r="C12532"/>
  <c r="D12532"/>
  <c r="C12533"/>
  <c r="D12533"/>
  <c r="C12534"/>
  <c r="D12534"/>
  <c r="C12535"/>
  <c r="D12535"/>
  <c r="C12536"/>
  <c r="D12536"/>
  <c r="C12537"/>
  <c r="D12537"/>
  <c r="C12538"/>
  <c r="D12538"/>
  <c r="C12539"/>
  <c r="D12539"/>
  <c r="C12540"/>
  <c r="D12540"/>
  <c r="C12541"/>
  <c r="D12541"/>
  <c r="C12542"/>
  <c r="D12542"/>
  <c r="C12543"/>
  <c r="D12543"/>
  <c r="C12544"/>
  <c r="D12544"/>
  <c r="C12545"/>
  <c r="D12545"/>
  <c r="C12546"/>
  <c r="D12546"/>
  <c r="C12547"/>
  <c r="D12547"/>
  <c r="C12548"/>
  <c r="D12548"/>
  <c r="C12549"/>
  <c r="D12549"/>
  <c r="C12550"/>
  <c r="D12550"/>
  <c r="C12551"/>
  <c r="D12551"/>
  <c r="C12552"/>
  <c r="D12552"/>
  <c r="C12553"/>
  <c r="D12553"/>
  <c r="C12554"/>
  <c r="D12554"/>
  <c r="C12555"/>
  <c r="D12555"/>
  <c r="C12556"/>
  <c r="D12556"/>
  <c r="C12557"/>
  <c r="D12557"/>
  <c r="C12558"/>
  <c r="D12558"/>
  <c r="C12559"/>
  <c r="D12559"/>
  <c r="C12560"/>
  <c r="D12560"/>
  <c r="C12561"/>
  <c r="D12561"/>
  <c r="C12562"/>
  <c r="D12562"/>
  <c r="C12563"/>
  <c r="D12563"/>
  <c r="C12564"/>
  <c r="D12564"/>
  <c r="C12565"/>
  <c r="D12565"/>
  <c r="C12566"/>
  <c r="D12566"/>
  <c r="C12567"/>
  <c r="D12567"/>
  <c r="C12568"/>
  <c r="D12568"/>
  <c r="C12569"/>
  <c r="D12569"/>
  <c r="C12570"/>
  <c r="D12570"/>
  <c r="C12571"/>
  <c r="D12571"/>
  <c r="C12572"/>
  <c r="D12572"/>
  <c r="C12573"/>
  <c r="D12573"/>
  <c r="C12574"/>
  <c r="D12574"/>
  <c r="C12575"/>
  <c r="D12575"/>
  <c r="C12576"/>
  <c r="D12576"/>
  <c r="C12577"/>
  <c r="D12577"/>
  <c r="C12578"/>
  <c r="D12578"/>
  <c r="C12579"/>
  <c r="D12579"/>
  <c r="C12580"/>
  <c r="D12580"/>
  <c r="C12581"/>
  <c r="D12581"/>
  <c r="C12582"/>
  <c r="D12582"/>
  <c r="C12583"/>
  <c r="D12583"/>
  <c r="C12584"/>
  <c r="D12584"/>
  <c r="C12585"/>
  <c r="D12585"/>
  <c r="C12586"/>
  <c r="D12586"/>
  <c r="C12587"/>
  <c r="D12587"/>
  <c r="C12588"/>
  <c r="D12588"/>
  <c r="C12589"/>
  <c r="D12589"/>
  <c r="C12590"/>
  <c r="D12590"/>
  <c r="C12591"/>
  <c r="D12591"/>
  <c r="C12592"/>
  <c r="D12592"/>
  <c r="C12593"/>
  <c r="D12593"/>
  <c r="C12594"/>
  <c r="D12594"/>
  <c r="C12595"/>
  <c r="D12595"/>
  <c r="C12596"/>
  <c r="D12596"/>
  <c r="C12597"/>
  <c r="D12597"/>
  <c r="C12598"/>
  <c r="D12598"/>
  <c r="C12599"/>
  <c r="D12599"/>
  <c r="C12600"/>
  <c r="D12600"/>
  <c r="C12601"/>
  <c r="D12601"/>
  <c r="C12602"/>
  <c r="D12602"/>
  <c r="C12603"/>
  <c r="D12603"/>
  <c r="C12604"/>
  <c r="D12604"/>
  <c r="C12605"/>
  <c r="D12605"/>
  <c r="C12606"/>
  <c r="D12606"/>
  <c r="C12607"/>
  <c r="D12607"/>
  <c r="C12608"/>
  <c r="D12608"/>
  <c r="C12609"/>
  <c r="D12609"/>
  <c r="C12610"/>
  <c r="D12610"/>
  <c r="C12611"/>
  <c r="D12611"/>
  <c r="C12612"/>
  <c r="D12612"/>
  <c r="C12613"/>
  <c r="D12613"/>
  <c r="C12614"/>
  <c r="D12614"/>
  <c r="C12615"/>
  <c r="D12615"/>
  <c r="C12616"/>
  <c r="D12616"/>
  <c r="C12617"/>
  <c r="D12617"/>
  <c r="C12618"/>
  <c r="D12618"/>
  <c r="C12619"/>
  <c r="D12619"/>
  <c r="C12620"/>
  <c r="D12620"/>
  <c r="C12621"/>
  <c r="D12621"/>
  <c r="C12622"/>
  <c r="D12622"/>
  <c r="C12623"/>
  <c r="D12623"/>
  <c r="C12624"/>
  <c r="D12624"/>
  <c r="C12625"/>
  <c r="D12625"/>
  <c r="C12626"/>
  <c r="D12626"/>
  <c r="C12627"/>
  <c r="D12627"/>
  <c r="C12628"/>
  <c r="D12628"/>
  <c r="C12629"/>
  <c r="D12629"/>
  <c r="C12630"/>
  <c r="D12630"/>
  <c r="C12631"/>
  <c r="D12631"/>
  <c r="C12632"/>
  <c r="D12632"/>
  <c r="C12633"/>
  <c r="D12633"/>
  <c r="C12634"/>
  <c r="D12634"/>
  <c r="C12635"/>
  <c r="D12635"/>
  <c r="C12636"/>
  <c r="D12636"/>
  <c r="C12637"/>
  <c r="D12637"/>
  <c r="C12638"/>
  <c r="D12638"/>
  <c r="C12639"/>
  <c r="D12639"/>
  <c r="C12640"/>
  <c r="D12640"/>
  <c r="C12641"/>
  <c r="D12641"/>
  <c r="C12642"/>
  <c r="D12642"/>
  <c r="C12643"/>
  <c r="D12643"/>
  <c r="C12644"/>
  <c r="D12644"/>
  <c r="C12645"/>
  <c r="D12645"/>
  <c r="C12646"/>
  <c r="D12646"/>
  <c r="C12647"/>
  <c r="D12647"/>
  <c r="C12648"/>
  <c r="D12648"/>
  <c r="C12649"/>
  <c r="D12649"/>
  <c r="C12650"/>
  <c r="D12650"/>
  <c r="C12651"/>
  <c r="D12651"/>
  <c r="C12652"/>
  <c r="D12652"/>
  <c r="C12653"/>
  <c r="D12653"/>
  <c r="C12654"/>
  <c r="D12654"/>
  <c r="C12655"/>
  <c r="D12655"/>
  <c r="C12656"/>
  <c r="D12656"/>
  <c r="C12657"/>
  <c r="D12657"/>
  <c r="C12658"/>
  <c r="D12658"/>
  <c r="C12659"/>
  <c r="D12659"/>
  <c r="C12660"/>
  <c r="D12660"/>
  <c r="C12661"/>
  <c r="D12661"/>
  <c r="C12662"/>
  <c r="D12662"/>
  <c r="C12663"/>
  <c r="D12663"/>
  <c r="C12664"/>
  <c r="D12664"/>
  <c r="C12665"/>
  <c r="D12665"/>
  <c r="C12666"/>
  <c r="D12666"/>
  <c r="C12667"/>
  <c r="D12667"/>
  <c r="C12668"/>
  <c r="D12668"/>
  <c r="C12669"/>
  <c r="D12669"/>
  <c r="C12670"/>
  <c r="D12670"/>
  <c r="C12671"/>
  <c r="D12671"/>
  <c r="C12672"/>
  <c r="D12672"/>
  <c r="C12673"/>
  <c r="D12673"/>
  <c r="C12674"/>
  <c r="D12674"/>
  <c r="C12675"/>
  <c r="D12675"/>
  <c r="C12676"/>
  <c r="D12676"/>
  <c r="C12677"/>
  <c r="D12677"/>
  <c r="C12678"/>
  <c r="D12678"/>
  <c r="C12679"/>
  <c r="D12679"/>
  <c r="C12680"/>
  <c r="D12680"/>
  <c r="C12681"/>
  <c r="D12681"/>
  <c r="C12682"/>
  <c r="D12682"/>
  <c r="C12683"/>
  <c r="D12683"/>
  <c r="C12684"/>
  <c r="D12684"/>
  <c r="C12685"/>
  <c r="D12685"/>
  <c r="C12686"/>
  <c r="D12686"/>
  <c r="C12687"/>
  <c r="D12687"/>
  <c r="C12688"/>
  <c r="D12688"/>
  <c r="C12689"/>
  <c r="D12689"/>
  <c r="C12690"/>
  <c r="D12690"/>
  <c r="C12691"/>
  <c r="D12691"/>
  <c r="C12692"/>
  <c r="D12692"/>
  <c r="C12693"/>
  <c r="D12693"/>
  <c r="C12694"/>
  <c r="D12694"/>
  <c r="C12695"/>
  <c r="D12695"/>
  <c r="C12696"/>
  <c r="D12696"/>
  <c r="C12697"/>
  <c r="D12697"/>
  <c r="C12698"/>
  <c r="D12698"/>
  <c r="C12699"/>
  <c r="D12699"/>
  <c r="C12700"/>
  <c r="D12700"/>
  <c r="C12701"/>
  <c r="D12701"/>
  <c r="C12702"/>
  <c r="D12702"/>
  <c r="C12703"/>
  <c r="D12703"/>
  <c r="C12704"/>
  <c r="D12704"/>
  <c r="C12705"/>
  <c r="D12705"/>
  <c r="C12706"/>
  <c r="D12706"/>
  <c r="C12707"/>
  <c r="D12707"/>
  <c r="C12708"/>
  <c r="D12708"/>
  <c r="C12709"/>
  <c r="D12709"/>
  <c r="C12710"/>
  <c r="D12710"/>
  <c r="C12711"/>
  <c r="D12711"/>
  <c r="C12712"/>
  <c r="D12712"/>
  <c r="C12713"/>
  <c r="D12713"/>
  <c r="C12714"/>
  <c r="D12714"/>
  <c r="C12715"/>
  <c r="D12715"/>
  <c r="C12716"/>
  <c r="D12716"/>
  <c r="C12717"/>
  <c r="D12717"/>
  <c r="C12718"/>
  <c r="D12718"/>
  <c r="C12719"/>
  <c r="D12719"/>
  <c r="C12720"/>
  <c r="D12720"/>
  <c r="C12721"/>
  <c r="D12721"/>
  <c r="C12722"/>
  <c r="D12722"/>
  <c r="C12723"/>
  <c r="D12723"/>
  <c r="C12724"/>
  <c r="D12724"/>
  <c r="C12725"/>
  <c r="D12725"/>
  <c r="C12726"/>
  <c r="D12726"/>
  <c r="C12727"/>
  <c r="D12727"/>
  <c r="C12728"/>
  <c r="D12728"/>
  <c r="C12729"/>
  <c r="D12729"/>
  <c r="C12730"/>
  <c r="D12730"/>
  <c r="C12731"/>
  <c r="D12731"/>
  <c r="C12732"/>
  <c r="D12732"/>
  <c r="C12733"/>
  <c r="D12733"/>
  <c r="C12734"/>
  <c r="D12734"/>
  <c r="C12735"/>
  <c r="D12735"/>
  <c r="C12736"/>
  <c r="D12736"/>
  <c r="C12737"/>
  <c r="D12737"/>
  <c r="C12738"/>
  <c r="D12738"/>
  <c r="C12739"/>
  <c r="D12739"/>
  <c r="C12740"/>
  <c r="D12740"/>
  <c r="C12741"/>
  <c r="D12741"/>
  <c r="C12742"/>
  <c r="D12742"/>
  <c r="C12743"/>
  <c r="D12743"/>
  <c r="C12744"/>
  <c r="D12744"/>
  <c r="C12745"/>
  <c r="D12745"/>
  <c r="C12746"/>
  <c r="D12746"/>
  <c r="C12747"/>
  <c r="D12747"/>
  <c r="C12748"/>
  <c r="D12748"/>
  <c r="C12749"/>
  <c r="D12749"/>
  <c r="C12750"/>
  <c r="D12750"/>
  <c r="C12751"/>
  <c r="D12751"/>
  <c r="C12752"/>
  <c r="D12752"/>
  <c r="C12753"/>
  <c r="D12753"/>
  <c r="C12754"/>
  <c r="D12754"/>
  <c r="C12755"/>
  <c r="D12755"/>
  <c r="C12756"/>
  <c r="D12756"/>
  <c r="C12757"/>
  <c r="D12757"/>
  <c r="C12758"/>
  <c r="D12758"/>
  <c r="C12759"/>
  <c r="D12759"/>
  <c r="C12760"/>
  <c r="D12760"/>
  <c r="C12761"/>
  <c r="D12761"/>
  <c r="C12762"/>
  <c r="D12762"/>
  <c r="C12763"/>
  <c r="D12763"/>
  <c r="C12764"/>
  <c r="D12764"/>
  <c r="C12765"/>
  <c r="D12765"/>
  <c r="C12766"/>
  <c r="D12766"/>
  <c r="C12767"/>
  <c r="D12767"/>
  <c r="C12768"/>
  <c r="D12768"/>
  <c r="C12769"/>
  <c r="D12769"/>
  <c r="C12770"/>
  <c r="D12770"/>
  <c r="C12771"/>
  <c r="D12771"/>
  <c r="C12772"/>
  <c r="D12772"/>
  <c r="C12773"/>
  <c r="D12773"/>
  <c r="C12774"/>
  <c r="D12774"/>
  <c r="C12775"/>
  <c r="D12775"/>
  <c r="C12776"/>
  <c r="D12776"/>
  <c r="C12777"/>
  <c r="D12777"/>
  <c r="C12778"/>
  <c r="D12778"/>
  <c r="C12779"/>
  <c r="D12779"/>
  <c r="C12780"/>
  <c r="D12780"/>
  <c r="C12781"/>
  <c r="D12781"/>
  <c r="C12782"/>
  <c r="D12782"/>
  <c r="C12783"/>
  <c r="D12783"/>
  <c r="C12784"/>
  <c r="D12784"/>
  <c r="C12785"/>
  <c r="D12785"/>
  <c r="C12786"/>
  <c r="D12786"/>
  <c r="C12787"/>
  <c r="D12787"/>
  <c r="C12788"/>
  <c r="D12788"/>
  <c r="C12789"/>
  <c r="D12789"/>
  <c r="C12790"/>
  <c r="D12790"/>
  <c r="C12791"/>
  <c r="D12791"/>
  <c r="C12792"/>
  <c r="D12792"/>
  <c r="C12793"/>
  <c r="D12793"/>
  <c r="C12794"/>
  <c r="D12794"/>
  <c r="C12795"/>
  <c r="D12795"/>
  <c r="C12796"/>
  <c r="D12796"/>
  <c r="C12797"/>
  <c r="D12797"/>
  <c r="C12798"/>
  <c r="D12798"/>
  <c r="C12799"/>
  <c r="D12799"/>
  <c r="C12800"/>
  <c r="D12800"/>
  <c r="C12801"/>
  <c r="D12801"/>
  <c r="C12802"/>
  <c r="D12802"/>
  <c r="C12803"/>
  <c r="D12803"/>
  <c r="C12804"/>
  <c r="D12804"/>
  <c r="C12805"/>
  <c r="D12805"/>
  <c r="C12806"/>
  <c r="D12806"/>
  <c r="C12807"/>
  <c r="D12807"/>
  <c r="C12808"/>
  <c r="D12808"/>
  <c r="C12809"/>
  <c r="D12809"/>
  <c r="C12810"/>
  <c r="D12810"/>
  <c r="C12811"/>
  <c r="D12811"/>
  <c r="C12812"/>
  <c r="D12812"/>
  <c r="C12813"/>
  <c r="D12813"/>
  <c r="C12814"/>
  <c r="D12814"/>
  <c r="C12815"/>
  <c r="D12815"/>
  <c r="C12816"/>
  <c r="D12816"/>
  <c r="C12817"/>
  <c r="D12817"/>
  <c r="C12818"/>
  <c r="D12818"/>
  <c r="C12819"/>
  <c r="D12819"/>
  <c r="C12820"/>
  <c r="D12820"/>
  <c r="C12821"/>
  <c r="D12821"/>
  <c r="C12822"/>
  <c r="D12822"/>
  <c r="C12823"/>
  <c r="D12823"/>
  <c r="C12824"/>
  <c r="D12824"/>
  <c r="C12825"/>
  <c r="D12825"/>
  <c r="C12826"/>
  <c r="D12826"/>
  <c r="C12827"/>
  <c r="D12827"/>
  <c r="C12828"/>
  <c r="D12828"/>
  <c r="C12829"/>
  <c r="D12829"/>
  <c r="C12830"/>
  <c r="D12830"/>
  <c r="C12831"/>
  <c r="D12831"/>
  <c r="C12832"/>
  <c r="D12832"/>
  <c r="C12833"/>
  <c r="D12833"/>
  <c r="C12834"/>
  <c r="D12834"/>
  <c r="C12835"/>
  <c r="D12835"/>
  <c r="C12836"/>
  <c r="D12836"/>
  <c r="C12837"/>
  <c r="D12837"/>
  <c r="C12838"/>
  <c r="D12838"/>
  <c r="C12839"/>
  <c r="D12839"/>
  <c r="C12840"/>
  <c r="D12840"/>
  <c r="C12841"/>
  <c r="D12841"/>
  <c r="C12842"/>
  <c r="D12842"/>
  <c r="C12843"/>
  <c r="D12843"/>
  <c r="C12844"/>
  <c r="D12844"/>
  <c r="C12845"/>
  <c r="D12845"/>
  <c r="C12846"/>
  <c r="D12846"/>
  <c r="C12847"/>
  <c r="D12847"/>
  <c r="C12848"/>
  <c r="D12848"/>
  <c r="C12849"/>
  <c r="D12849"/>
  <c r="C12850"/>
  <c r="D12850"/>
  <c r="C12851"/>
  <c r="D12851"/>
  <c r="C12852"/>
  <c r="D12852"/>
  <c r="C12853"/>
  <c r="D12853"/>
  <c r="C12854"/>
  <c r="D12854"/>
  <c r="C12855"/>
  <c r="D12855"/>
  <c r="C12856"/>
  <c r="D12856"/>
  <c r="C12857"/>
  <c r="D12857"/>
  <c r="C12858"/>
  <c r="D12858"/>
  <c r="C12859"/>
  <c r="D12859"/>
  <c r="C12860"/>
  <c r="D12860"/>
  <c r="C12861"/>
  <c r="D12861"/>
  <c r="C12862"/>
  <c r="D12862"/>
  <c r="C12863"/>
  <c r="D12863"/>
  <c r="C12864"/>
  <c r="D12864"/>
  <c r="C12865"/>
  <c r="D12865"/>
  <c r="C12866"/>
  <c r="D12866"/>
  <c r="C12867"/>
  <c r="D12867"/>
  <c r="C12868"/>
  <c r="D12868"/>
  <c r="C12869"/>
  <c r="D12869"/>
  <c r="C12870"/>
  <c r="D12870"/>
  <c r="C12871"/>
  <c r="D12871"/>
  <c r="C12872"/>
  <c r="D12872"/>
  <c r="C12873"/>
  <c r="D12873"/>
  <c r="C12874"/>
  <c r="D12874"/>
  <c r="C12875"/>
  <c r="D12875"/>
  <c r="C12876"/>
  <c r="D12876"/>
  <c r="C12877"/>
  <c r="D12877"/>
  <c r="C12878"/>
  <c r="D12878"/>
  <c r="C12879"/>
  <c r="D12879"/>
  <c r="C12880"/>
  <c r="D12880"/>
  <c r="C12881"/>
  <c r="D12881"/>
  <c r="C12882"/>
  <c r="D12882"/>
  <c r="C12883"/>
  <c r="D12883"/>
  <c r="C12884"/>
  <c r="D12884"/>
  <c r="C12885"/>
  <c r="D12885"/>
  <c r="C12886"/>
  <c r="D12886"/>
  <c r="C12887"/>
  <c r="D12887"/>
  <c r="C12888"/>
  <c r="D12888"/>
  <c r="C12889"/>
  <c r="D12889"/>
  <c r="C12890"/>
  <c r="D12890"/>
  <c r="C12891"/>
  <c r="D12891"/>
  <c r="C12892"/>
  <c r="D12892"/>
  <c r="C12893"/>
  <c r="D12893"/>
  <c r="C12894"/>
  <c r="D12894"/>
  <c r="C12895"/>
  <c r="D12895"/>
  <c r="C12896"/>
  <c r="D12896"/>
  <c r="C12897"/>
  <c r="D12897"/>
  <c r="C12898"/>
  <c r="D12898"/>
  <c r="C12899"/>
  <c r="D12899"/>
  <c r="C12900"/>
  <c r="D12900"/>
  <c r="C12901"/>
  <c r="D12901"/>
  <c r="C12902"/>
  <c r="D12902"/>
  <c r="C12903"/>
  <c r="D12903"/>
  <c r="C12904"/>
  <c r="D12904"/>
  <c r="C12905"/>
  <c r="D12905"/>
  <c r="C12906"/>
  <c r="D12906"/>
  <c r="C12907"/>
  <c r="D12907"/>
  <c r="C12908"/>
  <c r="D12908"/>
  <c r="C12909"/>
  <c r="D12909"/>
  <c r="C12910"/>
  <c r="D12910"/>
  <c r="C12911"/>
  <c r="D12911"/>
  <c r="C12912"/>
  <c r="D12912"/>
  <c r="C12913"/>
  <c r="D12913"/>
  <c r="C12914"/>
  <c r="D12914"/>
  <c r="C12915"/>
  <c r="D12915"/>
  <c r="C12916"/>
  <c r="D12916"/>
  <c r="C12917"/>
  <c r="D12917"/>
  <c r="C12918"/>
  <c r="D12918"/>
  <c r="C12919"/>
  <c r="D12919"/>
  <c r="C12920"/>
  <c r="D12920"/>
  <c r="C12921"/>
  <c r="D12921"/>
  <c r="C12922"/>
  <c r="D12922"/>
  <c r="C12923"/>
  <c r="D12923"/>
  <c r="C12924"/>
  <c r="D12924"/>
  <c r="C12925"/>
  <c r="D12925"/>
  <c r="C12926"/>
  <c r="D12926"/>
  <c r="C12927"/>
  <c r="D12927"/>
  <c r="C12928"/>
  <c r="D12928"/>
  <c r="C12929"/>
  <c r="D12929"/>
  <c r="C12930"/>
  <c r="D12930"/>
  <c r="C12931"/>
  <c r="D12931"/>
  <c r="C12932"/>
  <c r="D12932"/>
  <c r="C12933"/>
  <c r="D12933"/>
  <c r="C12934"/>
  <c r="D12934"/>
  <c r="C12935"/>
  <c r="D12935"/>
  <c r="C12936"/>
  <c r="D12936"/>
  <c r="C12937"/>
  <c r="D12937"/>
  <c r="C12938"/>
  <c r="D12938"/>
  <c r="C12939"/>
  <c r="D12939"/>
  <c r="C12940"/>
  <c r="D12940"/>
  <c r="C12941"/>
  <c r="D12941"/>
  <c r="C12942"/>
  <c r="D12942"/>
  <c r="C12943"/>
  <c r="D12943"/>
  <c r="C12944"/>
  <c r="D12944"/>
  <c r="C12945"/>
  <c r="D12945"/>
  <c r="C12946"/>
  <c r="D12946"/>
  <c r="C12947"/>
  <c r="D12947"/>
  <c r="C12948"/>
  <c r="D12948"/>
  <c r="C12949"/>
  <c r="D12949"/>
  <c r="C12950"/>
  <c r="D12950"/>
  <c r="C12951"/>
  <c r="D12951"/>
  <c r="C12952"/>
  <c r="D12952"/>
  <c r="C12953"/>
  <c r="D12953"/>
  <c r="C12954"/>
  <c r="D12954"/>
  <c r="C12955"/>
  <c r="D12955"/>
  <c r="C12956"/>
  <c r="D12956"/>
  <c r="C12957"/>
  <c r="D12957"/>
  <c r="C12958"/>
  <c r="D12958"/>
  <c r="C12959"/>
  <c r="D12959"/>
  <c r="C12960"/>
  <c r="D12960"/>
  <c r="C12961"/>
  <c r="D12961"/>
  <c r="C12962"/>
  <c r="D12962"/>
  <c r="C12963"/>
  <c r="D12963"/>
  <c r="C12964"/>
  <c r="D12964"/>
  <c r="C12965"/>
  <c r="D12965"/>
  <c r="C12966"/>
  <c r="D12966"/>
  <c r="C12967"/>
  <c r="D12967"/>
  <c r="C12968"/>
  <c r="D12968"/>
  <c r="C12969"/>
  <c r="D12969"/>
  <c r="C12970"/>
  <c r="D12970"/>
  <c r="C12971"/>
  <c r="D12971"/>
  <c r="C12972"/>
  <c r="D12972"/>
  <c r="C12973"/>
  <c r="D12973"/>
  <c r="C12974"/>
  <c r="D12974"/>
  <c r="C12975"/>
  <c r="D12975"/>
  <c r="C12976"/>
  <c r="D12976"/>
  <c r="C12977"/>
  <c r="D12977"/>
  <c r="C12978"/>
  <c r="D12978"/>
  <c r="C12979"/>
  <c r="D12979"/>
  <c r="C12980"/>
  <c r="D12980"/>
  <c r="C12981"/>
  <c r="D12981"/>
  <c r="C12982"/>
  <c r="D12982"/>
  <c r="C12983"/>
  <c r="D12983"/>
  <c r="C12984"/>
  <c r="D12984"/>
  <c r="C12985"/>
  <c r="D12985"/>
  <c r="C12986"/>
  <c r="D12986"/>
  <c r="C12987"/>
  <c r="D12987"/>
  <c r="C12988"/>
  <c r="D12988"/>
  <c r="C12989"/>
  <c r="D12989"/>
  <c r="C12990"/>
  <c r="D12990"/>
  <c r="C12991"/>
  <c r="D12991"/>
  <c r="C12992"/>
  <c r="D12992"/>
  <c r="C12993"/>
  <c r="D12993"/>
  <c r="C12994"/>
  <c r="D12994"/>
  <c r="C12995"/>
  <c r="D12995"/>
  <c r="C12996"/>
  <c r="D12996"/>
  <c r="C12997"/>
  <c r="D12997"/>
  <c r="C12998"/>
  <c r="D12998"/>
  <c r="C12999"/>
  <c r="D12999"/>
  <c r="C13000"/>
  <c r="D13000"/>
  <c r="C13001"/>
  <c r="D13001"/>
  <c r="C13002"/>
  <c r="D13002"/>
  <c r="C13003"/>
  <c r="D13003"/>
  <c r="C13004"/>
  <c r="D13004"/>
  <c r="C13005"/>
  <c r="D13005"/>
  <c r="C13006"/>
  <c r="D13006"/>
  <c r="C13007"/>
  <c r="D13007"/>
  <c r="C13008"/>
  <c r="D13008"/>
  <c r="C13009"/>
  <c r="D13009"/>
  <c r="C13010"/>
  <c r="D13010"/>
  <c r="C13011"/>
  <c r="D13011"/>
  <c r="C13012"/>
  <c r="D13012"/>
  <c r="C13013"/>
  <c r="D13013"/>
  <c r="C13014"/>
  <c r="D13014"/>
  <c r="C13015"/>
  <c r="D13015"/>
  <c r="C13016"/>
  <c r="D13016"/>
  <c r="C13017"/>
  <c r="D13017"/>
  <c r="C13018"/>
  <c r="D13018"/>
  <c r="C13019"/>
  <c r="D13019"/>
  <c r="C13020"/>
  <c r="D13020"/>
  <c r="C13021"/>
  <c r="D13021"/>
  <c r="C13022"/>
  <c r="D13022"/>
  <c r="C13023"/>
  <c r="D13023"/>
  <c r="C13024"/>
  <c r="D13024"/>
  <c r="C13025"/>
  <c r="D13025"/>
  <c r="C13026"/>
  <c r="D13026"/>
  <c r="C13027"/>
  <c r="D13027"/>
  <c r="C13028"/>
  <c r="D13028"/>
  <c r="C13029"/>
  <c r="D13029"/>
  <c r="C13030"/>
  <c r="D13030"/>
  <c r="C13031"/>
  <c r="D13031"/>
  <c r="C13032"/>
  <c r="D13032"/>
  <c r="C13033"/>
  <c r="D13033"/>
  <c r="C13034"/>
  <c r="D13034"/>
  <c r="C13035"/>
  <c r="D13035"/>
  <c r="C13036"/>
  <c r="D13036"/>
  <c r="C13037"/>
  <c r="D13037"/>
  <c r="C13038"/>
  <c r="D13038"/>
  <c r="C13039"/>
  <c r="D13039"/>
  <c r="C13040"/>
  <c r="D13040"/>
  <c r="C13041"/>
  <c r="D13041"/>
  <c r="C13042"/>
  <c r="D13042"/>
  <c r="C13043"/>
  <c r="D13043"/>
  <c r="C13044"/>
  <c r="D13044"/>
  <c r="C13045"/>
  <c r="D13045"/>
  <c r="C13046"/>
  <c r="D13046"/>
  <c r="C13047"/>
  <c r="D13047"/>
  <c r="C13048"/>
  <c r="D13048"/>
  <c r="C13049"/>
  <c r="D13049"/>
  <c r="C13050"/>
  <c r="D13050"/>
  <c r="C13051"/>
  <c r="D13051"/>
  <c r="C13052"/>
  <c r="D13052"/>
  <c r="C13053"/>
  <c r="D13053"/>
  <c r="C13054"/>
  <c r="D13054"/>
  <c r="C13055"/>
  <c r="D13055"/>
  <c r="C13056"/>
  <c r="D13056"/>
  <c r="C13057"/>
  <c r="D13057"/>
  <c r="C13058"/>
  <c r="D13058"/>
  <c r="C13059"/>
  <c r="D13059"/>
  <c r="C13060"/>
  <c r="D13060"/>
  <c r="C13061"/>
  <c r="D13061"/>
  <c r="C13062"/>
  <c r="D13062"/>
  <c r="C13063"/>
  <c r="D13063"/>
  <c r="C13064"/>
  <c r="D13064"/>
  <c r="C13065"/>
  <c r="D13065"/>
  <c r="C13066"/>
  <c r="D13066"/>
  <c r="C13067"/>
  <c r="D13067"/>
  <c r="C13068"/>
  <c r="D13068"/>
  <c r="C13069"/>
  <c r="D13069"/>
  <c r="C13070"/>
  <c r="D13070"/>
  <c r="C13071"/>
  <c r="D13071"/>
  <c r="C13072"/>
  <c r="D13072"/>
  <c r="C13073"/>
  <c r="D13073"/>
  <c r="C13074"/>
  <c r="D13074"/>
  <c r="C13075"/>
  <c r="D13075"/>
  <c r="C13076"/>
  <c r="D13076"/>
  <c r="C13077"/>
  <c r="D13077"/>
  <c r="C13078"/>
  <c r="D13078"/>
  <c r="C13079"/>
  <c r="D13079"/>
  <c r="C13080"/>
  <c r="D13080"/>
  <c r="C13081"/>
  <c r="D13081"/>
  <c r="C13082"/>
  <c r="D13082"/>
  <c r="C13083"/>
  <c r="D13083"/>
  <c r="C13084"/>
  <c r="D13084"/>
  <c r="C13085"/>
  <c r="D13085"/>
  <c r="C13086"/>
  <c r="D13086"/>
  <c r="C13087"/>
  <c r="D13087"/>
  <c r="C13088"/>
  <c r="D13088"/>
  <c r="C13089"/>
  <c r="D13089"/>
  <c r="C13090"/>
  <c r="D13090"/>
  <c r="C13091"/>
  <c r="D13091"/>
  <c r="C13092"/>
  <c r="D13092"/>
  <c r="C13093"/>
  <c r="D13093"/>
  <c r="C13094"/>
  <c r="D13094"/>
  <c r="C13095"/>
  <c r="D13095"/>
  <c r="C13096"/>
  <c r="D13096"/>
  <c r="C13097"/>
  <c r="D13097"/>
  <c r="C13098"/>
  <c r="D13098"/>
  <c r="C13099"/>
  <c r="D13099"/>
  <c r="C13100"/>
  <c r="D13100"/>
  <c r="C13101"/>
  <c r="D13101"/>
  <c r="C13102"/>
  <c r="D13102"/>
  <c r="C13103"/>
  <c r="D13103"/>
  <c r="C13104"/>
  <c r="D13104"/>
  <c r="C13105"/>
  <c r="D13105"/>
  <c r="C13106"/>
  <c r="D13106"/>
  <c r="C13107"/>
  <c r="D13107"/>
  <c r="C13108"/>
  <c r="D13108"/>
  <c r="C13109"/>
  <c r="D13109"/>
  <c r="C13110"/>
  <c r="D13110"/>
  <c r="C13111"/>
  <c r="D13111"/>
  <c r="C13112"/>
  <c r="D13112"/>
  <c r="C13113"/>
  <c r="D13113"/>
  <c r="C13114"/>
  <c r="D13114"/>
  <c r="C13115"/>
  <c r="D13115"/>
  <c r="C13116"/>
  <c r="D13116"/>
  <c r="C13117"/>
  <c r="D13117"/>
  <c r="C13118"/>
  <c r="D13118"/>
  <c r="C13119"/>
  <c r="D13119"/>
  <c r="C13120"/>
  <c r="D13120"/>
  <c r="C13121"/>
  <c r="D13121"/>
  <c r="C13122"/>
  <c r="D13122"/>
  <c r="C13123"/>
  <c r="D13123"/>
  <c r="C13124"/>
  <c r="D13124"/>
  <c r="C13125"/>
  <c r="D13125"/>
  <c r="C13126"/>
  <c r="D13126"/>
  <c r="C13127"/>
  <c r="D13127"/>
  <c r="C13128"/>
  <c r="D13128"/>
  <c r="C13129"/>
  <c r="D13129"/>
  <c r="C13130"/>
  <c r="D13130"/>
  <c r="C13131"/>
  <c r="D13131"/>
  <c r="C13132"/>
  <c r="D13132"/>
  <c r="C13133"/>
  <c r="D13133"/>
  <c r="C13134"/>
  <c r="D13134"/>
  <c r="C13135"/>
  <c r="D13135"/>
  <c r="C13136"/>
  <c r="D13136"/>
  <c r="C13137"/>
  <c r="D13137"/>
  <c r="C13138"/>
  <c r="D13138"/>
  <c r="C13139"/>
  <c r="D13139"/>
  <c r="C13140"/>
  <c r="D13140"/>
  <c r="C13141"/>
  <c r="D13141"/>
  <c r="C13142"/>
  <c r="D13142"/>
  <c r="C13143"/>
  <c r="D13143"/>
  <c r="C13144"/>
  <c r="D13144"/>
  <c r="C13145"/>
  <c r="D13145"/>
  <c r="C13146"/>
  <c r="D13146"/>
  <c r="C13147"/>
  <c r="D13147"/>
  <c r="C13148"/>
  <c r="D13148"/>
  <c r="C13149"/>
  <c r="D13149"/>
  <c r="C13150"/>
  <c r="D13150"/>
  <c r="C13151"/>
  <c r="D13151"/>
  <c r="C13152"/>
  <c r="D13152"/>
  <c r="C13153"/>
  <c r="D13153"/>
  <c r="C13154"/>
  <c r="D13154"/>
  <c r="C13155"/>
  <c r="D13155"/>
  <c r="C13156"/>
  <c r="D13156"/>
  <c r="C13157"/>
  <c r="D13157"/>
  <c r="C13158"/>
  <c r="D13158"/>
  <c r="C13159"/>
  <c r="D13159"/>
  <c r="C13160"/>
  <c r="D13160"/>
  <c r="C13161"/>
  <c r="D13161"/>
  <c r="C13162"/>
  <c r="D13162"/>
  <c r="C13163"/>
  <c r="D13163"/>
  <c r="C13164"/>
  <c r="D13164"/>
  <c r="C13165"/>
  <c r="D13165"/>
  <c r="C13166"/>
  <c r="D13166"/>
  <c r="C13167"/>
  <c r="D13167"/>
  <c r="C13168"/>
  <c r="D13168"/>
  <c r="C13169"/>
  <c r="D13169"/>
  <c r="C13170"/>
  <c r="D13170"/>
  <c r="C13171"/>
  <c r="D13171"/>
  <c r="C13172"/>
  <c r="D13172"/>
  <c r="C13173"/>
  <c r="D13173"/>
  <c r="C13174"/>
  <c r="D13174"/>
  <c r="C13175"/>
  <c r="D13175"/>
  <c r="C13176"/>
  <c r="D13176"/>
  <c r="C13177"/>
  <c r="D13177"/>
  <c r="C13178"/>
  <c r="D13178"/>
  <c r="C13179"/>
  <c r="D13179"/>
  <c r="C13180"/>
  <c r="D13180"/>
  <c r="C13181"/>
  <c r="D13181"/>
  <c r="C13182"/>
  <c r="D13182"/>
  <c r="C13183"/>
  <c r="D13183"/>
  <c r="C13184"/>
  <c r="D13184"/>
  <c r="C13185"/>
  <c r="D13185"/>
  <c r="C13186"/>
  <c r="D13186"/>
  <c r="C13187"/>
  <c r="D13187"/>
  <c r="C13188"/>
  <c r="D13188"/>
  <c r="C13189"/>
  <c r="D13189"/>
  <c r="C13190"/>
  <c r="D13190"/>
  <c r="C13191"/>
  <c r="D13191"/>
  <c r="C13192"/>
  <c r="D13192"/>
  <c r="C13193"/>
  <c r="D13193"/>
  <c r="C13194"/>
  <c r="D13194"/>
  <c r="C13195"/>
  <c r="D13195"/>
  <c r="C13196"/>
  <c r="D13196"/>
  <c r="C13197"/>
  <c r="D13197"/>
  <c r="C13198"/>
  <c r="D13198"/>
  <c r="C13199"/>
  <c r="D13199"/>
  <c r="C13200"/>
  <c r="D13200"/>
  <c r="C13201"/>
  <c r="D13201"/>
  <c r="C13202"/>
  <c r="D13202"/>
  <c r="C13203"/>
  <c r="D13203"/>
  <c r="C13204"/>
  <c r="D13204"/>
  <c r="C13205"/>
  <c r="D13205"/>
  <c r="C13206"/>
  <c r="D13206"/>
  <c r="C13207"/>
  <c r="D13207"/>
  <c r="C13208"/>
  <c r="D13208"/>
  <c r="C13209"/>
  <c r="D13209"/>
  <c r="C13210"/>
  <c r="D13210"/>
  <c r="C13211"/>
  <c r="D13211"/>
  <c r="C13212"/>
  <c r="D13212"/>
  <c r="C13213"/>
  <c r="D13213"/>
  <c r="C13214"/>
  <c r="D13214"/>
  <c r="C13215"/>
  <c r="D13215"/>
  <c r="C13216"/>
  <c r="D13216"/>
  <c r="C13217"/>
  <c r="D13217"/>
  <c r="C13218"/>
  <c r="D13218"/>
  <c r="C13219"/>
  <c r="D13219"/>
  <c r="C13220"/>
  <c r="D13220"/>
  <c r="C13221"/>
  <c r="D13221"/>
  <c r="C13222"/>
  <c r="D13222"/>
  <c r="C13223"/>
  <c r="D13223"/>
  <c r="C13224"/>
  <c r="D13224"/>
  <c r="C13225"/>
  <c r="D13225"/>
  <c r="C13226"/>
  <c r="D13226"/>
  <c r="C13227"/>
  <c r="D13227"/>
  <c r="C13228"/>
  <c r="D13228"/>
  <c r="C13229"/>
  <c r="D13229"/>
  <c r="C13230"/>
  <c r="D13230"/>
  <c r="C13231"/>
  <c r="D13231"/>
  <c r="C13232"/>
  <c r="D13232"/>
  <c r="C13233"/>
  <c r="D13233"/>
  <c r="C13234"/>
  <c r="D13234"/>
  <c r="C13235"/>
  <c r="D13235"/>
  <c r="C13236"/>
  <c r="D13236"/>
  <c r="C13237"/>
  <c r="D13237"/>
  <c r="C13238"/>
  <c r="D13238"/>
  <c r="C13239"/>
  <c r="D13239"/>
  <c r="C13240"/>
  <c r="D13240"/>
  <c r="C13241"/>
  <c r="D13241"/>
  <c r="C13242"/>
  <c r="D13242"/>
  <c r="C13243"/>
  <c r="D13243"/>
  <c r="C13244"/>
  <c r="D13244"/>
  <c r="C13245"/>
  <c r="D13245"/>
  <c r="C13246"/>
  <c r="D13246"/>
  <c r="C13247"/>
  <c r="D13247"/>
  <c r="C13248"/>
  <c r="D13248"/>
  <c r="C13249"/>
  <c r="D13249"/>
  <c r="C13250"/>
  <c r="D13250"/>
  <c r="C13251"/>
  <c r="D13251"/>
  <c r="C13252"/>
  <c r="D13252"/>
  <c r="C13253"/>
  <c r="D13253"/>
  <c r="C13254"/>
  <c r="D13254"/>
  <c r="C13255"/>
  <c r="D13255"/>
  <c r="C13256"/>
  <c r="D13256"/>
  <c r="C13257"/>
  <c r="D13257"/>
  <c r="C13258"/>
  <c r="D13258"/>
  <c r="C13259"/>
  <c r="D13259"/>
  <c r="C13260"/>
  <c r="D13260"/>
  <c r="C13261"/>
  <c r="D13261"/>
  <c r="C13262"/>
  <c r="D13262"/>
  <c r="C13263"/>
  <c r="D13263"/>
  <c r="C13264"/>
  <c r="D13264"/>
  <c r="C13265"/>
  <c r="D13265"/>
  <c r="C13266"/>
  <c r="D13266"/>
  <c r="C13267"/>
  <c r="D13267"/>
  <c r="C13268"/>
  <c r="D13268"/>
  <c r="C13269"/>
  <c r="D13269"/>
  <c r="C13270"/>
  <c r="D13270"/>
  <c r="C13271"/>
  <c r="D13271"/>
  <c r="C13272"/>
  <c r="D13272"/>
  <c r="C13273"/>
  <c r="D13273"/>
  <c r="C13274"/>
  <c r="D13274"/>
  <c r="C13275"/>
  <c r="D13275"/>
  <c r="C13276"/>
  <c r="D13276"/>
  <c r="C13277"/>
  <c r="D13277"/>
  <c r="C13278"/>
  <c r="D13278"/>
  <c r="C13279"/>
  <c r="D13279"/>
  <c r="C13280"/>
  <c r="D13280"/>
  <c r="C13281"/>
  <c r="D13281"/>
  <c r="C13282"/>
  <c r="D13282"/>
  <c r="C13283"/>
  <c r="D13283"/>
  <c r="C13284"/>
  <c r="D13284"/>
  <c r="C13285"/>
  <c r="D13285"/>
  <c r="C13286"/>
  <c r="D13286"/>
  <c r="C13287"/>
  <c r="D13287"/>
  <c r="C13288"/>
  <c r="D13288"/>
  <c r="C13289"/>
  <c r="D13289"/>
  <c r="C13290"/>
  <c r="D13290"/>
  <c r="C13291"/>
  <c r="D13291"/>
  <c r="C13292"/>
  <c r="D13292"/>
  <c r="C13293"/>
  <c r="D13293"/>
  <c r="C13294"/>
  <c r="D13294"/>
  <c r="C13295"/>
  <c r="D13295"/>
  <c r="C13296"/>
  <c r="D13296"/>
  <c r="C13297"/>
  <c r="D13297"/>
  <c r="C13298"/>
  <c r="D13298"/>
  <c r="C13299"/>
  <c r="D13299"/>
  <c r="C13300"/>
  <c r="D13300"/>
  <c r="C13301"/>
  <c r="D13301"/>
  <c r="C13302"/>
  <c r="D13302"/>
  <c r="C13303"/>
  <c r="D13303"/>
  <c r="C13304"/>
  <c r="D13304"/>
  <c r="C13305"/>
  <c r="D13305"/>
  <c r="C13306"/>
  <c r="D13306"/>
  <c r="C13307"/>
  <c r="D13307"/>
  <c r="C13308"/>
  <c r="D13308"/>
  <c r="C13309"/>
  <c r="D13309"/>
  <c r="C13310"/>
  <c r="D13310"/>
  <c r="C13311"/>
  <c r="D13311"/>
  <c r="C13312"/>
  <c r="D13312"/>
  <c r="C13313"/>
  <c r="D13313"/>
  <c r="C13314"/>
  <c r="D13314"/>
  <c r="C13315"/>
  <c r="D13315"/>
  <c r="C13316"/>
  <c r="D13316"/>
  <c r="C13317"/>
  <c r="D13317"/>
  <c r="C13318"/>
  <c r="D13318"/>
  <c r="C13319"/>
  <c r="D13319"/>
  <c r="C13320"/>
  <c r="D13320"/>
  <c r="C13321"/>
  <c r="D13321"/>
  <c r="C13322"/>
  <c r="D13322"/>
  <c r="C13323"/>
  <c r="D13323"/>
  <c r="C13324"/>
  <c r="D13324"/>
  <c r="C13325"/>
  <c r="D13325"/>
  <c r="C13326"/>
  <c r="D13326"/>
  <c r="C13327"/>
  <c r="D13327"/>
  <c r="C13328"/>
  <c r="D13328"/>
  <c r="C13329"/>
  <c r="D13329"/>
  <c r="C13330"/>
  <c r="D13330"/>
  <c r="C13331"/>
  <c r="D13331"/>
  <c r="C13332"/>
  <c r="D13332"/>
  <c r="C13333"/>
  <c r="D13333"/>
  <c r="C13334"/>
  <c r="D13334"/>
  <c r="C13335"/>
  <c r="D13335"/>
  <c r="C13336"/>
  <c r="D13336"/>
  <c r="C13337"/>
  <c r="D13337"/>
  <c r="C13338"/>
  <c r="D13338"/>
  <c r="C13339"/>
  <c r="D13339"/>
  <c r="C13340"/>
  <c r="D13340"/>
  <c r="C13341"/>
  <c r="D13341"/>
  <c r="C13342"/>
  <c r="D13342"/>
  <c r="C13343"/>
  <c r="D13343"/>
  <c r="C13344"/>
  <c r="D13344"/>
  <c r="C13345"/>
  <c r="D13345"/>
  <c r="C13346"/>
  <c r="D13346"/>
  <c r="C13347"/>
  <c r="D13347"/>
  <c r="C13348"/>
  <c r="D13348"/>
  <c r="C13349"/>
  <c r="D13349"/>
  <c r="C13350"/>
  <c r="D13350"/>
  <c r="C13351"/>
  <c r="D13351"/>
  <c r="C13352"/>
  <c r="D13352"/>
  <c r="C13353"/>
  <c r="D13353"/>
  <c r="C13354"/>
  <c r="D13354"/>
  <c r="C13355"/>
  <c r="D13355"/>
  <c r="C13356"/>
  <c r="D13356"/>
  <c r="C13357"/>
  <c r="D13357"/>
  <c r="C13358"/>
  <c r="D13358"/>
  <c r="C13359"/>
  <c r="D13359"/>
  <c r="C13360"/>
  <c r="D13360"/>
  <c r="C13361"/>
  <c r="D13361"/>
  <c r="C13362"/>
  <c r="D13362"/>
  <c r="C13363"/>
  <c r="D13363"/>
  <c r="C13364"/>
  <c r="D13364"/>
  <c r="C13365"/>
  <c r="D13365"/>
  <c r="C13366"/>
  <c r="D13366"/>
  <c r="C13367"/>
  <c r="D13367"/>
  <c r="C13368"/>
  <c r="D13368"/>
  <c r="C13369"/>
  <c r="D13369"/>
  <c r="C13370"/>
  <c r="D13370"/>
  <c r="C13371"/>
  <c r="D13371"/>
  <c r="C13372"/>
  <c r="D13372"/>
  <c r="C13373"/>
  <c r="D13373"/>
  <c r="C13374"/>
  <c r="D13374"/>
  <c r="C13375"/>
  <c r="D13375"/>
  <c r="C13376"/>
  <c r="D13376"/>
  <c r="C13377"/>
  <c r="D13377"/>
  <c r="C13378"/>
  <c r="D13378"/>
  <c r="C13379"/>
  <c r="D13379"/>
  <c r="C13380"/>
  <c r="D13380"/>
  <c r="C13381"/>
  <c r="D13381"/>
  <c r="C13382"/>
  <c r="D13382"/>
  <c r="C13383"/>
  <c r="D13383"/>
  <c r="C13384"/>
  <c r="D13384"/>
  <c r="C13385"/>
  <c r="D13385"/>
  <c r="C13386"/>
  <c r="D13386"/>
  <c r="C13387"/>
  <c r="D13387"/>
  <c r="C13388"/>
  <c r="D13388"/>
  <c r="C13389"/>
  <c r="D13389"/>
  <c r="C13390"/>
  <c r="D13390"/>
  <c r="C13391"/>
  <c r="D13391"/>
  <c r="C13392"/>
  <c r="D13392"/>
  <c r="C13393"/>
  <c r="D13393"/>
  <c r="C13394"/>
  <c r="D13394"/>
  <c r="C13395"/>
  <c r="D13395"/>
  <c r="C13396"/>
  <c r="D13396"/>
  <c r="C13397"/>
  <c r="D13397"/>
  <c r="C13398"/>
  <c r="D13398"/>
  <c r="C13399"/>
  <c r="D13399"/>
  <c r="C13400"/>
  <c r="D13400"/>
  <c r="C13401"/>
  <c r="D13401"/>
  <c r="C13402"/>
  <c r="D13402"/>
  <c r="C13403"/>
  <c r="D13403"/>
  <c r="C13404"/>
  <c r="D13404"/>
  <c r="C13405"/>
  <c r="D13405"/>
  <c r="C13406"/>
  <c r="D13406"/>
  <c r="C13407"/>
  <c r="D13407"/>
  <c r="C13408"/>
  <c r="D13408"/>
  <c r="C13409"/>
  <c r="D13409"/>
  <c r="C13410"/>
  <c r="D13410"/>
  <c r="C13411"/>
  <c r="D13411"/>
  <c r="C13412"/>
  <c r="D13412"/>
  <c r="C13413"/>
  <c r="D13413"/>
  <c r="C13414"/>
  <c r="D13414"/>
  <c r="C13415"/>
  <c r="D13415"/>
  <c r="C13416"/>
  <c r="D13416"/>
  <c r="C13417"/>
  <c r="D13417"/>
  <c r="C13418"/>
  <c r="D13418"/>
  <c r="C13419"/>
  <c r="D13419"/>
  <c r="C13420"/>
  <c r="D13420"/>
  <c r="C13421"/>
  <c r="D13421"/>
  <c r="C13422"/>
  <c r="D13422"/>
  <c r="C13423"/>
  <c r="D13423"/>
  <c r="C13424"/>
  <c r="D13424"/>
  <c r="C13425"/>
  <c r="D13425"/>
  <c r="C13426"/>
  <c r="D13426"/>
  <c r="C13427"/>
  <c r="D13427"/>
  <c r="C13428"/>
  <c r="D13428"/>
  <c r="C13429"/>
  <c r="D13429"/>
  <c r="C13430"/>
  <c r="D13430"/>
  <c r="C13431"/>
  <c r="D13431"/>
  <c r="C13432"/>
  <c r="D13432"/>
  <c r="C13433"/>
  <c r="D13433"/>
  <c r="C13434"/>
  <c r="D13434"/>
  <c r="C13435"/>
  <c r="D13435"/>
  <c r="C13436"/>
  <c r="D13436"/>
  <c r="C13437"/>
  <c r="D13437"/>
  <c r="C13438"/>
  <c r="D13438"/>
  <c r="C13439"/>
  <c r="D13439"/>
  <c r="C13440"/>
  <c r="D13440"/>
  <c r="C13441"/>
  <c r="D13441"/>
  <c r="C13442"/>
  <c r="D13442"/>
  <c r="C13443"/>
  <c r="D13443"/>
  <c r="C13444"/>
  <c r="D13444"/>
  <c r="C13445"/>
  <c r="D13445"/>
  <c r="C13446"/>
  <c r="D13446"/>
  <c r="C13447"/>
  <c r="D13447"/>
  <c r="C13448"/>
  <c r="D13448"/>
  <c r="C13449"/>
  <c r="D13449"/>
  <c r="C13450"/>
  <c r="D13450"/>
  <c r="C13451"/>
  <c r="D13451"/>
  <c r="C13452"/>
  <c r="D13452"/>
  <c r="C13453"/>
  <c r="D13453"/>
  <c r="C13454"/>
  <c r="D13454"/>
  <c r="C13455"/>
  <c r="D13455"/>
  <c r="C13456"/>
  <c r="D13456"/>
  <c r="C13457"/>
  <c r="D13457"/>
  <c r="C13458"/>
  <c r="D13458"/>
  <c r="C13459"/>
  <c r="D13459"/>
  <c r="C13460"/>
  <c r="D13460"/>
  <c r="C13461"/>
  <c r="D13461"/>
  <c r="C13462"/>
  <c r="D13462"/>
  <c r="C13463"/>
  <c r="D13463"/>
  <c r="C13464"/>
  <c r="D13464"/>
  <c r="C13465"/>
  <c r="D13465"/>
  <c r="C13466"/>
  <c r="D13466"/>
  <c r="C13467"/>
  <c r="D13467"/>
  <c r="C13468"/>
  <c r="D13468"/>
  <c r="C13469"/>
  <c r="D13469"/>
  <c r="C13470"/>
  <c r="D13470"/>
  <c r="C13471"/>
  <c r="D13471"/>
  <c r="C13472"/>
  <c r="D13472"/>
  <c r="C13473"/>
  <c r="D13473"/>
  <c r="C13474"/>
  <c r="D13474"/>
  <c r="C13475"/>
  <c r="D13475"/>
  <c r="C13476"/>
  <c r="D13476"/>
  <c r="C13477"/>
  <c r="D13477"/>
  <c r="C13478"/>
  <c r="D13478"/>
  <c r="C13479"/>
  <c r="D13479"/>
  <c r="C13480"/>
  <c r="D13480"/>
  <c r="C13481"/>
  <c r="D13481"/>
  <c r="C13482"/>
  <c r="D13482"/>
  <c r="C13483"/>
  <c r="D13483"/>
  <c r="C13484"/>
  <c r="D13484"/>
  <c r="C13485"/>
  <c r="D13485"/>
  <c r="C13486"/>
  <c r="D13486"/>
  <c r="C13487"/>
  <c r="D13487"/>
  <c r="C13488"/>
  <c r="D13488"/>
  <c r="C13489"/>
  <c r="D13489"/>
  <c r="C13490"/>
  <c r="D13490"/>
  <c r="C13491"/>
  <c r="D13491"/>
  <c r="C13492"/>
  <c r="D13492"/>
  <c r="C13493"/>
  <c r="D13493"/>
  <c r="C13494"/>
  <c r="D13494"/>
  <c r="C13495"/>
  <c r="D13495"/>
  <c r="C13496"/>
  <c r="D13496"/>
  <c r="C13497"/>
  <c r="D13497"/>
  <c r="C13498"/>
  <c r="D13498"/>
  <c r="C13499"/>
  <c r="D13499"/>
  <c r="C13500"/>
  <c r="D13500"/>
  <c r="C13501"/>
  <c r="D13501"/>
  <c r="C13502"/>
  <c r="D13502"/>
  <c r="C13503"/>
  <c r="D13503"/>
  <c r="C13504"/>
  <c r="D13504"/>
  <c r="C13505"/>
  <c r="D13505"/>
  <c r="C13506"/>
  <c r="D13506"/>
  <c r="C13507"/>
  <c r="D13507"/>
  <c r="C13508"/>
  <c r="D13508"/>
  <c r="C13509"/>
  <c r="D13509"/>
  <c r="C13510"/>
  <c r="D13510"/>
  <c r="C13511"/>
  <c r="D13511"/>
  <c r="C13512"/>
  <c r="D13512"/>
  <c r="C13513"/>
  <c r="D13513"/>
  <c r="C13514"/>
  <c r="D13514"/>
  <c r="C13515"/>
  <c r="D13515"/>
  <c r="C13516"/>
  <c r="D13516"/>
  <c r="C13517"/>
  <c r="D13517"/>
  <c r="C13518"/>
  <c r="D13518"/>
  <c r="C13519"/>
  <c r="D13519"/>
  <c r="C13520"/>
  <c r="D13520"/>
  <c r="C13521"/>
  <c r="D13521"/>
  <c r="C13522"/>
  <c r="D13522"/>
  <c r="C13523"/>
  <c r="D13523"/>
  <c r="C13524"/>
  <c r="D13524"/>
  <c r="C13525"/>
  <c r="D13525"/>
  <c r="C13526"/>
  <c r="D13526"/>
  <c r="C13527"/>
  <c r="D13527"/>
  <c r="C13528"/>
  <c r="D13528"/>
  <c r="C13529"/>
  <c r="D13529"/>
  <c r="C13530"/>
  <c r="D13530"/>
  <c r="C13531"/>
  <c r="D13531"/>
  <c r="C13532"/>
  <c r="D13532"/>
  <c r="C13533"/>
  <c r="D13533"/>
  <c r="C13534"/>
  <c r="D13534"/>
  <c r="C13535"/>
  <c r="D13535"/>
  <c r="C13536"/>
  <c r="D13536"/>
  <c r="C13537"/>
  <c r="D13537"/>
  <c r="C13538"/>
  <c r="D13538"/>
  <c r="C13539"/>
  <c r="D13539"/>
  <c r="C13540"/>
  <c r="D13540"/>
  <c r="C13541"/>
  <c r="D13541"/>
  <c r="C13542"/>
  <c r="D13542"/>
  <c r="C13543"/>
  <c r="D13543"/>
  <c r="C13544"/>
  <c r="D13544"/>
  <c r="C13545"/>
  <c r="D13545"/>
  <c r="C13546"/>
  <c r="D13546"/>
  <c r="C13547"/>
  <c r="D13547"/>
  <c r="C13548"/>
  <c r="D13548"/>
  <c r="C13549"/>
  <c r="D13549"/>
  <c r="C13550"/>
  <c r="D13550"/>
  <c r="C13551"/>
  <c r="D13551"/>
  <c r="C13552"/>
  <c r="D13552"/>
  <c r="C13553"/>
  <c r="D13553"/>
  <c r="C13554"/>
  <c r="D13554"/>
  <c r="C13555"/>
  <c r="D13555"/>
  <c r="C13556"/>
  <c r="D13556"/>
  <c r="C13557"/>
  <c r="D13557"/>
  <c r="C13558"/>
  <c r="D13558"/>
  <c r="C13559"/>
  <c r="D13559"/>
  <c r="C13560"/>
  <c r="D13560"/>
  <c r="C13561"/>
  <c r="D13561"/>
  <c r="C13562"/>
  <c r="D13562"/>
  <c r="C13563"/>
  <c r="D13563"/>
  <c r="C13564"/>
  <c r="D13564"/>
  <c r="C13565"/>
  <c r="D13565"/>
  <c r="C13566"/>
  <c r="D13566"/>
  <c r="C13567"/>
  <c r="D13567"/>
  <c r="C13568"/>
  <c r="D13568"/>
  <c r="C13569"/>
  <c r="D13569"/>
  <c r="C13570"/>
  <c r="D13570"/>
  <c r="C13571"/>
  <c r="D13571"/>
  <c r="C13572"/>
  <c r="D13572"/>
  <c r="C13573"/>
  <c r="D13573"/>
  <c r="C13574"/>
  <c r="D13574"/>
  <c r="C13575"/>
  <c r="D13575"/>
  <c r="C13576"/>
  <c r="D13576"/>
  <c r="C13577"/>
  <c r="D13577"/>
  <c r="C13578"/>
  <c r="D13578"/>
  <c r="C13579"/>
  <c r="D13579"/>
  <c r="C13580"/>
  <c r="D13580"/>
  <c r="C13581"/>
  <c r="D13581"/>
  <c r="C13582"/>
  <c r="D13582"/>
  <c r="C13583"/>
  <c r="D13583"/>
  <c r="C13584"/>
  <c r="D13584"/>
  <c r="C13585"/>
  <c r="D13585"/>
  <c r="C13586"/>
  <c r="D13586"/>
  <c r="C13587"/>
  <c r="D13587"/>
  <c r="C13588"/>
  <c r="D13588"/>
  <c r="C13589"/>
  <c r="D13589"/>
  <c r="C13590"/>
  <c r="D13590"/>
  <c r="C13591"/>
  <c r="D13591"/>
  <c r="C13592"/>
  <c r="D13592"/>
  <c r="C13593"/>
  <c r="D13593"/>
  <c r="C13594"/>
  <c r="D13594"/>
  <c r="C13595"/>
  <c r="D13595"/>
  <c r="C13596"/>
  <c r="D13596"/>
  <c r="C13597"/>
  <c r="D13597"/>
  <c r="C13598"/>
  <c r="D13598"/>
  <c r="C13599"/>
  <c r="D13599"/>
  <c r="C13600"/>
  <c r="D13600"/>
  <c r="C13601"/>
  <c r="D13601"/>
  <c r="C13602"/>
  <c r="D13602"/>
  <c r="C13603"/>
  <c r="D13603"/>
  <c r="C13604"/>
  <c r="D13604"/>
  <c r="C13605"/>
  <c r="D13605"/>
  <c r="C13606"/>
  <c r="D13606"/>
  <c r="C13607"/>
  <c r="D13607"/>
  <c r="C13608"/>
  <c r="D13608"/>
  <c r="C13609"/>
  <c r="D13609"/>
  <c r="C13610"/>
  <c r="D13610"/>
  <c r="C13611"/>
  <c r="D13611"/>
  <c r="C13612"/>
  <c r="D13612"/>
  <c r="C13613"/>
  <c r="D13613"/>
  <c r="C13614"/>
  <c r="D13614"/>
  <c r="C13615"/>
  <c r="D13615"/>
  <c r="C13616"/>
  <c r="D13616"/>
  <c r="C13617"/>
  <c r="D13617"/>
  <c r="C13618"/>
  <c r="D13618"/>
  <c r="C13619"/>
  <c r="D13619"/>
  <c r="C13620"/>
  <c r="D13620"/>
  <c r="C13621"/>
  <c r="D13621"/>
  <c r="C13622"/>
  <c r="D13622"/>
  <c r="C13623"/>
  <c r="D13623"/>
  <c r="C13624"/>
  <c r="D13624"/>
  <c r="C13625"/>
  <c r="D13625"/>
  <c r="C13626"/>
  <c r="D13626"/>
  <c r="C13627"/>
  <c r="D13627"/>
  <c r="C13628"/>
  <c r="D13628"/>
  <c r="C13629"/>
  <c r="D13629"/>
  <c r="C13630"/>
  <c r="D13630"/>
  <c r="C13631"/>
  <c r="D13631"/>
  <c r="C13632"/>
  <c r="D13632"/>
  <c r="C13633"/>
  <c r="D13633"/>
  <c r="C13634"/>
  <c r="D13634"/>
  <c r="C13635"/>
  <c r="D13635"/>
  <c r="C13636"/>
  <c r="D13636"/>
  <c r="C13637"/>
  <c r="D13637"/>
  <c r="C13638"/>
  <c r="D13638"/>
  <c r="C13639"/>
  <c r="D13639"/>
  <c r="C13640"/>
  <c r="D13640"/>
  <c r="C13641"/>
  <c r="D13641"/>
  <c r="C13642"/>
  <c r="D13642"/>
  <c r="C13643"/>
  <c r="D13643"/>
  <c r="C13644"/>
  <c r="D13644"/>
  <c r="C13645"/>
  <c r="D13645"/>
  <c r="C13646"/>
  <c r="D13646"/>
  <c r="C13647"/>
  <c r="D13647"/>
  <c r="C13648"/>
  <c r="D13648"/>
  <c r="C13649"/>
  <c r="D13649"/>
  <c r="C13650"/>
  <c r="D13650"/>
  <c r="C13651"/>
  <c r="D13651"/>
  <c r="C13652"/>
  <c r="D13652"/>
  <c r="C13653"/>
  <c r="D13653"/>
  <c r="C13654"/>
  <c r="D13654"/>
  <c r="C13655"/>
  <c r="D13655"/>
  <c r="C13656"/>
  <c r="D13656"/>
  <c r="C13657"/>
  <c r="D13657"/>
  <c r="C13658"/>
  <c r="D13658"/>
  <c r="C13659"/>
  <c r="D13659"/>
  <c r="C13660"/>
  <c r="D13660"/>
  <c r="C13661"/>
  <c r="D13661"/>
  <c r="C13662"/>
  <c r="D13662"/>
  <c r="C13663"/>
  <c r="D13663"/>
  <c r="C13664"/>
  <c r="D13664"/>
  <c r="C13665"/>
  <c r="D13665"/>
  <c r="C13666"/>
  <c r="D13666"/>
  <c r="C13667"/>
  <c r="D13667"/>
  <c r="C13668"/>
  <c r="D13668"/>
  <c r="C13669"/>
  <c r="D13669"/>
  <c r="C13670"/>
  <c r="D13670"/>
  <c r="C13671"/>
  <c r="D13671"/>
  <c r="C13672"/>
  <c r="D13672"/>
  <c r="C13673"/>
  <c r="D13673"/>
  <c r="C13674"/>
  <c r="D13674"/>
  <c r="C13675"/>
  <c r="D13675"/>
  <c r="C13676"/>
  <c r="D13676"/>
  <c r="C13677"/>
  <c r="D13677"/>
  <c r="C13678"/>
  <c r="D13678"/>
  <c r="C13679"/>
  <c r="D13679"/>
  <c r="C13680"/>
  <c r="D13680"/>
  <c r="C13681"/>
  <c r="D13681"/>
  <c r="C13682"/>
  <c r="D13682"/>
  <c r="C13683"/>
  <c r="D13683"/>
  <c r="C13684"/>
  <c r="D13684"/>
  <c r="C13685"/>
  <c r="D13685"/>
  <c r="C13686"/>
  <c r="D13686"/>
  <c r="C13687"/>
  <c r="D13687"/>
  <c r="C13688"/>
  <c r="D13688"/>
  <c r="C13689"/>
  <c r="D13689"/>
  <c r="C13690"/>
  <c r="D13690"/>
  <c r="C13691"/>
  <c r="D13691"/>
  <c r="C13692"/>
  <c r="D13692"/>
  <c r="C13693"/>
  <c r="D13693"/>
  <c r="C13694"/>
  <c r="D13694"/>
  <c r="C13695"/>
  <c r="D13695"/>
  <c r="C13696"/>
  <c r="D13696"/>
  <c r="C13697"/>
  <c r="D13697"/>
  <c r="C13698"/>
  <c r="D13698"/>
  <c r="C13699"/>
  <c r="D13699"/>
  <c r="C13700"/>
  <c r="D13700"/>
  <c r="C13701"/>
  <c r="D13701"/>
  <c r="C13702"/>
  <c r="D13702"/>
  <c r="C13703"/>
  <c r="D13703"/>
  <c r="C13704"/>
  <c r="D13704"/>
  <c r="C13705"/>
  <c r="D13705"/>
  <c r="C13706"/>
  <c r="D13706"/>
  <c r="C13707"/>
  <c r="D13707"/>
  <c r="C13708"/>
  <c r="D13708"/>
  <c r="C13709"/>
  <c r="D13709"/>
  <c r="C13710"/>
  <c r="D13710"/>
  <c r="C13711"/>
  <c r="D13711"/>
  <c r="C13712"/>
  <c r="D13712"/>
  <c r="C13713"/>
  <c r="D13713"/>
  <c r="C13714"/>
  <c r="D13714"/>
  <c r="C13715"/>
  <c r="D13715"/>
  <c r="C13716"/>
  <c r="D13716"/>
  <c r="C13717"/>
  <c r="D13717"/>
  <c r="C13718"/>
  <c r="D13718"/>
  <c r="C13719"/>
  <c r="D13719"/>
  <c r="C13720"/>
  <c r="D13720"/>
  <c r="C13721"/>
  <c r="D13721"/>
  <c r="C13722"/>
  <c r="D13722"/>
  <c r="C13723"/>
  <c r="D13723"/>
  <c r="C13724"/>
  <c r="D13724"/>
  <c r="C13725"/>
  <c r="D13725"/>
  <c r="C13726"/>
  <c r="D13726"/>
  <c r="C13727"/>
  <c r="D13727"/>
  <c r="C13728"/>
  <c r="D13728"/>
  <c r="C13729"/>
  <c r="D13729"/>
  <c r="C13730"/>
  <c r="D13730"/>
  <c r="C13731"/>
  <c r="D13731"/>
  <c r="C13732"/>
  <c r="D13732"/>
  <c r="C13733"/>
  <c r="D13733"/>
  <c r="C13734"/>
  <c r="D13734"/>
  <c r="C13735"/>
  <c r="D13735"/>
  <c r="C13736"/>
  <c r="D13736"/>
  <c r="C13737"/>
  <c r="D13737"/>
  <c r="C13738"/>
  <c r="D13738"/>
  <c r="C13739"/>
  <c r="D13739"/>
  <c r="C13740"/>
  <c r="D13740"/>
  <c r="C13741"/>
  <c r="D13741"/>
  <c r="C13742"/>
  <c r="D13742"/>
  <c r="C13743"/>
  <c r="D13743"/>
  <c r="C13744"/>
  <c r="D13744"/>
  <c r="C13745"/>
  <c r="D13745"/>
  <c r="C13746"/>
  <c r="D13746"/>
  <c r="C13747"/>
  <c r="D13747"/>
  <c r="C13748"/>
  <c r="D13748"/>
  <c r="C13749"/>
  <c r="D13749"/>
  <c r="C13750"/>
  <c r="D13750"/>
  <c r="C13751"/>
  <c r="D13751"/>
  <c r="C13752"/>
  <c r="D13752"/>
  <c r="C13753"/>
  <c r="D13753"/>
  <c r="C13754"/>
  <c r="D13754"/>
  <c r="C13755"/>
  <c r="D13755"/>
  <c r="C13756"/>
  <c r="D13756"/>
  <c r="C13757"/>
  <c r="D13757"/>
  <c r="C13758"/>
  <c r="D13758"/>
  <c r="C13759"/>
  <c r="D13759"/>
  <c r="C13760"/>
  <c r="D13760"/>
  <c r="C13761"/>
  <c r="D13761"/>
  <c r="C13762"/>
  <c r="D13762"/>
  <c r="C13763"/>
  <c r="D13763"/>
  <c r="C13764"/>
  <c r="D13764"/>
  <c r="C13765"/>
  <c r="D13765"/>
  <c r="C13766"/>
  <c r="D13766"/>
  <c r="C13767"/>
  <c r="D13767"/>
  <c r="C13768"/>
  <c r="D13768"/>
  <c r="C13769"/>
  <c r="D13769"/>
  <c r="C13770"/>
  <c r="D13770"/>
  <c r="C13771"/>
  <c r="D13771"/>
  <c r="C13772"/>
  <c r="D13772"/>
  <c r="C13773"/>
  <c r="D13773"/>
  <c r="C13774"/>
  <c r="D13774"/>
  <c r="C13775"/>
  <c r="D13775"/>
  <c r="C13776"/>
  <c r="D13776"/>
  <c r="C13777"/>
  <c r="D13777"/>
  <c r="C13778"/>
  <c r="D13778"/>
  <c r="C13779"/>
  <c r="D13779"/>
  <c r="C13780"/>
  <c r="D13780"/>
  <c r="C13781"/>
  <c r="D13781"/>
  <c r="C13782"/>
  <c r="D13782"/>
  <c r="C13783"/>
  <c r="D13783"/>
  <c r="C13784"/>
  <c r="D13784"/>
  <c r="C13785"/>
  <c r="D13785"/>
  <c r="C13786"/>
  <c r="D13786"/>
  <c r="C13787"/>
  <c r="D13787"/>
  <c r="C13788"/>
  <c r="D13788"/>
  <c r="C13789"/>
  <c r="D13789"/>
  <c r="C13790"/>
  <c r="D13790"/>
  <c r="C13791"/>
  <c r="D13791"/>
  <c r="C13792"/>
  <c r="D13792"/>
  <c r="C13793"/>
  <c r="D13793"/>
  <c r="C13794"/>
  <c r="D13794"/>
  <c r="C13795"/>
  <c r="D13795"/>
  <c r="C13796"/>
  <c r="D13796"/>
  <c r="C13797"/>
  <c r="D13797"/>
  <c r="C13798"/>
  <c r="D13798"/>
  <c r="C13799"/>
  <c r="D13799"/>
  <c r="C13800"/>
  <c r="D13800"/>
  <c r="C13801"/>
  <c r="D13801"/>
  <c r="C13802"/>
  <c r="D13802"/>
  <c r="C13803"/>
  <c r="D13803"/>
  <c r="C13804"/>
  <c r="D13804"/>
  <c r="C13805"/>
  <c r="D13805"/>
  <c r="C13806"/>
  <c r="D13806"/>
  <c r="C13807"/>
  <c r="D13807"/>
  <c r="C13808"/>
  <c r="D13808"/>
  <c r="C13809"/>
  <c r="D13809"/>
  <c r="C13810"/>
  <c r="D13810"/>
  <c r="C13811"/>
  <c r="D13811"/>
  <c r="C13812"/>
  <c r="D13812"/>
  <c r="C13813"/>
  <c r="D13813"/>
  <c r="C13814"/>
  <c r="D13814"/>
  <c r="C13815"/>
  <c r="D13815"/>
  <c r="C13816"/>
  <c r="D13816"/>
  <c r="C13817"/>
  <c r="D13817"/>
  <c r="C13818"/>
  <c r="D13818"/>
  <c r="C13819"/>
  <c r="D13819"/>
  <c r="C13820"/>
  <c r="D13820"/>
  <c r="C13821"/>
  <c r="D13821"/>
  <c r="C13822"/>
  <c r="D13822"/>
  <c r="C13823"/>
  <c r="D13823"/>
  <c r="C13824"/>
  <c r="D13824"/>
  <c r="C13825"/>
  <c r="D13825"/>
  <c r="C13826"/>
  <c r="D13826"/>
  <c r="C13827"/>
  <c r="D13827"/>
  <c r="C13828"/>
  <c r="D13828"/>
  <c r="C13829"/>
  <c r="D13829"/>
  <c r="C13830"/>
  <c r="D13830"/>
  <c r="C13831"/>
  <c r="D13831"/>
  <c r="C13832"/>
  <c r="D13832"/>
  <c r="C13833"/>
  <c r="D13833"/>
  <c r="C13834"/>
  <c r="D13834"/>
  <c r="C13835"/>
  <c r="D13835"/>
  <c r="C13836"/>
  <c r="D13836"/>
  <c r="C13837"/>
  <c r="D13837"/>
  <c r="C13838"/>
  <c r="D13838"/>
  <c r="C13839"/>
  <c r="D13839"/>
  <c r="C13840"/>
  <c r="D13840"/>
  <c r="C13841"/>
  <c r="D13841"/>
  <c r="C13842"/>
  <c r="D13842"/>
  <c r="C13843"/>
  <c r="D13843"/>
  <c r="C13844"/>
  <c r="D13844"/>
  <c r="C13845"/>
  <c r="D13845"/>
  <c r="C13846"/>
  <c r="D13846"/>
  <c r="C13847"/>
  <c r="D13847"/>
  <c r="C13848"/>
  <c r="D13848"/>
  <c r="C13849"/>
  <c r="D13849"/>
  <c r="C13850"/>
  <c r="D13850"/>
  <c r="C13851"/>
  <c r="D13851"/>
  <c r="C13852"/>
  <c r="D13852"/>
  <c r="C13853"/>
  <c r="D13853"/>
  <c r="C13854"/>
  <c r="D13854"/>
  <c r="C13855"/>
  <c r="D13855"/>
  <c r="C13856"/>
  <c r="D13856"/>
  <c r="C13857"/>
  <c r="D13857"/>
  <c r="C13858"/>
  <c r="D13858"/>
  <c r="C13859"/>
  <c r="D13859"/>
  <c r="C13860"/>
  <c r="D13860"/>
  <c r="C13861"/>
  <c r="D13861"/>
  <c r="C13862"/>
  <c r="D13862"/>
  <c r="C13863"/>
  <c r="D13863"/>
  <c r="C13864"/>
  <c r="D13864"/>
  <c r="C13865"/>
  <c r="D13865"/>
  <c r="C13866"/>
  <c r="D13866"/>
  <c r="C13867"/>
  <c r="D13867"/>
  <c r="C13868"/>
  <c r="D13868"/>
  <c r="C13869"/>
  <c r="D13869"/>
  <c r="C13870"/>
  <c r="D13870"/>
  <c r="C13871"/>
  <c r="D13871"/>
  <c r="C13872"/>
  <c r="D13872"/>
  <c r="C13873"/>
  <c r="D13873"/>
  <c r="C13874"/>
  <c r="D13874"/>
  <c r="C13875"/>
  <c r="D13875"/>
  <c r="C13876"/>
  <c r="D13876"/>
  <c r="C13877"/>
  <c r="D13877"/>
  <c r="C13878"/>
  <c r="D13878"/>
  <c r="C13879"/>
  <c r="D13879"/>
  <c r="C13880"/>
  <c r="D13880"/>
  <c r="C13881"/>
  <c r="D13881"/>
  <c r="C13882"/>
  <c r="D13882"/>
  <c r="C13883"/>
  <c r="D13883"/>
  <c r="C13884"/>
  <c r="D13884"/>
  <c r="C13885"/>
  <c r="D13885"/>
  <c r="C13886"/>
  <c r="D13886"/>
  <c r="C13887"/>
  <c r="D13887"/>
  <c r="C13888"/>
  <c r="D13888"/>
  <c r="C13889"/>
  <c r="D13889"/>
  <c r="C13890"/>
  <c r="D13890"/>
  <c r="C13891"/>
  <c r="D13891"/>
  <c r="C13892"/>
  <c r="D13892"/>
  <c r="C13893"/>
  <c r="D13893"/>
  <c r="C13894"/>
  <c r="D13894"/>
  <c r="C13895"/>
  <c r="D13895"/>
  <c r="C13896"/>
  <c r="D13896"/>
  <c r="C13897"/>
  <c r="D13897"/>
  <c r="C13898"/>
  <c r="D13898"/>
  <c r="C13899"/>
  <c r="D13899"/>
  <c r="C13900"/>
  <c r="D13900"/>
  <c r="C13901"/>
  <c r="D13901"/>
  <c r="C13902"/>
  <c r="D13902"/>
  <c r="C13903"/>
  <c r="D13903"/>
  <c r="C13904"/>
  <c r="D13904"/>
  <c r="C13905"/>
  <c r="D13905"/>
  <c r="C13906"/>
  <c r="D13906"/>
  <c r="C13907"/>
  <c r="D13907"/>
  <c r="C13908"/>
  <c r="D13908"/>
  <c r="C13909"/>
  <c r="D13909"/>
  <c r="C13910"/>
  <c r="D13910"/>
  <c r="C13911"/>
  <c r="D13911"/>
  <c r="C13912"/>
  <c r="D13912"/>
  <c r="C13913"/>
  <c r="D13913"/>
  <c r="C13914"/>
  <c r="D13914"/>
  <c r="C13915"/>
  <c r="D13915"/>
  <c r="C13916"/>
  <c r="D13916"/>
  <c r="C13917"/>
  <c r="D13917"/>
  <c r="C13918"/>
  <c r="D13918"/>
  <c r="C13919"/>
  <c r="D13919"/>
  <c r="C13920"/>
  <c r="D13920"/>
  <c r="C13921"/>
  <c r="D13921"/>
  <c r="C13922"/>
  <c r="D13922"/>
  <c r="C13923"/>
  <c r="D13923"/>
  <c r="C13924"/>
  <c r="D13924"/>
  <c r="C13925"/>
  <c r="D13925"/>
  <c r="C13926"/>
  <c r="D13926"/>
  <c r="C13927"/>
  <c r="D13927"/>
  <c r="C13928"/>
  <c r="D13928"/>
  <c r="C13929"/>
  <c r="D13929"/>
  <c r="C13930"/>
  <c r="D13930"/>
  <c r="C13931"/>
  <c r="D13931"/>
  <c r="C13932"/>
  <c r="D13932"/>
  <c r="C13933"/>
  <c r="D13933"/>
  <c r="C13934"/>
  <c r="D13934"/>
  <c r="C13935"/>
  <c r="D13935"/>
  <c r="C13936"/>
  <c r="D13936"/>
  <c r="C13937"/>
  <c r="D13937"/>
  <c r="C13938"/>
  <c r="D13938"/>
  <c r="C13939"/>
  <c r="D13939"/>
  <c r="C13940"/>
  <c r="D13940"/>
  <c r="C13941"/>
  <c r="D13941"/>
  <c r="C13942"/>
  <c r="D13942"/>
  <c r="C13943"/>
  <c r="D13943"/>
  <c r="C13944"/>
  <c r="D13944"/>
  <c r="C13945"/>
  <c r="D13945"/>
  <c r="C13946"/>
  <c r="D13946"/>
  <c r="C13947"/>
  <c r="D13947"/>
  <c r="C13948"/>
  <c r="D13948"/>
  <c r="C13949"/>
  <c r="D13949"/>
  <c r="C13950"/>
  <c r="D13950"/>
  <c r="C13951"/>
  <c r="D13951"/>
  <c r="C13952"/>
  <c r="D13952"/>
  <c r="C13953"/>
  <c r="D13953"/>
  <c r="C13954"/>
  <c r="D13954"/>
  <c r="C13955"/>
  <c r="D13955"/>
  <c r="C13956"/>
  <c r="D13956"/>
  <c r="C13957"/>
  <c r="D13957"/>
  <c r="C13958"/>
  <c r="D13958"/>
  <c r="C13959"/>
  <c r="D13959"/>
  <c r="C13960"/>
  <c r="D13960"/>
  <c r="C13961"/>
  <c r="D13961"/>
  <c r="C13962"/>
  <c r="D13962"/>
  <c r="C13963"/>
  <c r="D13963"/>
  <c r="C13964"/>
  <c r="D13964"/>
  <c r="C13965"/>
  <c r="D13965"/>
  <c r="C13966"/>
  <c r="D13966"/>
  <c r="C13967"/>
  <c r="D13967"/>
  <c r="C13968"/>
  <c r="D13968"/>
  <c r="C13969"/>
  <c r="D13969"/>
  <c r="C13970"/>
  <c r="D13970"/>
  <c r="C13971"/>
  <c r="D13971"/>
  <c r="C13972"/>
  <c r="D13972"/>
  <c r="C13973"/>
  <c r="D13973"/>
  <c r="C13974"/>
  <c r="D13974"/>
  <c r="C13975"/>
  <c r="D13975"/>
  <c r="C13976"/>
  <c r="D13976"/>
  <c r="C13977"/>
  <c r="D13977"/>
  <c r="C13978"/>
  <c r="D13978"/>
  <c r="C13979"/>
  <c r="D13979"/>
  <c r="C13980"/>
  <c r="D13980"/>
  <c r="C13981"/>
  <c r="D13981"/>
  <c r="C13982"/>
  <c r="D13982"/>
  <c r="C13983"/>
  <c r="D13983"/>
  <c r="C13984"/>
  <c r="D13984"/>
  <c r="C13985"/>
  <c r="D13985"/>
  <c r="C13986"/>
  <c r="D13986"/>
  <c r="C13987"/>
  <c r="D13987"/>
  <c r="C13988"/>
  <c r="D13988"/>
  <c r="C13989"/>
  <c r="D13989"/>
  <c r="C13990"/>
  <c r="D13990"/>
  <c r="C13991"/>
  <c r="D13991"/>
  <c r="C13992"/>
  <c r="D13992"/>
  <c r="C13993"/>
  <c r="D13993"/>
  <c r="C13994"/>
  <c r="D13994"/>
  <c r="C13995"/>
  <c r="D13995"/>
  <c r="C13996"/>
  <c r="D13996"/>
  <c r="C13997"/>
  <c r="D13997"/>
  <c r="C13998"/>
  <c r="D13998"/>
  <c r="C13999"/>
  <c r="D13999"/>
  <c r="C14000"/>
  <c r="D14000"/>
  <c r="C14001"/>
  <c r="D14001"/>
  <c r="C14002"/>
  <c r="D14002"/>
  <c r="C14003"/>
  <c r="D14003"/>
  <c r="C14004"/>
  <c r="D14004"/>
  <c r="C14005"/>
  <c r="D14005"/>
  <c r="C14006"/>
  <c r="D14006"/>
  <c r="C14007"/>
  <c r="D14007"/>
  <c r="C14008"/>
  <c r="D14008"/>
  <c r="C14009"/>
  <c r="D14009"/>
  <c r="C14010"/>
  <c r="D14010"/>
  <c r="C14011"/>
  <c r="D14011"/>
  <c r="C14012"/>
  <c r="D14012"/>
  <c r="C14013"/>
  <c r="D14013"/>
  <c r="C14014"/>
  <c r="D14014"/>
  <c r="C14015"/>
  <c r="D14015"/>
  <c r="C14016"/>
  <c r="D14016"/>
  <c r="C14017"/>
  <c r="D14017"/>
  <c r="C14018"/>
  <c r="D14018"/>
  <c r="C14019"/>
  <c r="D14019"/>
  <c r="C14020"/>
  <c r="D14020"/>
  <c r="C14021"/>
  <c r="D14021"/>
  <c r="C14022"/>
  <c r="D14022"/>
  <c r="C14023"/>
  <c r="D14023"/>
  <c r="C14024"/>
  <c r="D14024"/>
  <c r="C14025"/>
  <c r="D14025"/>
  <c r="C14026"/>
  <c r="D14026"/>
  <c r="C14027"/>
  <c r="D14027"/>
  <c r="C14028"/>
  <c r="D14028"/>
  <c r="C14029"/>
  <c r="D14029"/>
  <c r="C14030"/>
  <c r="D14030"/>
  <c r="C14031"/>
  <c r="D14031"/>
  <c r="C14032"/>
  <c r="D14032"/>
  <c r="C14033"/>
  <c r="D14033"/>
  <c r="C14034"/>
  <c r="D14034"/>
  <c r="C14035"/>
  <c r="D14035"/>
  <c r="C14036"/>
  <c r="D14036"/>
  <c r="C14037"/>
  <c r="D14037"/>
  <c r="C14038"/>
  <c r="D14038"/>
  <c r="C14039"/>
  <c r="D14039"/>
  <c r="C14040"/>
  <c r="D14040"/>
  <c r="C14041"/>
  <c r="D14041"/>
  <c r="C14042"/>
  <c r="D14042"/>
  <c r="C14043"/>
  <c r="D14043"/>
  <c r="C14044"/>
  <c r="D14044"/>
  <c r="C14045"/>
  <c r="D14045"/>
  <c r="C14046"/>
  <c r="D14046"/>
  <c r="C14047"/>
  <c r="D14047"/>
  <c r="C14048"/>
  <c r="D14048"/>
  <c r="C14049"/>
  <c r="D14049"/>
  <c r="C14050"/>
  <c r="D14050"/>
  <c r="C14051"/>
  <c r="D14051"/>
  <c r="C14052"/>
  <c r="D14052"/>
  <c r="C14053"/>
  <c r="D14053"/>
  <c r="C14054"/>
  <c r="D14054"/>
  <c r="C14055"/>
  <c r="D14055"/>
  <c r="C14056"/>
  <c r="D14056"/>
  <c r="C14057"/>
  <c r="D14057"/>
  <c r="C14058"/>
  <c r="D14058"/>
  <c r="C14059"/>
  <c r="D14059"/>
  <c r="C14060"/>
  <c r="D14060"/>
  <c r="C14061"/>
  <c r="D14061"/>
  <c r="C14062"/>
  <c r="D14062"/>
  <c r="C14063"/>
  <c r="D14063"/>
  <c r="C14064"/>
  <c r="D14064"/>
  <c r="C14065"/>
  <c r="D14065"/>
  <c r="C14066"/>
  <c r="D14066"/>
  <c r="C14067"/>
  <c r="D14067"/>
  <c r="C14068"/>
  <c r="D14068"/>
  <c r="C14069"/>
  <c r="D14069"/>
  <c r="C14070"/>
  <c r="D14070"/>
  <c r="C14071"/>
  <c r="D14071"/>
  <c r="C14072"/>
  <c r="D14072"/>
  <c r="C14073"/>
  <c r="D14073"/>
  <c r="C14074"/>
  <c r="D14074"/>
  <c r="C14075"/>
  <c r="D14075"/>
  <c r="C14076"/>
  <c r="D14076"/>
  <c r="C14077"/>
  <c r="D14077"/>
  <c r="C14078"/>
  <c r="D14078"/>
  <c r="C14079"/>
  <c r="D14079"/>
  <c r="C14080"/>
  <c r="D14080"/>
  <c r="C14081"/>
  <c r="D14081"/>
  <c r="C14082"/>
  <c r="D14082"/>
  <c r="C14083"/>
  <c r="D14083"/>
  <c r="C14084"/>
  <c r="D14084"/>
  <c r="C14085"/>
  <c r="D14085"/>
  <c r="C14086"/>
  <c r="D14086"/>
  <c r="C14087"/>
  <c r="D14087"/>
  <c r="C14088"/>
  <c r="D14088"/>
  <c r="C14089"/>
  <c r="D14089"/>
  <c r="C14090"/>
  <c r="D14090"/>
  <c r="C14091"/>
  <c r="D14091"/>
  <c r="C14092"/>
  <c r="D14092"/>
  <c r="C14093"/>
  <c r="D14093"/>
  <c r="C14094"/>
  <c r="D14094"/>
  <c r="C14095"/>
  <c r="D14095"/>
  <c r="C14096"/>
  <c r="D14096"/>
  <c r="C14097"/>
  <c r="D14097"/>
  <c r="C14098"/>
  <c r="D14098"/>
  <c r="C14099"/>
  <c r="D14099"/>
  <c r="C14100"/>
  <c r="D14100"/>
  <c r="C14101"/>
  <c r="D14101"/>
  <c r="C14102"/>
  <c r="D14102"/>
  <c r="C14103"/>
  <c r="D14103"/>
  <c r="C14104"/>
  <c r="D14104"/>
  <c r="C14105"/>
  <c r="D14105"/>
  <c r="C14106"/>
  <c r="D14106"/>
  <c r="C14107"/>
  <c r="D14107"/>
  <c r="C14108"/>
  <c r="D14108"/>
  <c r="C14109"/>
  <c r="D14109"/>
  <c r="C14110"/>
  <c r="D14110"/>
  <c r="C14111"/>
  <c r="D14111"/>
  <c r="C14112"/>
  <c r="D14112"/>
  <c r="C14113"/>
  <c r="D14113"/>
  <c r="C14114"/>
  <c r="D14114"/>
  <c r="C14115"/>
  <c r="D14115"/>
  <c r="C14116"/>
  <c r="D14116"/>
  <c r="C14117"/>
  <c r="D14117"/>
  <c r="C14118"/>
  <c r="D14118"/>
  <c r="C14119"/>
  <c r="D14119"/>
  <c r="C14120"/>
  <c r="D14120"/>
  <c r="C14121"/>
  <c r="D14121"/>
  <c r="C14122"/>
  <c r="D14122"/>
  <c r="C14123"/>
  <c r="D14123"/>
  <c r="C14124"/>
  <c r="D14124"/>
  <c r="C14125"/>
  <c r="D14125"/>
  <c r="C14126"/>
  <c r="D14126"/>
  <c r="C14127"/>
  <c r="D14127"/>
  <c r="C14128"/>
  <c r="D14128"/>
  <c r="C14129"/>
  <c r="D14129"/>
  <c r="C14130"/>
  <c r="D14130"/>
  <c r="C14131"/>
  <c r="D14131"/>
  <c r="C14132"/>
  <c r="D14132"/>
  <c r="C14133"/>
  <c r="D14133"/>
  <c r="C14134"/>
  <c r="D14134"/>
  <c r="C14135"/>
  <c r="D14135"/>
  <c r="C14136"/>
  <c r="D14136"/>
  <c r="C14137"/>
  <c r="D14137"/>
  <c r="C14138"/>
  <c r="D14138"/>
  <c r="C14139"/>
  <c r="D14139"/>
  <c r="C14140"/>
  <c r="D14140"/>
  <c r="C14141"/>
  <c r="D14141"/>
  <c r="C14142"/>
  <c r="D14142"/>
  <c r="C14143"/>
  <c r="D14143"/>
  <c r="C14144"/>
  <c r="D14144"/>
  <c r="C14145"/>
  <c r="D14145"/>
  <c r="C14146"/>
  <c r="D14146"/>
  <c r="C14147"/>
  <c r="D14147"/>
  <c r="C14148"/>
  <c r="D14148"/>
  <c r="C14149"/>
  <c r="D14149"/>
  <c r="C14150"/>
  <c r="D14150"/>
  <c r="C14151"/>
  <c r="D14151"/>
  <c r="C14152"/>
  <c r="D14152"/>
  <c r="C14153"/>
  <c r="D14153"/>
  <c r="C14154"/>
  <c r="D14154"/>
  <c r="C14155"/>
  <c r="D14155"/>
  <c r="C14156"/>
  <c r="D14156"/>
  <c r="C14157"/>
  <c r="D14157"/>
  <c r="C14158"/>
  <c r="D14158"/>
  <c r="C14159"/>
  <c r="D14159"/>
  <c r="C14160"/>
  <c r="D14160"/>
  <c r="C14161"/>
  <c r="D14161"/>
  <c r="C14162"/>
  <c r="D14162"/>
  <c r="C14163"/>
  <c r="D14163"/>
  <c r="C14164"/>
  <c r="D14164"/>
  <c r="C14165"/>
  <c r="D14165"/>
  <c r="C14166"/>
  <c r="D14166"/>
  <c r="C14167"/>
  <c r="D14167"/>
  <c r="C14168"/>
  <c r="D14168"/>
  <c r="C14169"/>
  <c r="D14169"/>
  <c r="C14170"/>
  <c r="D14170"/>
  <c r="C14171"/>
  <c r="D14171"/>
  <c r="C14172"/>
  <c r="D14172"/>
  <c r="C14173"/>
  <c r="D14173"/>
  <c r="C14174"/>
  <c r="D14174"/>
  <c r="C14175"/>
  <c r="D14175"/>
  <c r="C14176"/>
  <c r="D14176"/>
  <c r="C14177"/>
  <c r="D14177"/>
  <c r="C14178"/>
  <c r="D14178"/>
  <c r="C14179"/>
  <c r="D14179"/>
  <c r="C14180"/>
  <c r="D14180"/>
  <c r="C14181"/>
  <c r="D14181"/>
  <c r="C14182"/>
  <c r="D14182"/>
  <c r="C14183"/>
  <c r="D14183"/>
  <c r="C14184"/>
  <c r="D14184"/>
  <c r="C14185"/>
  <c r="D14185"/>
  <c r="C14186"/>
  <c r="D14186"/>
  <c r="C14187"/>
  <c r="D14187"/>
  <c r="C14188"/>
  <c r="D14188"/>
  <c r="C14189"/>
  <c r="D14189"/>
  <c r="C14190"/>
  <c r="D14190"/>
  <c r="C14191"/>
  <c r="D14191"/>
  <c r="C14192"/>
  <c r="D14192"/>
  <c r="C14193"/>
  <c r="D14193"/>
  <c r="C14194"/>
  <c r="D14194"/>
  <c r="C14195"/>
  <c r="D14195"/>
  <c r="C14196"/>
  <c r="D14196"/>
  <c r="C14197"/>
  <c r="D14197"/>
  <c r="C14198"/>
  <c r="D14198"/>
  <c r="C14199"/>
  <c r="D14199"/>
  <c r="C14200"/>
  <c r="D14200"/>
  <c r="C14201"/>
  <c r="D14201"/>
  <c r="C14202"/>
  <c r="D14202"/>
  <c r="C14203"/>
  <c r="D14203"/>
  <c r="C14204"/>
  <c r="D14204"/>
  <c r="C14205"/>
  <c r="D14205"/>
  <c r="C14206"/>
  <c r="D14206"/>
  <c r="C14207"/>
  <c r="D14207"/>
  <c r="C14208"/>
  <c r="D14208"/>
  <c r="C14209"/>
  <c r="D14209"/>
  <c r="C14210"/>
  <c r="D14210"/>
  <c r="C14211"/>
  <c r="D14211"/>
  <c r="C14212"/>
  <c r="D14212"/>
  <c r="C14213"/>
  <c r="D14213"/>
  <c r="C14214"/>
  <c r="D14214"/>
  <c r="C14215"/>
  <c r="D14215"/>
  <c r="C14216"/>
  <c r="D14216"/>
  <c r="C14217"/>
  <c r="D14217"/>
  <c r="C14218"/>
  <c r="D14218"/>
  <c r="C14219"/>
  <c r="D14219"/>
  <c r="C14220"/>
  <c r="D14220"/>
  <c r="C14221"/>
  <c r="D14221"/>
  <c r="C14222"/>
  <c r="D14222"/>
  <c r="C14223"/>
  <c r="D14223"/>
  <c r="C14224"/>
  <c r="D14224"/>
  <c r="C14225"/>
  <c r="D14225"/>
  <c r="C14226"/>
  <c r="D14226"/>
  <c r="C14227"/>
  <c r="D14227"/>
  <c r="C14228"/>
  <c r="D14228"/>
  <c r="C14229"/>
  <c r="D14229"/>
  <c r="C14230"/>
  <c r="D14230"/>
  <c r="C14231"/>
  <c r="D14231"/>
  <c r="C14232"/>
  <c r="D14232"/>
</calcChain>
</file>

<file path=xl/sharedStrings.xml><?xml version="1.0" encoding="utf-8"?>
<sst xmlns="http://schemas.openxmlformats.org/spreadsheetml/2006/main" count="4" uniqueCount="4">
  <si>
    <t>Invalid</t>
  </si>
  <si>
    <t>Valid</t>
  </si>
  <si>
    <t>Invalid (log10)</t>
  </si>
  <si>
    <t>Valid (log10)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</si>
</sst>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plotArea>
      <c:layout/>
      <c:lineChart>
        <c:grouping val="standard"/>
        <c:ser>
          <c:idx val="0"/>
          <c:order val="0"/>
          <c:tx>
            <c:strRef>
              <c:f>stat.600!$C$1</c:f>
              <c:strCache>
                <c:ptCount val="1"/>
                <c:pt idx="0">
                  <c:v>Invalid (log10)</c:v>
                </c:pt>
              </c:strCache>
            </c:strRef>
          </c:tx>
          <c:marker>
            <c:symbol val="none"/>
          </c:marker>
          <c:val>
            <c:numRef>
              <c:f>stat.600!$C$2:$C$14232</c:f>
              <c:numCache>
                <c:formatCode>General</c:formatCode>
                <c:ptCount val="14231"/>
                <c:pt idx="0">
                  <c:v>2.5169409808640967E-2</c:v>
                </c:pt>
                <c:pt idx="1">
                  <c:v>2.5715793226766939E-2</c:v>
                </c:pt>
                <c:pt idx="2">
                  <c:v>2.0487657214304948E-2</c:v>
                </c:pt>
                <c:pt idx="3">
                  <c:v>1.8008570913784359E-2</c:v>
                </c:pt>
                <c:pt idx="4">
                  <c:v>1.8789095686725679E-2</c:v>
                </c:pt>
                <c:pt idx="5">
                  <c:v>2.1083401029112048E-2</c:v>
                </c:pt>
                <c:pt idx="6">
                  <c:v>2.063884403102478E-2</c:v>
                </c:pt>
                <c:pt idx="7">
                  <c:v>1.8822366894535657E-2</c:v>
                </c:pt>
                <c:pt idx="8">
                  <c:v>2.2131316124723733E-2</c:v>
                </c:pt>
                <c:pt idx="9">
                  <c:v>2.4011708004836159E-2</c:v>
                </c:pt>
                <c:pt idx="10">
                  <c:v>2.2205186293374646E-2</c:v>
                </c:pt>
                <c:pt idx="11">
                  <c:v>1.8853972181211331E-2</c:v>
                </c:pt>
                <c:pt idx="12">
                  <c:v>1.1682068728082837E-2</c:v>
                </c:pt>
                <c:pt idx="13">
                  <c:v>1.3811817180288222E-2</c:v>
                </c:pt>
                <c:pt idx="14">
                  <c:v>1.1999029135273854E-2</c:v>
                </c:pt>
                <c:pt idx="15">
                  <c:v>4.3385732235233709E-3</c:v>
                </c:pt>
                <c:pt idx="16">
                  <c:v>2.4947219414939444E-2</c:v>
                </c:pt>
                <c:pt idx="17">
                  <c:v>1.8186862299600343E-2</c:v>
                </c:pt>
                <c:pt idx="18">
                  <c:v>1.1880724308335045E-2</c:v>
                </c:pt>
                <c:pt idx="19">
                  <c:v>1.1663466531904493E-2</c:v>
                </c:pt>
                <c:pt idx="20">
                  <c:v>1.9717237270573375E-2</c:v>
                </c:pt>
                <c:pt idx="21">
                  <c:v>2.1371251017941888E-2</c:v>
                </c:pt>
                <c:pt idx="22">
                  <c:v>1.9059350500190229E-2</c:v>
                </c:pt>
                <c:pt idx="23">
                  <c:v>2.1186817380093828E-2</c:v>
                </c:pt>
                <c:pt idx="24">
                  <c:v>1.9889850506883511E-2</c:v>
                </c:pt>
                <c:pt idx="25">
                  <c:v>1.6424482841375158E-2</c:v>
                </c:pt>
                <c:pt idx="26">
                  <c:v>1.4680954478011403E-2</c:v>
                </c:pt>
                <c:pt idx="27">
                  <c:v>1.7014129694942204E-2</c:v>
                </c:pt>
                <c:pt idx="28">
                  <c:v>1.9152029957757763E-2</c:v>
                </c:pt>
                <c:pt idx="29">
                  <c:v>2.0978304790253744E-2</c:v>
                </c:pt>
                <c:pt idx="30">
                  <c:v>2.2972444976926409E-2</c:v>
                </c:pt>
                <c:pt idx="31">
                  <c:v>1.6334147280238135E-2</c:v>
                </c:pt>
                <c:pt idx="32">
                  <c:v>1.6212833868359644E-2</c:v>
                </c:pt>
                <c:pt idx="33">
                  <c:v>1.9838820563445717E-2</c:v>
                </c:pt>
                <c:pt idx="34">
                  <c:v>1.5668598303080275E-2</c:v>
                </c:pt>
                <c:pt idx="35">
                  <c:v>1.490887803801118E-2</c:v>
                </c:pt>
                <c:pt idx="36">
                  <c:v>1.5470410947159929E-2</c:v>
                </c:pt>
                <c:pt idx="37">
                  <c:v>1.8841080828867474E-2</c:v>
                </c:pt>
                <c:pt idx="38">
                  <c:v>1.8622285337822495E-2</c:v>
                </c:pt>
                <c:pt idx="39">
                  <c:v>0</c:v>
                </c:pt>
                <c:pt idx="40">
                  <c:v>1.8020653716843815E-2</c:v>
                </c:pt>
                <c:pt idx="41">
                  <c:v>2.1720054726163975E-2</c:v>
                </c:pt>
                <c:pt idx="42">
                  <c:v>1.9459849770980774E-2</c:v>
                </c:pt>
                <c:pt idx="43">
                  <c:v>2.0239016514824064E-2</c:v>
                </c:pt>
                <c:pt idx="44">
                  <c:v>2.2853796087589123E-2</c:v>
                </c:pt>
                <c:pt idx="45">
                  <c:v>2.7721758947742651E-2</c:v>
                </c:pt>
                <c:pt idx="46">
                  <c:v>1.9124602223647535E-2</c:v>
                </c:pt>
                <c:pt idx="47">
                  <c:v>2.7602362922441465E-2</c:v>
                </c:pt>
                <c:pt idx="48">
                  <c:v>2.4300498918575691E-2</c:v>
                </c:pt>
                <c:pt idx="49">
                  <c:v>2.483321047935157E-2</c:v>
                </c:pt>
                <c:pt idx="50">
                  <c:v>1.952379574530913E-2</c:v>
                </c:pt>
                <c:pt idx="51">
                  <c:v>2.2453529016530839E-2</c:v>
                </c:pt>
                <c:pt idx="52">
                  <c:v>1.9234718248171145E-2</c:v>
                </c:pt>
                <c:pt idx="53">
                  <c:v>2.2261302715681133E-2</c:v>
                </c:pt>
                <c:pt idx="54">
                  <c:v>2.2244386028301508E-2</c:v>
                </c:pt>
                <c:pt idx="55">
                  <c:v>2.5832435253115307E-2</c:v>
                </c:pt>
                <c:pt idx="56">
                  <c:v>1.2887397577131515E-2</c:v>
                </c:pt>
                <c:pt idx="57">
                  <c:v>1.7223718991423918E-2</c:v>
                </c:pt>
                <c:pt idx="58">
                  <c:v>2.2215502356135553E-2</c:v>
                </c:pt>
                <c:pt idx="59">
                  <c:v>2.8363815345622784E-2</c:v>
                </c:pt>
                <c:pt idx="60">
                  <c:v>2.1867096499460986E-2</c:v>
                </c:pt>
                <c:pt idx="61">
                  <c:v>3.1164786997530978E-2</c:v>
                </c:pt>
                <c:pt idx="62">
                  <c:v>3.5255184775053294E-2</c:v>
                </c:pt>
                <c:pt idx="63">
                  <c:v>2.9149520203511178E-2</c:v>
                </c:pt>
                <c:pt idx="64">
                  <c:v>5.2747792640640383E-2</c:v>
                </c:pt>
                <c:pt idx="65">
                  <c:v>4.1219722554226672E-2</c:v>
                </c:pt>
                <c:pt idx="66">
                  <c:v>4.245264839118857E-2</c:v>
                </c:pt>
                <c:pt idx="67">
                  <c:v>3.6020537026712762E-2</c:v>
                </c:pt>
                <c:pt idx="68">
                  <c:v>3.5808229962680439E-2</c:v>
                </c:pt>
                <c:pt idx="69">
                  <c:v>5.1336624280877097E-2</c:v>
                </c:pt>
                <c:pt idx="70">
                  <c:v>4.7899568228316938E-2</c:v>
                </c:pt>
                <c:pt idx="71">
                  <c:v>4.8124707228153811E-2</c:v>
                </c:pt>
                <c:pt idx="72">
                  <c:v>5.2191269735750723E-2</c:v>
                </c:pt>
                <c:pt idx="73">
                  <c:v>2.5776369136505467E-2</c:v>
                </c:pt>
                <c:pt idx="74">
                  <c:v>5.1272178219467515E-2</c:v>
                </c:pt>
                <c:pt idx="75">
                  <c:v>5.8948837088502369E-2</c:v>
                </c:pt>
                <c:pt idx="76">
                  <c:v>5.9391862312600491E-2</c:v>
                </c:pt>
                <c:pt idx="77">
                  <c:v>4.9628856994249168E-2</c:v>
                </c:pt>
                <c:pt idx="78">
                  <c:v>4.5778162486025814E-2</c:v>
                </c:pt>
                <c:pt idx="79">
                  <c:v>3.8940698387354256E-2</c:v>
                </c:pt>
                <c:pt idx="80">
                  <c:v>3.3642858072322902E-2</c:v>
                </c:pt>
                <c:pt idx="81">
                  <c:v>3.1972075211044844E-2</c:v>
                </c:pt>
                <c:pt idx="82">
                  <c:v>3.2530120278536821E-2</c:v>
                </c:pt>
                <c:pt idx="83">
                  <c:v>3.9723369498121226E-2</c:v>
                </c:pt>
                <c:pt idx="84">
                  <c:v>3.8860090051673908E-2</c:v>
                </c:pt>
                <c:pt idx="85">
                  <c:v>4.4374320698047233E-2</c:v>
                </c:pt>
                <c:pt idx="86">
                  <c:v>4.1508350011905698E-2</c:v>
                </c:pt>
                <c:pt idx="87">
                  <c:v>4.3672265415466545E-2</c:v>
                </c:pt>
                <c:pt idx="88">
                  <c:v>4.0997692423490557E-2</c:v>
                </c:pt>
                <c:pt idx="89">
                  <c:v>4.4546815660621228E-2</c:v>
                </c:pt>
                <c:pt idx="90">
                  <c:v>1.9470231251167813E-2</c:v>
                </c:pt>
                <c:pt idx="91">
                  <c:v>5.1212354454333198E-2</c:v>
                </c:pt>
                <c:pt idx="92">
                  <c:v>5.7735691933519392E-2</c:v>
                </c:pt>
                <c:pt idx="93">
                  <c:v>4.8984914599766005E-2</c:v>
                </c:pt>
                <c:pt idx="94">
                  <c:v>4.7867673820533654E-2</c:v>
                </c:pt>
                <c:pt idx="95">
                  <c:v>4.155926436313219E-2</c:v>
                </c:pt>
                <c:pt idx="96">
                  <c:v>4.6451459546314494E-2</c:v>
                </c:pt>
                <c:pt idx="97">
                  <c:v>5.2958515529458947E-2</c:v>
                </c:pt>
                <c:pt idx="98">
                  <c:v>5.1115074997628372E-2</c:v>
                </c:pt>
                <c:pt idx="99">
                  <c:v>5.9500559922772429E-2</c:v>
                </c:pt>
                <c:pt idx="100">
                  <c:v>2.6171951216967713E-2</c:v>
                </c:pt>
                <c:pt idx="101">
                  <c:v>7.159503729089081E-3</c:v>
                </c:pt>
                <c:pt idx="102">
                  <c:v>2.3069145359488879E-3</c:v>
                </c:pt>
                <c:pt idx="103">
                  <c:v>3.6948500355091915E-3</c:v>
                </c:pt>
                <c:pt idx="104">
                  <c:v>3.3855581385002663E-3</c:v>
                </c:pt>
                <c:pt idx="105">
                  <c:v>4.5199858368521811E-3</c:v>
                </c:pt>
                <c:pt idx="106">
                  <c:v>4.1360065834609439E-3</c:v>
                </c:pt>
                <c:pt idx="107">
                  <c:v>3.132102007472058E-3</c:v>
                </c:pt>
                <c:pt idx="108">
                  <c:v>4.825464708522271E-3</c:v>
                </c:pt>
                <c:pt idx="109">
                  <c:v>4.9577292495263927E-3</c:v>
                </c:pt>
                <c:pt idx="110">
                  <c:v>4.2663309940322225E-3</c:v>
                </c:pt>
                <c:pt idx="111">
                  <c:v>5.8164683046933027E-3</c:v>
                </c:pt>
                <c:pt idx="112">
                  <c:v>6.419829146180083E-3</c:v>
                </c:pt>
                <c:pt idx="113">
                  <c:v>1.1910303536493305E-2</c:v>
                </c:pt>
                <c:pt idx="114">
                  <c:v>1.6830998455557918E-3</c:v>
                </c:pt>
                <c:pt idx="115">
                  <c:v>1.4974684985790997E-3</c:v>
                </c:pt>
                <c:pt idx="116">
                  <c:v>2.1790255774039851E-3</c:v>
                </c:pt>
                <c:pt idx="117">
                  <c:v>6.5028380553857406E-3</c:v>
                </c:pt>
                <c:pt idx="118">
                  <c:v>4.9354016985587133E-3</c:v>
                </c:pt>
                <c:pt idx="119">
                  <c:v>4.0904053100546634E-3</c:v>
                </c:pt>
                <c:pt idx="120">
                  <c:v>2.393736587240887E-3</c:v>
                </c:pt>
                <c:pt idx="121">
                  <c:v>4.6330079860993799E-3</c:v>
                </c:pt>
                <c:pt idx="122">
                  <c:v>3.0337832877345718E-3</c:v>
                </c:pt>
                <c:pt idx="123">
                  <c:v>5.9252979324404247E-3</c:v>
                </c:pt>
                <c:pt idx="124">
                  <c:v>3.7951718134844304E-3</c:v>
                </c:pt>
                <c:pt idx="125">
                  <c:v>7.1402795885216579E-3</c:v>
                </c:pt>
                <c:pt idx="126">
                  <c:v>3.6108719323226729E-3</c:v>
                </c:pt>
                <c:pt idx="127">
                  <c:v>2.6079098043019235E-3</c:v>
                </c:pt>
                <c:pt idx="128">
                  <c:v>3.1355513829500938E-3</c:v>
                </c:pt>
                <c:pt idx="129">
                  <c:v>4.0168308975251209E-3</c:v>
                </c:pt>
                <c:pt idx="130">
                  <c:v>5.5189757842160018E-3</c:v>
                </c:pt>
                <c:pt idx="131">
                  <c:v>5.4229116252166596E-3</c:v>
                </c:pt>
                <c:pt idx="132">
                  <c:v>4.1631069586775234E-3</c:v>
                </c:pt>
                <c:pt idx="133">
                  <c:v>2.3397448149725547E-3</c:v>
                </c:pt>
                <c:pt idx="134">
                  <c:v>4.9366898577014292E-3</c:v>
                </c:pt>
                <c:pt idx="135">
                  <c:v>2.5526494072493824E-3</c:v>
                </c:pt>
                <c:pt idx="136">
                  <c:v>4.4318683211603885E-3</c:v>
                </c:pt>
                <c:pt idx="137">
                  <c:v>5.2770593390685152E-3</c:v>
                </c:pt>
                <c:pt idx="138">
                  <c:v>4.5582361686554674E-3</c:v>
                </c:pt>
                <c:pt idx="139">
                  <c:v>4.5320200123240674E-3</c:v>
                </c:pt>
                <c:pt idx="140">
                  <c:v>7.2940488914312734E-3</c:v>
                </c:pt>
                <c:pt idx="141">
                  <c:v>3.802921029546606E-3</c:v>
                </c:pt>
                <c:pt idx="142">
                  <c:v>1.986689186995151E-3</c:v>
                </c:pt>
                <c:pt idx="143">
                  <c:v>2.8047178443803859E-3</c:v>
                </c:pt>
                <c:pt idx="144">
                  <c:v>5.800612894037935E-3</c:v>
                </c:pt>
                <c:pt idx="145">
                  <c:v>1.0066630335587421E-2</c:v>
                </c:pt>
                <c:pt idx="146">
                  <c:v>1.4806474146569598E-2</c:v>
                </c:pt>
                <c:pt idx="147">
                  <c:v>7.1419884354755776E-3</c:v>
                </c:pt>
                <c:pt idx="148">
                  <c:v>1.0735305193309402E-2</c:v>
                </c:pt>
                <c:pt idx="149">
                  <c:v>7.1317352528916383E-3</c:v>
                </c:pt>
                <c:pt idx="150">
                  <c:v>9.6144690762413557E-3</c:v>
                </c:pt>
                <c:pt idx="151">
                  <c:v>1.2867582093370102E-2</c:v>
                </c:pt>
                <c:pt idx="152">
                  <c:v>2.0815231151260292E-2</c:v>
                </c:pt>
                <c:pt idx="153">
                  <c:v>3.3765086804195764E-3</c:v>
                </c:pt>
                <c:pt idx="154">
                  <c:v>5.4293451568686747E-3</c:v>
                </c:pt>
                <c:pt idx="155">
                  <c:v>3.8946095888250857E-3</c:v>
                </c:pt>
                <c:pt idx="156">
                  <c:v>5.7569003858929874E-3</c:v>
                </c:pt>
                <c:pt idx="157">
                  <c:v>4.0589978750480036E-3</c:v>
                </c:pt>
                <c:pt idx="158">
                  <c:v>7.67268719818985E-3</c:v>
                </c:pt>
                <c:pt idx="159">
                  <c:v>9.8467646932677254E-3</c:v>
                </c:pt>
                <c:pt idx="160">
                  <c:v>1.1436370956216541E-2</c:v>
                </c:pt>
                <c:pt idx="161">
                  <c:v>7.8744642965405138E-3</c:v>
                </c:pt>
                <c:pt idx="162">
                  <c:v>8.4247154158536685E-3</c:v>
                </c:pt>
                <c:pt idx="163">
                  <c:v>1.2071263735695923E-2</c:v>
                </c:pt>
                <c:pt idx="164">
                  <c:v>9.6114955664767781E-3</c:v>
                </c:pt>
                <c:pt idx="165">
                  <c:v>1.0249908102912543E-2</c:v>
                </c:pt>
                <c:pt idx="166">
                  <c:v>8.9402359316574209E-3</c:v>
                </c:pt>
                <c:pt idx="167">
                  <c:v>3.6866682676504831E-3</c:v>
                </c:pt>
                <c:pt idx="168">
                  <c:v>3.0600900384603245E-3</c:v>
                </c:pt>
                <c:pt idx="169">
                  <c:v>8.618905629625008E-3</c:v>
                </c:pt>
                <c:pt idx="170">
                  <c:v>7.2218695265670162E-3</c:v>
                </c:pt>
                <c:pt idx="171">
                  <c:v>1.1478246667506253E-2</c:v>
                </c:pt>
                <c:pt idx="172">
                  <c:v>5.4443563601040473E-3</c:v>
                </c:pt>
                <c:pt idx="173">
                  <c:v>1.7998900931614483E-3</c:v>
                </c:pt>
                <c:pt idx="174">
                  <c:v>4.9761915496439497E-3</c:v>
                </c:pt>
                <c:pt idx="175">
                  <c:v>4.0951377403394881E-3</c:v>
                </c:pt>
                <c:pt idx="176">
                  <c:v>4.0878239627091468E-3</c:v>
                </c:pt>
                <c:pt idx="177">
                  <c:v>5.4902445353626041E-3</c:v>
                </c:pt>
                <c:pt idx="178">
                  <c:v>7.5741108123677722E-3</c:v>
                </c:pt>
                <c:pt idx="179">
                  <c:v>8.511174852885741E-3</c:v>
                </c:pt>
                <c:pt idx="180">
                  <c:v>6.3903015334237957E-3</c:v>
                </c:pt>
                <c:pt idx="181">
                  <c:v>2.0351054690536112E-3</c:v>
                </c:pt>
                <c:pt idx="182">
                  <c:v>4.0676028776617445E-3</c:v>
                </c:pt>
                <c:pt idx="183">
                  <c:v>5.3478467131348644E-3</c:v>
                </c:pt>
                <c:pt idx="184">
                  <c:v>5.7234702048466193E-3</c:v>
                </c:pt>
                <c:pt idx="185">
                  <c:v>9.1333453118619037E-3</c:v>
                </c:pt>
                <c:pt idx="186">
                  <c:v>9.1550328521182375E-3</c:v>
                </c:pt>
                <c:pt idx="187">
                  <c:v>6.4129823422984537E-3</c:v>
                </c:pt>
                <c:pt idx="188">
                  <c:v>5.6651755283594115E-3</c:v>
                </c:pt>
                <c:pt idx="189">
                  <c:v>5.6000133934947325E-3</c:v>
                </c:pt>
                <c:pt idx="190">
                  <c:v>3.990151715542985E-3</c:v>
                </c:pt>
                <c:pt idx="191">
                  <c:v>4.0323212833829267E-3</c:v>
                </c:pt>
                <c:pt idx="192">
                  <c:v>3.59065998111937E-2</c:v>
                </c:pt>
                <c:pt idx="193">
                  <c:v>3.0340606035139175E-2</c:v>
                </c:pt>
                <c:pt idx="194">
                  <c:v>3.9403807038613993E-2</c:v>
                </c:pt>
                <c:pt idx="195">
                  <c:v>4.9927049740396572E-2</c:v>
                </c:pt>
                <c:pt idx="196">
                  <c:v>4.8929043164983956E-2</c:v>
                </c:pt>
                <c:pt idx="197">
                  <c:v>5.5453256001805284E-2</c:v>
                </c:pt>
                <c:pt idx="198">
                  <c:v>5.0418813937583434E-2</c:v>
                </c:pt>
                <c:pt idx="199">
                  <c:v>4.8455787762957316E-2</c:v>
                </c:pt>
                <c:pt idx="200">
                  <c:v>5.1282598290684323E-2</c:v>
                </c:pt>
                <c:pt idx="201">
                  <c:v>5.0708736351167648E-2</c:v>
                </c:pt>
                <c:pt idx="202">
                  <c:v>3.679252329962393E-2</c:v>
                </c:pt>
                <c:pt idx="203">
                  <c:v>4.1368206052100148E-2</c:v>
                </c:pt>
                <c:pt idx="204">
                  <c:v>4.5924314455803743E-2</c:v>
                </c:pt>
                <c:pt idx="205">
                  <c:v>3.8122404999368621E-2</c:v>
                </c:pt>
                <c:pt idx="206">
                  <c:v>4.858317874049764E-2</c:v>
                </c:pt>
                <c:pt idx="207">
                  <c:v>5.0598588632247796E-2</c:v>
                </c:pt>
                <c:pt idx="208">
                  <c:v>5.4795695571913265E-2</c:v>
                </c:pt>
                <c:pt idx="209">
                  <c:v>5.1330450222141957E-2</c:v>
                </c:pt>
                <c:pt idx="210">
                  <c:v>3.960564245037286E-2</c:v>
                </c:pt>
                <c:pt idx="211">
                  <c:v>5.3151460310992625E-2</c:v>
                </c:pt>
                <c:pt idx="212">
                  <c:v>4.3870949562791743E-2</c:v>
                </c:pt>
                <c:pt idx="213">
                  <c:v>3.7363142106188872E-2</c:v>
                </c:pt>
                <c:pt idx="214">
                  <c:v>3.6035726397234145E-2</c:v>
                </c:pt>
                <c:pt idx="215">
                  <c:v>2.295637983724743E-2</c:v>
                </c:pt>
                <c:pt idx="216">
                  <c:v>2.5286198654266876E-2</c:v>
                </c:pt>
                <c:pt idx="217">
                  <c:v>2.6715442054980203E-2</c:v>
                </c:pt>
                <c:pt idx="218">
                  <c:v>2.0350093619020914E-2</c:v>
                </c:pt>
                <c:pt idx="219">
                  <c:v>2.4467605927365892E-2</c:v>
                </c:pt>
                <c:pt idx="220">
                  <c:v>2.0917469755790095E-2</c:v>
                </c:pt>
                <c:pt idx="221">
                  <c:v>1.9828447890473933E-2</c:v>
                </c:pt>
                <c:pt idx="222">
                  <c:v>2.141755389012721E-2</c:v>
                </c:pt>
                <c:pt idx="223">
                  <c:v>2.6054582342477168E-2</c:v>
                </c:pt>
                <c:pt idx="224">
                  <c:v>2.5444735351694656E-2</c:v>
                </c:pt>
                <c:pt idx="225">
                  <c:v>1.8967066996214772E-2</c:v>
                </c:pt>
                <c:pt idx="226">
                  <c:v>2.048185721969777E-2</c:v>
                </c:pt>
                <c:pt idx="227">
                  <c:v>2.1339828400087933E-2</c:v>
                </c:pt>
                <c:pt idx="228">
                  <c:v>2.4611258339073006E-2</c:v>
                </c:pt>
                <c:pt idx="229">
                  <c:v>2.2646906957837842E-2</c:v>
                </c:pt>
                <c:pt idx="230">
                  <c:v>2.2724398893114915E-2</c:v>
                </c:pt>
                <c:pt idx="231">
                  <c:v>1.5813096542935213E-2</c:v>
                </c:pt>
                <c:pt idx="232">
                  <c:v>2.0538196746159254E-2</c:v>
                </c:pt>
                <c:pt idx="233">
                  <c:v>2.4285304183452601E-2</c:v>
                </c:pt>
                <c:pt idx="234">
                  <c:v>2.0469014098838768E-2</c:v>
                </c:pt>
                <c:pt idx="235">
                  <c:v>2.4939428390111294E-2</c:v>
                </c:pt>
                <c:pt idx="236">
                  <c:v>2.6325668728057174E-2</c:v>
                </c:pt>
                <c:pt idx="237">
                  <c:v>2.9229514867645408E-2</c:v>
                </c:pt>
                <c:pt idx="238">
                  <c:v>2.8965923440011265E-2</c:v>
                </c:pt>
                <c:pt idx="239">
                  <c:v>2.7521252702459791E-2</c:v>
                </c:pt>
                <c:pt idx="240">
                  <c:v>2.5606080207350619E-2</c:v>
                </c:pt>
                <c:pt idx="241">
                  <c:v>1.6223711626203691E-2</c:v>
                </c:pt>
                <c:pt idx="242">
                  <c:v>1.3363119289078617E-2</c:v>
                </c:pt>
                <c:pt idx="243">
                  <c:v>2.4414647766500753E-2</c:v>
                </c:pt>
                <c:pt idx="244">
                  <c:v>3.0126313758389502E-2</c:v>
                </c:pt>
                <c:pt idx="245">
                  <c:v>2.7683457996848841E-2</c:v>
                </c:pt>
                <c:pt idx="246">
                  <c:v>2.6079939977085922E-2</c:v>
                </c:pt>
                <c:pt idx="247">
                  <c:v>2.4184676979813503E-2</c:v>
                </c:pt>
                <c:pt idx="248">
                  <c:v>2.2276568428910258E-2</c:v>
                </c:pt>
                <c:pt idx="249">
                  <c:v>1.7286743000675422E-2</c:v>
                </c:pt>
                <c:pt idx="250">
                  <c:v>2.3538876029403064E-2</c:v>
                </c:pt>
                <c:pt idx="251">
                  <c:v>2.0633874342179875E-2</c:v>
                </c:pt>
                <c:pt idx="252">
                  <c:v>2.1908804342886404E-2</c:v>
                </c:pt>
                <c:pt idx="253">
                  <c:v>2.4200696748150844E-2</c:v>
                </c:pt>
                <c:pt idx="254">
                  <c:v>1.8311372915252751E-2</c:v>
                </c:pt>
                <c:pt idx="255">
                  <c:v>1.773557664452001E-2</c:v>
                </c:pt>
                <c:pt idx="256">
                  <c:v>2.3110415936905753E-2</c:v>
                </c:pt>
                <c:pt idx="257">
                  <c:v>2.9255093808419837E-2</c:v>
                </c:pt>
                <c:pt idx="258">
                  <c:v>1.5150942039828681E-2</c:v>
                </c:pt>
                <c:pt idx="259">
                  <c:v>2.2201472450793212E-2</c:v>
                </c:pt>
                <c:pt idx="260">
                  <c:v>2.4075809055905034E-2</c:v>
                </c:pt>
                <c:pt idx="261">
                  <c:v>2.5792739553732322E-2</c:v>
                </c:pt>
                <c:pt idx="262">
                  <c:v>3.4252948409039953E-2</c:v>
                </c:pt>
                <c:pt idx="263">
                  <c:v>2.1676263004724236E-2</c:v>
                </c:pt>
                <c:pt idx="264">
                  <c:v>3.0736100588324076E-2</c:v>
                </c:pt>
                <c:pt idx="265">
                  <c:v>3.4886630699678928E-2</c:v>
                </c:pt>
                <c:pt idx="266">
                  <c:v>2.0562635885445497E-2</c:v>
                </c:pt>
                <c:pt idx="267">
                  <c:v>5.0837013564982166E-2</c:v>
                </c:pt>
                <c:pt idx="268">
                  <c:v>5.6115928818492353E-2</c:v>
                </c:pt>
                <c:pt idx="269">
                  <c:v>4.8613079134246583E-2</c:v>
                </c:pt>
                <c:pt idx="270">
                  <c:v>4.6749501348569304E-2</c:v>
                </c:pt>
                <c:pt idx="271">
                  <c:v>5.4084226205351513E-2</c:v>
                </c:pt>
                <c:pt idx="272">
                  <c:v>5.5507912243398162E-2</c:v>
                </c:pt>
                <c:pt idx="273">
                  <c:v>5.0788720868341707E-2</c:v>
                </c:pt>
                <c:pt idx="274">
                  <c:v>4.9736539811115442E-2</c:v>
                </c:pt>
                <c:pt idx="275">
                  <c:v>5.3602739242658771E-2</c:v>
                </c:pt>
                <c:pt idx="276">
                  <c:v>4.9395969394475603E-2</c:v>
                </c:pt>
                <c:pt idx="277">
                  <c:v>5.25950700140983E-2</c:v>
                </c:pt>
                <c:pt idx="278">
                  <c:v>4.6308217493906685E-2</c:v>
                </c:pt>
                <c:pt idx="279">
                  <c:v>4.8688015231798283E-2</c:v>
                </c:pt>
                <c:pt idx="280">
                  <c:v>5.2367232695036396E-2</c:v>
                </c:pt>
                <c:pt idx="281">
                  <c:v>5.4089594365166443E-2</c:v>
                </c:pt>
                <c:pt idx="282">
                  <c:v>5.381995403195855E-2</c:v>
                </c:pt>
                <c:pt idx="283">
                  <c:v>4.6193433636658288E-2</c:v>
                </c:pt>
                <c:pt idx="284">
                  <c:v>4.3517102932599673E-2</c:v>
                </c:pt>
                <c:pt idx="285">
                  <c:v>3.5163075573779422E-2</c:v>
                </c:pt>
                <c:pt idx="286">
                  <c:v>4.7998348238990018E-2</c:v>
                </c:pt>
                <c:pt idx="287">
                  <c:v>4.3235704987264222E-2</c:v>
                </c:pt>
                <c:pt idx="288">
                  <c:v>4.003556816957049E-2</c:v>
                </c:pt>
                <c:pt idx="289">
                  <c:v>4.2778240871442177E-2</c:v>
                </c:pt>
                <c:pt idx="290">
                  <c:v>4.4009895914714908E-2</c:v>
                </c:pt>
                <c:pt idx="291">
                  <c:v>4.458209028254511E-2</c:v>
                </c:pt>
                <c:pt idx="292">
                  <c:v>4.2975760847300704E-2</c:v>
                </c:pt>
                <c:pt idx="293">
                  <c:v>4.9266490331847157E-2</c:v>
                </c:pt>
                <c:pt idx="294">
                  <c:v>4.9905757047155538E-2</c:v>
                </c:pt>
                <c:pt idx="295">
                  <c:v>4.6332810088294075E-2</c:v>
                </c:pt>
                <c:pt idx="296">
                  <c:v>5.7376224004627323E-2</c:v>
                </c:pt>
                <c:pt idx="297">
                  <c:v>4.3429087417754329E-2</c:v>
                </c:pt>
                <c:pt idx="298">
                  <c:v>4.2748723200121012E-2</c:v>
                </c:pt>
                <c:pt idx="299">
                  <c:v>4.3171618236420135E-2</c:v>
                </c:pt>
                <c:pt idx="300">
                  <c:v>4.0428666706596568E-2</c:v>
                </c:pt>
                <c:pt idx="301">
                  <c:v>3.8157011991587969E-2</c:v>
                </c:pt>
                <c:pt idx="302">
                  <c:v>4.3640844578940942E-2</c:v>
                </c:pt>
                <c:pt idx="303">
                  <c:v>3.1574070568315307E-2</c:v>
                </c:pt>
                <c:pt idx="304">
                  <c:v>3.1622124970043304E-2</c:v>
                </c:pt>
                <c:pt idx="305">
                  <c:v>3.0802453331447405E-2</c:v>
                </c:pt>
                <c:pt idx="306">
                  <c:v>3.016723595240511E-2</c:v>
                </c:pt>
                <c:pt idx="307">
                  <c:v>4.4817572949827605E-2</c:v>
                </c:pt>
                <c:pt idx="308">
                  <c:v>6.1133426910730322E-2</c:v>
                </c:pt>
                <c:pt idx="309">
                  <c:v>5.6046844178430553E-2</c:v>
                </c:pt>
                <c:pt idx="310">
                  <c:v>6.5314874932301092E-2</c:v>
                </c:pt>
                <c:pt idx="311">
                  <c:v>5.7471350288649088E-2</c:v>
                </c:pt>
                <c:pt idx="312">
                  <c:v>5.867878316719892E-2</c:v>
                </c:pt>
                <c:pt idx="313">
                  <c:v>6.0815272809218682E-2</c:v>
                </c:pt>
                <c:pt idx="314">
                  <c:v>3.4569905130663818E-2</c:v>
                </c:pt>
                <c:pt idx="315">
                  <c:v>2.4976332007626435E-2</c:v>
                </c:pt>
                <c:pt idx="316">
                  <c:v>2.5483643783486724E-2</c:v>
                </c:pt>
                <c:pt idx="317">
                  <c:v>7.1322216505364341E-2</c:v>
                </c:pt>
                <c:pt idx="318">
                  <c:v>7.4189038992887951E-2</c:v>
                </c:pt>
                <c:pt idx="319">
                  <c:v>6.0484794987090966E-2</c:v>
                </c:pt>
                <c:pt idx="320">
                  <c:v>6.7311939781762212E-2</c:v>
                </c:pt>
                <c:pt idx="321">
                  <c:v>5.9911244251742948E-2</c:v>
                </c:pt>
                <c:pt idx="322">
                  <c:v>5.9837463246443089E-2</c:v>
                </c:pt>
                <c:pt idx="323">
                  <c:v>4.6926513122302026E-2</c:v>
                </c:pt>
                <c:pt idx="324">
                  <c:v>5.4254057958456316E-2</c:v>
                </c:pt>
                <c:pt idx="325">
                  <c:v>6.0244048856206524E-2</c:v>
                </c:pt>
                <c:pt idx="326">
                  <c:v>6.0467414336123723E-2</c:v>
                </c:pt>
                <c:pt idx="327">
                  <c:v>6.0830751889605419E-2</c:v>
                </c:pt>
                <c:pt idx="328">
                  <c:v>6.4332175361686256E-2</c:v>
                </c:pt>
                <c:pt idx="329">
                  <c:v>6.3140755256230252E-2</c:v>
                </c:pt>
                <c:pt idx="330">
                  <c:v>7.1286837060232408E-2</c:v>
                </c:pt>
                <c:pt idx="331">
                  <c:v>6.9874097473605151E-2</c:v>
                </c:pt>
                <c:pt idx="332">
                  <c:v>6.8785293928187899E-2</c:v>
                </c:pt>
                <c:pt idx="333">
                  <c:v>7.2428947416271511E-2</c:v>
                </c:pt>
                <c:pt idx="334">
                  <c:v>6.9885189883825902E-2</c:v>
                </c:pt>
                <c:pt idx="335">
                  <c:v>6.0407332380261698E-2</c:v>
                </c:pt>
                <c:pt idx="336">
                  <c:v>4.7021617404376992E-2</c:v>
                </c:pt>
                <c:pt idx="337">
                  <c:v>4.2181628307004122E-3</c:v>
                </c:pt>
                <c:pt idx="338">
                  <c:v>4.8778600263779236E-3</c:v>
                </c:pt>
                <c:pt idx="339">
                  <c:v>5.8803126133982345E-3</c:v>
                </c:pt>
                <c:pt idx="340">
                  <c:v>2.9285403470073724E-3</c:v>
                </c:pt>
                <c:pt idx="341">
                  <c:v>4.1256821861597719E-3</c:v>
                </c:pt>
                <c:pt idx="342">
                  <c:v>3.1924621233098563E-3</c:v>
                </c:pt>
                <c:pt idx="343">
                  <c:v>2.4425393733911393E-3</c:v>
                </c:pt>
                <c:pt idx="344">
                  <c:v>3.6836538932685015E-3</c:v>
                </c:pt>
                <c:pt idx="345">
                  <c:v>6.804360621292669E-3</c:v>
                </c:pt>
                <c:pt idx="346">
                  <c:v>5.6926092920131822E-3</c:v>
                </c:pt>
                <c:pt idx="347">
                  <c:v>2.936305041874053E-3</c:v>
                </c:pt>
                <c:pt idx="348">
                  <c:v>5.0178361819139062E-3</c:v>
                </c:pt>
                <c:pt idx="349">
                  <c:v>5.8361796297086207E-3</c:v>
                </c:pt>
                <c:pt idx="350">
                  <c:v>3.7426457041962219E-3</c:v>
                </c:pt>
                <c:pt idx="351">
                  <c:v>3.343756684531365E-3</c:v>
                </c:pt>
                <c:pt idx="352">
                  <c:v>5.4615113856348717E-3</c:v>
                </c:pt>
                <c:pt idx="353">
                  <c:v>4.074916995832352E-3</c:v>
                </c:pt>
                <c:pt idx="354">
                  <c:v>5.4027526088671288E-3</c:v>
                </c:pt>
                <c:pt idx="355">
                  <c:v>2.8271552024303338E-3</c:v>
                </c:pt>
                <c:pt idx="356">
                  <c:v>6.9163624825470688E-3</c:v>
                </c:pt>
                <c:pt idx="357">
                  <c:v>7.6248953811723181E-3</c:v>
                </c:pt>
                <c:pt idx="358">
                  <c:v>3.8515657275088847E-3</c:v>
                </c:pt>
                <c:pt idx="359">
                  <c:v>5.6784639740367635E-3</c:v>
                </c:pt>
                <c:pt idx="360">
                  <c:v>5.8091834581653441E-3</c:v>
                </c:pt>
                <c:pt idx="361">
                  <c:v>5.5910099613804545E-3</c:v>
                </c:pt>
                <c:pt idx="362">
                  <c:v>0.18506453667493686</c:v>
                </c:pt>
                <c:pt idx="363">
                  <c:v>3.8433869115463257E-3</c:v>
                </c:pt>
                <c:pt idx="364">
                  <c:v>3.6169016705765488E-3</c:v>
                </c:pt>
                <c:pt idx="365">
                  <c:v>2.9690877786839368E-3</c:v>
                </c:pt>
                <c:pt idx="366">
                  <c:v>3.0894137184943049E-3</c:v>
                </c:pt>
                <c:pt idx="367">
                  <c:v>5.4576515639716038E-3</c:v>
                </c:pt>
                <c:pt idx="368">
                  <c:v>3.3786633303993941E-3</c:v>
                </c:pt>
                <c:pt idx="369">
                  <c:v>3.6543703104049245E-3</c:v>
                </c:pt>
                <c:pt idx="370">
                  <c:v>4.2181628307004122E-3</c:v>
                </c:pt>
                <c:pt idx="371">
                  <c:v>3.6272381699603896E-3</c:v>
                </c:pt>
                <c:pt idx="372">
                  <c:v>3.990151715542985E-3</c:v>
                </c:pt>
                <c:pt idx="373">
                  <c:v>2.4265603038980338E-3</c:v>
                </c:pt>
                <c:pt idx="374">
                  <c:v>4.1785921281423293E-3</c:v>
                </c:pt>
                <c:pt idx="375">
                  <c:v>3.8136836002532191E-3</c:v>
                </c:pt>
                <c:pt idx="376">
                  <c:v>4.3721101742027696E-3</c:v>
                </c:pt>
                <c:pt idx="377">
                  <c:v>1.8829218320821797E-3</c:v>
                </c:pt>
                <c:pt idx="378">
                  <c:v>5.5022518556258572E-3</c:v>
                </c:pt>
                <c:pt idx="379">
                  <c:v>2.8349217101442869E-3</c:v>
                </c:pt>
                <c:pt idx="380">
                  <c:v>4.0753472342416166E-3</c:v>
                </c:pt>
                <c:pt idx="381">
                  <c:v>3.8042125521140415E-3</c:v>
                </c:pt>
                <c:pt idx="382">
                  <c:v>3.5501391863123908E-3</c:v>
                </c:pt>
                <c:pt idx="383">
                  <c:v>6.6226167605250436E-3</c:v>
                </c:pt>
                <c:pt idx="384">
                  <c:v>3.1157170998062241E-3</c:v>
                </c:pt>
                <c:pt idx="385">
                  <c:v>3.2765211641852879E-3</c:v>
                </c:pt>
                <c:pt idx="386">
                  <c:v>5.23372319227902E-3</c:v>
                </c:pt>
                <c:pt idx="387">
                  <c:v>9.9380351808226013E-3</c:v>
                </c:pt>
                <c:pt idx="388">
                  <c:v>2.830766820350537E-2</c:v>
                </c:pt>
                <c:pt idx="389">
                  <c:v>1.9772431175067627E-2</c:v>
                </c:pt>
                <c:pt idx="390">
                  <c:v>8.6231632141323157E-3</c:v>
                </c:pt>
                <c:pt idx="391">
                  <c:v>1.8412537529230871E-2</c:v>
                </c:pt>
                <c:pt idx="392">
                  <c:v>1.4663739922210218E-2</c:v>
                </c:pt>
                <c:pt idx="393">
                  <c:v>8.6384901727686748E-3</c:v>
                </c:pt>
                <c:pt idx="394">
                  <c:v>5.676320703848008E-3</c:v>
                </c:pt>
                <c:pt idx="395">
                  <c:v>5.2302904413648521E-3</c:v>
                </c:pt>
                <c:pt idx="396">
                  <c:v>9.5184569059873353E-3</c:v>
                </c:pt>
                <c:pt idx="397">
                  <c:v>9.072104057375515E-3</c:v>
                </c:pt>
                <c:pt idx="398">
                  <c:v>4.6214063064785541E-3</c:v>
                </c:pt>
                <c:pt idx="399">
                  <c:v>5.7110403787115687E-3</c:v>
                </c:pt>
                <c:pt idx="400">
                  <c:v>8.8236481790457E-3</c:v>
                </c:pt>
                <c:pt idx="401">
                  <c:v>8.6929816453861428E-3</c:v>
                </c:pt>
                <c:pt idx="402">
                  <c:v>4.609804316923866E-3</c:v>
                </c:pt>
                <c:pt idx="403">
                  <c:v>3.6479104307105331E-3</c:v>
                </c:pt>
                <c:pt idx="404">
                  <c:v>5.7838998074979933E-3</c:v>
                </c:pt>
                <c:pt idx="405">
                  <c:v>4.920802294570978E-3</c:v>
                </c:pt>
                <c:pt idx="406">
                  <c:v>3.9363580585857604E-3</c:v>
                </c:pt>
                <c:pt idx="407">
                  <c:v>4.2293452019166603E-3</c:v>
                </c:pt>
                <c:pt idx="408">
                  <c:v>1.1714197917590582E-2</c:v>
                </c:pt>
                <c:pt idx="409">
                  <c:v>4.2074102791485541E-3</c:v>
                </c:pt>
                <c:pt idx="410">
                  <c:v>7.9243608743451606E-3</c:v>
                </c:pt>
                <c:pt idx="411">
                  <c:v>7.3226610589406166E-3</c:v>
                </c:pt>
                <c:pt idx="412">
                  <c:v>4.7197959057179127E-3</c:v>
                </c:pt>
                <c:pt idx="413">
                  <c:v>4.7039004059450393E-3</c:v>
                </c:pt>
                <c:pt idx="414">
                  <c:v>4.4980655889377621E-3</c:v>
                </c:pt>
                <c:pt idx="415">
                  <c:v>8.713414185053326E-3</c:v>
                </c:pt>
                <c:pt idx="416">
                  <c:v>1.4098219411523054E-2</c:v>
                </c:pt>
                <c:pt idx="417">
                  <c:v>1.0600974445646762E-2</c:v>
                </c:pt>
                <c:pt idx="418">
                  <c:v>9.8709638539145727E-3</c:v>
                </c:pt>
                <c:pt idx="419">
                  <c:v>7.5510637549500922E-3</c:v>
                </c:pt>
                <c:pt idx="420">
                  <c:v>1.0012735351363483E-2</c:v>
                </c:pt>
                <c:pt idx="421">
                  <c:v>5.4293451568686747E-3</c:v>
                </c:pt>
                <c:pt idx="422">
                  <c:v>1.5529499515612295E-2</c:v>
                </c:pt>
                <c:pt idx="423">
                  <c:v>1.2518765902524433E-2</c:v>
                </c:pt>
                <c:pt idx="424">
                  <c:v>9.7868978177960177E-3</c:v>
                </c:pt>
                <c:pt idx="425">
                  <c:v>6.6465685378575574E-3</c:v>
                </c:pt>
                <c:pt idx="426">
                  <c:v>8.3991576065660222E-3</c:v>
                </c:pt>
                <c:pt idx="427">
                  <c:v>1.1832970731454628E-2</c:v>
                </c:pt>
                <c:pt idx="428">
                  <c:v>1.2025220846615444E-2</c:v>
                </c:pt>
                <c:pt idx="429">
                  <c:v>7.6304429154510382E-3</c:v>
                </c:pt>
                <c:pt idx="430">
                  <c:v>4.4181117784917777E-3</c:v>
                </c:pt>
                <c:pt idx="431">
                  <c:v>4.398335984966327E-3</c:v>
                </c:pt>
                <c:pt idx="432">
                  <c:v>3.0885512855766393E-3</c:v>
                </c:pt>
                <c:pt idx="433">
                  <c:v>4.4959164854716542E-3</c:v>
                </c:pt>
                <c:pt idx="434">
                  <c:v>1.00331058954069E-2</c:v>
                </c:pt>
                <c:pt idx="435">
                  <c:v>2.5470366298244109E-3</c:v>
                </c:pt>
                <c:pt idx="436">
                  <c:v>2.6705009797768154E-3</c:v>
                </c:pt>
                <c:pt idx="437">
                  <c:v>5.0105379267098666E-3</c:v>
                </c:pt>
                <c:pt idx="438">
                  <c:v>2.9479518238854211E-3</c:v>
                </c:pt>
                <c:pt idx="439">
                  <c:v>4.3445928669129602E-3</c:v>
                </c:pt>
                <c:pt idx="440">
                  <c:v>5.2929338750198332E-3</c:v>
                </c:pt>
                <c:pt idx="441">
                  <c:v>5.6647468620517338E-3</c:v>
                </c:pt>
                <c:pt idx="442">
                  <c:v>3.6151788967608528E-3</c:v>
                </c:pt>
                <c:pt idx="443">
                  <c:v>3.3674590337700668E-3</c:v>
                </c:pt>
                <c:pt idx="444">
                  <c:v>4.2689112805938323E-3</c:v>
                </c:pt>
                <c:pt idx="445">
                  <c:v>6.8137664686942602E-3</c:v>
                </c:pt>
                <c:pt idx="446">
                  <c:v>3.2028087294565175E-3</c:v>
                </c:pt>
                <c:pt idx="447">
                  <c:v>3.333844409430204E-3</c:v>
                </c:pt>
                <c:pt idx="448">
                  <c:v>5.9244411127518356E-3</c:v>
                </c:pt>
                <c:pt idx="449">
                  <c:v>6.0233926107819647E-3</c:v>
                </c:pt>
                <c:pt idx="450">
                  <c:v>4.1781619920016021E-3</c:v>
                </c:pt>
                <c:pt idx="451">
                  <c:v>9.0618963419810249E-3</c:v>
                </c:pt>
                <c:pt idx="452">
                  <c:v>4.9190846853649963E-3</c:v>
                </c:pt>
                <c:pt idx="453">
                  <c:v>6.8338600966088448E-3</c:v>
                </c:pt>
                <c:pt idx="454">
                  <c:v>2.5539446532768812E-3</c:v>
                </c:pt>
                <c:pt idx="455">
                  <c:v>2.909559397325177E-3</c:v>
                </c:pt>
                <c:pt idx="456">
                  <c:v>8.2253246045154403E-3</c:v>
                </c:pt>
                <c:pt idx="457">
                  <c:v>4.8628292293235705E-3</c:v>
                </c:pt>
                <c:pt idx="458">
                  <c:v>4.4090838105500961E-3</c:v>
                </c:pt>
                <c:pt idx="459">
                  <c:v>1.1196882761568957E-2</c:v>
                </c:pt>
                <c:pt idx="460">
                  <c:v>4.8980434212758583E-3</c:v>
                </c:pt>
                <c:pt idx="461">
                  <c:v>2.3133943928607607E-3</c:v>
                </c:pt>
                <c:pt idx="462">
                  <c:v>8.0616534883770543E-3</c:v>
                </c:pt>
                <c:pt idx="463">
                  <c:v>4.8022713200023652E-3</c:v>
                </c:pt>
                <c:pt idx="464">
                  <c:v>7.0428641958421787E-3</c:v>
                </c:pt>
                <c:pt idx="465">
                  <c:v>3.4308026006462473E-3</c:v>
                </c:pt>
                <c:pt idx="466">
                  <c:v>3.946686957579811E-3</c:v>
                </c:pt>
                <c:pt idx="467">
                  <c:v>6.3359483598159601E-3</c:v>
                </c:pt>
                <c:pt idx="468">
                  <c:v>4.9972290279432161E-3</c:v>
                </c:pt>
                <c:pt idx="469">
                  <c:v>2.9734011124665197E-3</c:v>
                </c:pt>
                <c:pt idx="470">
                  <c:v>5.0337201957668084E-3</c:v>
                </c:pt>
                <c:pt idx="471">
                  <c:v>5.670319491048386E-3</c:v>
                </c:pt>
                <c:pt idx="472">
                  <c:v>1.2308581746114456E-2</c:v>
                </c:pt>
                <c:pt idx="473">
                  <c:v>2.8379419811916237E-3</c:v>
                </c:pt>
                <c:pt idx="474">
                  <c:v>4.1166481371795512E-3</c:v>
                </c:pt>
                <c:pt idx="475">
                  <c:v>3.8210019959889672E-3</c:v>
                </c:pt>
                <c:pt idx="476">
                  <c:v>2.6346740315566501E-3</c:v>
                </c:pt>
                <c:pt idx="477">
                  <c:v>3.382541673424944E-3</c:v>
                </c:pt>
                <c:pt idx="478">
                  <c:v>2.9117163652042097E-3</c:v>
                </c:pt>
                <c:pt idx="479">
                  <c:v>3.6216392633326416E-3</c:v>
                </c:pt>
                <c:pt idx="480">
                  <c:v>4.9696258717665365E-2</c:v>
                </c:pt>
                <c:pt idx="481">
                  <c:v>5.2903921966763356E-2</c:v>
                </c:pt>
                <c:pt idx="482">
                  <c:v>5.7193903817627241E-2</c:v>
                </c:pt>
                <c:pt idx="483">
                  <c:v>6.82515577370576E-2</c:v>
                </c:pt>
                <c:pt idx="484">
                  <c:v>6.8154309291497267E-2</c:v>
                </c:pt>
                <c:pt idx="485">
                  <c:v>6.9728390852573333E-2</c:v>
                </c:pt>
                <c:pt idx="486">
                  <c:v>5.8290476094522189E-2</c:v>
                </c:pt>
                <c:pt idx="487">
                  <c:v>5.2984272081225081E-2</c:v>
                </c:pt>
                <c:pt idx="488">
                  <c:v>4.7712057753660574E-2</c:v>
                </c:pt>
                <c:pt idx="489">
                  <c:v>5.8132472791785676E-2</c:v>
                </c:pt>
                <c:pt idx="490">
                  <c:v>5.9582349244611157E-2</c:v>
                </c:pt>
                <c:pt idx="491">
                  <c:v>6.297962339944585E-2</c:v>
                </c:pt>
                <c:pt idx="492">
                  <c:v>5.3716732988085415E-2</c:v>
                </c:pt>
                <c:pt idx="493">
                  <c:v>5.6451272073223709E-2</c:v>
                </c:pt>
                <c:pt idx="494">
                  <c:v>6.0201706067600502E-2</c:v>
                </c:pt>
                <c:pt idx="495">
                  <c:v>5.7371657418882401E-2</c:v>
                </c:pt>
                <c:pt idx="496">
                  <c:v>4.7301352697433199E-2</c:v>
                </c:pt>
                <c:pt idx="497">
                  <c:v>5.2780099865247829E-2</c:v>
                </c:pt>
                <c:pt idx="498">
                  <c:v>4.6914428710003453E-2</c:v>
                </c:pt>
                <c:pt idx="499">
                  <c:v>5.5735254249952758E-2</c:v>
                </c:pt>
                <c:pt idx="500">
                  <c:v>6.4536230063811442E-2</c:v>
                </c:pt>
                <c:pt idx="501">
                  <c:v>5.3484875866302843E-2</c:v>
                </c:pt>
                <c:pt idx="502">
                  <c:v>4.866976773577316E-2</c:v>
                </c:pt>
                <c:pt idx="503">
                  <c:v>5.1211968467802578E-2</c:v>
                </c:pt>
                <c:pt idx="504">
                  <c:v>5.5247564583578955E-2</c:v>
                </c:pt>
                <c:pt idx="505">
                  <c:v>6.3911032929086092E-2</c:v>
                </c:pt>
                <c:pt idx="506">
                  <c:v>5.6769589449361293E-2</c:v>
                </c:pt>
                <c:pt idx="507">
                  <c:v>4.7972294275952593E-2</c:v>
                </c:pt>
                <c:pt idx="508">
                  <c:v>4.2860879679614272E-2</c:v>
                </c:pt>
                <c:pt idx="509">
                  <c:v>4.4925671973069063E-2</c:v>
                </c:pt>
                <c:pt idx="510">
                  <c:v>6.0221365732863102E-2</c:v>
                </c:pt>
                <c:pt idx="511">
                  <c:v>4.7950127733552297E-2</c:v>
                </c:pt>
                <c:pt idx="512">
                  <c:v>5.4141355358796578E-2</c:v>
                </c:pt>
                <c:pt idx="513">
                  <c:v>5.9754208087207251E-2</c:v>
                </c:pt>
                <c:pt idx="514">
                  <c:v>4.9321155363111061E-2</c:v>
                </c:pt>
                <c:pt idx="515">
                  <c:v>5.1140169006424034E-2</c:v>
                </c:pt>
                <c:pt idx="516">
                  <c:v>7.5123774349467931E-2</c:v>
                </c:pt>
                <c:pt idx="517">
                  <c:v>5.2888542259454302E-2</c:v>
                </c:pt>
                <c:pt idx="518">
                  <c:v>5.4041278537923662E-2</c:v>
                </c:pt>
                <c:pt idx="519">
                  <c:v>3.9687698005111294E-2</c:v>
                </c:pt>
                <c:pt idx="520">
                  <c:v>4.8100993420335442E-2</c:v>
                </c:pt>
                <c:pt idx="521">
                  <c:v>6.0500663669644558E-2</c:v>
                </c:pt>
                <c:pt idx="522">
                  <c:v>5.5460518416180458E-2</c:v>
                </c:pt>
                <c:pt idx="523">
                  <c:v>4.4483706133495914E-2</c:v>
                </c:pt>
                <c:pt idx="524">
                  <c:v>4.8424322651470238E-2</c:v>
                </c:pt>
                <c:pt idx="525">
                  <c:v>5.3815349898484209E-2</c:v>
                </c:pt>
                <c:pt idx="526">
                  <c:v>3.827910888805016E-2</c:v>
                </c:pt>
                <c:pt idx="527">
                  <c:v>2.8382122626978718E-2</c:v>
                </c:pt>
                <c:pt idx="528">
                  <c:v>4.334026796929849E-2</c:v>
                </c:pt>
                <c:pt idx="529">
                  <c:v>3.5109803511151394E-2</c:v>
                </c:pt>
                <c:pt idx="530">
                  <c:v>2.9497004195526595E-2</c:v>
                </c:pt>
                <c:pt idx="531">
                  <c:v>2.8358526431775565E-2</c:v>
                </c:pt>
                <c:pt idx="532">
                  <c:v>2.6747703203896859E-2</c:v>
                </c:pt>
                <c:pt idx="533">
                  <c:v>2.5142359491441977E-2</c:v>
                </c:pt>
                <c:pt idx="534">
                  <c:v>1.99591254685282E-2</c:v>
                </c:pt>
                <c:pt idx="535">
                  <c:v>1.7184898328171661E-2</c:v>
                </c:pt>
                <c:pt idx="536">
                  <c:v>1.4561278205614526E-2</c:v>
                </c:pt>
                <c:pt idx="537">
                  <c:v>1.8357170515772014E-2</c:v>
                </c:pt>
                <c:pt idx="538">
                  <c:v>2.1324529723764658E-2</c:v>
                </c:pt>
                <c:pt idx="539">
                  <c:v>2.1532876190881567E-2</c:v>
                </c:pt>
                <c:pt idx="540">
                  <c:v>2.3869090319058719E-2</c:v>
                </c:pt>
                <c:pt idx="541">
                  <c:v>2.5961318950461016E-2</c:v>
                </c:pt>
                <c:pt idx="542">
                  <c:v>2.3210057249451403E-2</c:v>
                </c:pt>
                <c:pt idx="543">
                  <c:v>2.4561601021968835E-2</c:v>
                </c:pt>
                <c:pt idx="544">
                  <c:v>2.0694749112265695E-2</c:v>
                </c:pt>
                <c:pt idx="545">
                  <c:v>2.3088178804923767E-2</c:v>
                </c:pt>
                <c:pt idx="546">
                  <c:v>1.7833124071274319E-2</c:v>
                </c:pt>
                <c:pt idx="547">
                  <c:v>1.5975128680439793E-2</c:v>
                </c:pt>
                <c:pt idx="548">
                  <c:v>1.9053115745979045E-2</c:v>
                </c:pt>
                <c:pt idx="549">
                  <c:v>1.6186893500109354E-2</c:v>
                </c:pt>
                <c:pt idx="550">
                  <c:v>2.7187277718896438E-2</c:v>
                </c:pt>
                <c:pt idx="551">
                  <c:v>3.1250069382612482E-2</c:v>
                </c:pt>
                <c:pt idx="552">
                  <c:v>3.2026540369532598E-2</c:v>
                </c:pt>
                <c:pt idx="553">
                  <c:v>4.1233151341413338E-2</c:v>
                </c:pt>
                <c:pt idx="554">
                  <c:v>2.5464394784487893E-2</c:v>
                </c:pt>
                <c:pt idx="555">
                  <c:v>3.1804198867207756E-2</c:v>
                </c:pt>
                <c:pt idx="556">
                  <c:v>2.7737241352168134E-2</c:v>
                </c:pt>
                <c:pt idx="557">
                  <c:v>1.7607564517249919E-2</c:v>
                </c:pt>
                <c:pt idx="558">
                  <c:v>1.7361859011327321E-2</c:v>
                </c:pt>
                <c:pt idx="559">
                  <c:v>1.7714313399565213E-2</c:v>
                </c:pt>
                <c:pt idx="560">
                  <c:v>2.0673630260704009E-2</c:v>
                </c:pt>
                <c:pt idx="561">
                  <c:v>2.0850003256073339E-2</c:v>
                </c:pt>
                <c:pt idx="562">
                  <c:v>2.4573092476311599E-2</c:v>
                </c:pt>
                <c:pt idx="563">
                  <c:v>2.623123702167535E-2</c:v>
                </c:pt>
                <c:pt idx="564">
                  <c:v>2.3735060992950183E-2</c:v>
                </c:pt>
                <c:pt idx="565">
                  <c:v>2.2508376284473112E-2</c:v>
                </c:pt>
                <c:pt idx="566">
                  <c:v>2.4823776744758979E-2</c:v>
                </c:pt>
                <c:pt idx="567">
                  <c:v>1.7751002268685992E-2</c:v>
                </c:pt>
                <c:pt idx="568">
                  <c:v>1.6359660615870377E-2</c:v>
                </c:pt>
                <c:pt idx="569">
                  <c:v>1.572933530440852E-2</c:v>
                </c:pt>
                <c:pt idx="570">
                  <c:v>1.8882664462750189E-2</c:v>
                </c:pt>
                <c:pt idx="571">
                  <c:v>1.9054362703981802E-2</c:v>
                </c:pt>
                <c:pt idx="572">
                  <c:v>2.1924908279853158E-2</c:v>
                </c:pt>
                <c:pt idx="573">
                  <c:v>1.9330683407674892E-2</c:v>
                </c:pt>
                <c:pt idx="574">
                  <c:v>2.4278322640419896E-2</c:v>
                </c:pt>
                <c:pt idx="575">
                  <c:v>2.5881947483444637E-2</c:v>
                </c:pt>
                <c:pt idx="576">
                  <c:v>3.4233682822615512E-2</c:v>
                </c:pt>
                <c:pt idx="577">
                  <c:v>3.0511882792190963E-2</c:v>
                </c:pt>
                <c:pt idx="578">
                  <c:v>2.8167675603317604E-2</c:v>
                </c:pt>
                <c:pt idx="579">
                  <c:v>2.3030521678148286E-2</c:v>
                </c:pt>
                <c:pt idx="580">
                  <c:v>2.483854249956469E-2</c:v>
                </c:pt>
                <c:pt idx="581">
                  <c:v>2.8645255371988733E-2</c:v>
                </c:pt>
                <c:pt idx="582">
                  <c:v>3.940063402396049E-2</c:v>
                </c:pt>
                <c:pt idx="583">
                  <c:v>4.3858779827259331E-2</c:v>
                </c:pt>
                <c:pt idx="584">
                  <c:v>4.7161897176877118E-2</c:v>
                </c:pt>
                <c:pt idx="585">
                  <c:v>3.9461710484266908E-2</c:v>
                </c:pt>
                <c:pt idx="586">
                  <c:v>3.7018707231837276E-2</c:v>
                </c:pt>
                <c:pt idx="587">
                  <c:v>2.7863524564473979E-2</c:v>
                </c:pt>
                <c:pt idx="588">
                  <c:v>2.0886842091720589E-2</c:v>
                </c:pt>
                <c:pt idx="589">
                  <c:v>3.2946976316207389E-2</c:v>
                </c:pt>
                <c:pt idx="590">
                  <c:v>2.7305972240386771E-2</c:v>
                </c:pt>
                <c:pt idx="591">
                  <c:v>3.7288218878320067E-2</c:v>
                </c:pt>
                <c:pt idx="592">
                  <c:v>3.2613120626018365E-2</c:v>
                </c:pt>
                <c:pt idx="593">
                  <c:v>3.2350769248829729E-2</c:v>
                </c:pt>
                <c:pt idx="594">
                  <c:v>2.52493213589997E-2</c:v>
                </c:pt>
                <c:pt idx="595">
                  <c:v>3.2817330642792734E-2</c:v>
                </c:pt>
                <c:pt idx="596">
                  <c:v>3.3244773199226273E-2</c:v>
                </c:pt>
                <c:pt idx="597">
                  <c:v>4.088940168237179E-2</c:v>
                </c:pt>
                <c:pt idx="598">
                  <c:v>3.2676367522451087E-2</c:v>
                </c:pt>
                <c:pt idx="599">
                  <c:v>4.2260406689451982E-2</c:v>
                </c:pt>
                <c:pt idx="600">
                  <c:v>3.5377299463871248E-2</c:v>
                </c:pt>
                <c:pt idx="601">
                  <c:v>3.3710375669117616E-2</c:v>
                </c:pt>
                <c:pt idx="602">
                  <c:v>2.414606280175613E-2</c:v>
                </c:pt>
                <c:pt idx="603">
                  <c:v>3.3763417846734409E-2</c:v>
                </c:pt>
                <c:pt idx="604">
                  <c:v>4.1325561733169029E-2</c:v>
                </c:pt>
                <c:pt idx="605">
                  <c:v>3.5647831334067327E-2</c:v>
                </c:pt>
                <c:pt idx="606">
                  <c:v>3.4352072394020217E-2</c:v>
                </c:pt>
                <c:pt idx="607">
                  <c:v>4.2200510741850807E-2</c:v>
                </c:pt>
                <c:pt idx="608">
                  <c:v>3.5683436145012015E-2</c:v>
                </c:pt>
                <c:pt idx="609">
                  <c:v>2.3831681386362998E-2</c:v>
                </c:pt>
                <c:pt idx="610">
                  <c:v>2.2907356891498976E-2</c:v>
                </c:pt>
                <c:pt idx="611">
                  <c:v>4.0936041151343215E-2</c:v>
                </c:pt>
                <c:pt idx="612">
                  <c:v>4.5791451061321653E-2</c:v>
                </c:pt>
                <c:pt idx="613">
                  <c:v>3.7652352020584416E-2</c:v>
                </c:pt>
                <c:pt idx="614">
                  <c:v>4.0887030050130092E-2</c:v>
                </c:pt>
                <c:pt idx="615">
                  <c:v>4.6586461933379113E-2</c:v>
                </c:pt>
                <c:pt idx="616">
                  <c:v>3.9240366630549577E-2</c:v>
                </c:pt>
                <c:pt idx="617">
                  <c:v>4.3388217007398852E-2</c:v>
                </c:pt>
                <c:pt idx="618">
                  <c:v>2.7839492846747811E-2</c:v>
                </c:pt>
                <c:pt idx="619">
                  <c:v>3.5375698181937462E-2</c:v>
                </c:pt>
                <c:pt idx="620">
                  <c:v>3.6253515521232647E-2</c:v>
                </c:pt>
                <c:pt idx="621">
                  <c:v>4.0227213516214035E-2</c:v>
                </c:pt>
                <c:pt idx="622">
                  <c:v>3.9739618873587006E-2</c:v>
                </c:pt>
                <c:pt idx="623">
                  <c:v>3.9309796648555294E-2</c:v>
                </c:pt>
                <c:pt idx="624">
                  <c:v>5.4366363775298814E-3</c:v>
                </c:pt>
                <c:pt idx="625">
                  <c:v>6.200677864880412E-3</c:v>
                </c:pt>
                <c:pt idx="626">
                  <c:v>5.9724204122549758E-3</c:v>
                </c:pt>
                <c:pt idx="627">
                  <c:v>5.3324031791867387E-3</c:v>
                </c:pt>
                <c:pt idx="628">
                  <c:v>9.6854024875288342E-3</c:v>
                </c:pt>
                <c:pt idx="629">
                  <c:v>6.7286788901839562E-3</c:v>
                </c:pt>
                <c:pt idx="630">
                  <c:v>4.3114837956929712E-3</c:v>
                </c:pt>
                <c:pt idx="631">
                  <c:v>3.991442681437034E-3</c:v>
                </c:pt>
                <c:pt idx="632">
                  <c:v>8.5171369382661972E-3</c:v>
                </c:pt>
                <c:pt idx="633">
                  <c:v>4.4864603038770948E-3</c:v>
                </c:pt>
                <c:pt idx="634">
                  <c:v>4.5625337482246321E-3</c:v>
                </c:pt>
                <c:pt idx="635">
                  <c:v>6.0970561419090418E-3</c:v>
                </c:pt>
                <c:pt idx="636">
                  <c:v>5.94628948678273E-3</c:v>
                </c:pt>
                <c:pt idx="637">
                  <c:v>8.201885911256054E-3</c:v>
                </c:pt>
                <c:pt idx="638">
                  <c:v>4.2826725500162482E-3</c:v>
                </c:pt>
                <c:pt idx="639">
                  <c:v>5.0174068761792319E-3</c:v>
                </c:pt>
                <c:pt idx="640">
                  <c:v>4.2508489527171055E-3</c:v>
                </c:pt>
                <c:pt idx="641">
                  <c:v>0.18283219614577956</c:v>
                </c:pt>
                <c:pt idx="642">
                  <c:v>6.4061354304729683E-3</c:v>
                </c:pt>
                <c:pt idx="643">
                  <c:v>5.1328748245008842E-3</c:v>
                </c:pt>
                <c:pt idx="644">
                  <c:v>3.906230699982863E-3</c:v>
                </c:pt>
                <c:pt idx="645">
                  <c:v>4.5139686240651452E-3</c:v>
                </c:pt>
                <c:pt idx="646">
                  <c:v>3.4428669945309664E-3</c:v>
                </c:pt>
                <c:pt idx="647">
                  <c:v>4.1566546417728615E-3</c:v>
                </c:pt>
                <c:pt idx="648">
                  <c:v>4.1833235975737596E-3</c:v>
                </c:pt>
                <c:pt idx="649">
                  <c:v>7.5361251940763265E-3</c:v>
                </c:pt>
                <c:pt idx="650">
                  <c:v>6.8954177653295246E-3</c:v>
                </c:pt>
                <c:pt idx="651">
                  <c:v>4.0146794113464432E-3</c:v>
                </c:pt>
                <c:pt idx="652">
                  <c:v>3.806795585726623E-3</c:v>
                </c:pt>
                <c:pt idx="653">
                  <c:v>3.6048421103508366E-3</c:v>
                </c:pt>
                <c:pt idx="654">
                  <c:v>5.2457376068094797E-3</c:v>
                </c:pt>
                <c:pt idx="655">
                  <c:v>1.2973816244460762E-2</c:v>
                </c:pt>
                <c:pt idx="656">
                  <c:v>5.6411695635179646E-3</c:v>
                </c:pt>
                <c:pt idx="657">
                  <c:v>5.229861345592811E-3</c:v>
                </c:pt>
                <c:pt idx="658">
                  <c:v>1.9763135671385709E-3</c:v>
                </c:pt>
                <c:pt idx="659">
                  <c:v>3.1933243499035566E-3</c:v>
                </c:pt>
                <c:pt idx="660">
                  <c:v>1.1154556628651032E-2</c:v>
                </c:pt>
                <c:pt idx="661">
                  <c:v>3.4480373464607036E-3</c:v>
                </c:pt>
                <c:pt idx="662">
                  <c:v>2.5591255987577168E-3</c:v>
                </c:pt>
                <c:pt idx="663">
                  <c:v>2.8431195398346655E-3</c:v>
                </c:pt>
                <c:pt idx="664">
                  <c:v>7.8659343932437967E-3</c:v>
                </c:pt>
                <c:pt idx="665">
                  <c:v>4.2912731219806703E-3</c:v>
                </c:pt>
                <c:pt idx="666">
                  <c:v>3.0182572444788659E-3</c:v>
                </c:pt>
                <c:pt idx="667">
                  <c:v>4.3493225281863558E-3</c:v>
                </c:pt>
                <c:pt idx="668">
                  <c:v>6.9620953949991859E-3</c:v>
                </c:pt>
                <c:pt idx="669">
                  <c:v>2.7529349012025551E-3</c:v>
                </c:pt>
                <c:pt idx="670">
                  <c:v>2.5863245485662442E-3</c:v>
                </c:pt>
                <c:pt idx="671">
                  <c:v>5.1311580538262284E-3</c:v>
                </c:pt>
                <c:pt idx="672">
                  <c:v>1.061326510521044E-2</c:v>
                </c:pt>
                <c:pt idx="673">
                  <c:v>1.9430234465858008E-3</c:v>
                </c:pt>
                <c:pt idx="674">
                  <c:v>6.1659973135927458E-3</c:v>
                </c:pt>
                <c:pt idx="675">
                  <c:v>2.5515996561831681E-2</c:v>
                </c:pt>
                <c:pt idx="676">
                  <c:v>3.4739121450720112E-2</c:v>
                </c:pt>
                <c:pt idx="677">
                  <c:v>1.6796082901979554E-2</c:v>
                </c:pt>
                <c:pt idx="678">
                  <c:v>1.6496821385141691E-2</c:v>
                </c:pt>
                <c:pt idx="679">
                  <c:v>1.5304836321950331E-2</c:v>
                </c:pt>
                <c:pt idx="680">
                  <c:v>1.1059307744549362E-2</c:v>
                </c:pt>
                <c:pt idx="681">
                  <c:v>1.1006382669951176E-2</c:v>
                </c:pt>
                <c:pt idx="682">
                  <c:v>1.7205352658521821E-2</c:v>
                </c:pt>
                <c:pt idx="683">
                  <c:v>1.0204944329545274E-2</c:v>
                </c:pt>
                <c:pt idx="684">
                  <c:v>1.2952740106272266E-2</c:v>
                </c:pt>
                <c:pt idx="685">
                  <c:v>1.3975018105570577E-2</c:v>
                </c:pt>
                <c:pt idx="686">
                  <c:v>1.1769995598050007E-2</c:v>
                </c:pt>
                <c:pt idx="687">
                  <c:v>8.9087518132489416E-3</c:v>
                </c:pt>
                <c:pt idx="688">
                  <c:v>6.5849755841972885E-3</c:v>
                </c:pt>
                <c:pt idx="689">
                  <c:v>8.858542686147922E-3</c:v>
                </c:pt>
                <c:pt idx="690">
                  <c:v>1.2927868947591766E-2</c:v>
                </c:pt>
                <c:pt idx="691">
                  <c:v>6.1698508449441825E-3</c:v>
                </c:pt>
                <c:pt idx="692">
                  <c:v>6.3915853844203965E-3</c:v>
                </c:pt>
                <c:pt idx="693">
                  <c:v>8.6133707073649569E-3</c:v>
                </c:pt>
                <c:pt idx="694">
                  <c:v>7.2884970584743145E-3</c:v>
                </c:pt>
                <c:pt idx="695">
                  <c:v>5.6107315216985046E-3</c:v>
                </c:pt>
                <c:pt idx="696">
                  <c:v>7.513929811902108E-3</c:v>
                </c:pt>
                <c:pt idx="697">
                  <c:v>5.8653164715039268E-3</c:v>
                </c:pt>
                <c:pt idx="698">
                  <c:v>4.2538593928646475E-3</c:v>
                </c:pt>
                <c:pt idx="699">
                  <c:v>1.2078021914083248E-2</c:v>
                </c:pt>
                <c:pt idx="700">
                  <c:v>3.0794956365391849E-3</c:v>
                </c:pt>
                <c:pt idx="701">
                  <c:v>6.4279595855935619E-3</c:v>
                </c:pt>
                <c:pt idx="702">
                  <c:v>7.7085276098948939E-3</c:v>
                </c:pt>
                <c:pt idx="703">
                  <c:v>8.3024502830981017E-3</c:v>
                </c:pt>
                <c:pt idx="704">
                  <c:v>7.4648398419129959E-3</c:v>
                </c:pt>
                <c:pt idx="705">
                  <c:v>1.6671137036938365E-2</c:v>
                </c:pt>
                <c:pt idx="706">
                  <c:v>1.131029646037324E-2</c:v>
                </c:pt>
                <c:pt idx="707">
                  <c:v>1.274867020057156E-2</c:v>
                </c:pt>
                <c:pt idx="708">
                  <c:v>5.1727878296730385E-3</c:v>
                </c:pt>
                <c:pt idx="709">
                  <c:v>1.4095696868375088E-2</c:v>
                </c:pt>
                <c:pt idx="710">
                  <c:v>5.7560432339080897E-3</c:v>
                </c:pt>
                <c:pt idx="711">
                  <c:v>3.7981854139389174E-3</c:v>
                </c:pt>
                <c:pt idx="712">
                  <c:v>6.2546198850728651E-3</c:v>
                </c:pt>
                <c:pt idx="713">
                  <c:v>7.125754117928553E-3</c:v>
                </c:pt>
                <c:pt idx="714">
                  <c:v>9.8896429856216179E-3</c:v>
                </c:pt>
                <c:pt idx="715">
                  <c:v>4.7966875414763976E-3</c:v>
                </c:pt>
                <c:pt idx="716">
                  <c:v>4.2160123416874222E-3</c:v>
                </c:pt>
                <c:pt idx="717">
                  <c:v>7.829253899893647E-3</c:v>
                </c:pt>
                <c:pt idx="718">
                  <c:v>9.386724260692144E-3</c:v>
                </c:pt>
                <c:pt idx="719">
                  <c:v>1.0292322490025008E-2</c:v>
                </c:pt>
                <c:pt idx="720">
                  <c:v>1.658628707800365E-2</c:v>
                </c:pt>
                <c:pt idx="721">
                  <c:v>6.776996997784503E-3</c:v>
                </c:pt>
                <c:pt idx="722">
                  <c:v>3.2704866982081458E-3</c:v>
                </c:pt>
                <c:pt idx="723">
                  <c:v>2.7991083237380015E-3</c:v>
                </c:pt>
                <c:pt idx="724">
                  <c:v>3.9768115099275197E-3</c:v>
                </c:pt>
                <c:pt idx="725">
                  <c:v>4.388017822161386E-3</c:v>
                </c:pt>
                <c:pt idx="726">
                  <c:v>3.5863214193904594E-3</c:v>
                </c:pt>
                <c:pt idx="727">
                  <c:v>6.9146527475754333E-3</c:v>
                </c:pt>
                <c:pt idx="728">
                  <c:v>6.2576164675330337E-3</c:v>
                </c:pt>
                <c:pt idx="729">
                  <c:v>6.0191094629892987E-3</c:v>
                </c:pt>
                <c:pt idx="730">
                  <c:v>4.1859043773553204E-3</c:v>
                </c:pt>
                <c:pt idx="731">
                  <c:v>2.9837529387641217E-3</c:v>
                </c:pt>
                <c:pt idx="732">
                  <c:v>2.9483831801839578E-3</c:v>
                </c:pt>
                <c:pt idx="733">
                  <c:v>2.9798710328180142E-3</c:v>
                </c:pt>
                <c:pt idx="734">
                  <c:v>5.2058313056922772E-3</c:v>
                </c:pt>
                <c:pt idx="735">
                  <c:v>5.1427461241831699E-3</c:v>
                </c:pt>
                <c:pt idx="736">
                  <c:v>4.5939047907937241E-3</c:v>
                </c:pt>
                <c:pt idx="737">
                  <c:v>2.0078719745533647E-3</c:v>
                </c:pt>
                <c:pt idx="738">
                  <c:v>4.4232705330567767E-3</c:v>
                </c:pt>
                <c:pt idx="739">
                  <c:v>3.5876135862503069E-3</c:v>
                </c:pt>
                <c:pt idx="740">
                  <c:v>5.4529339575742934E-3</c:v>
                </c:pt>
                <c:pt idx="741">
                  <c:v>3.8007684833990733E-3</c:v>
                </c:pt>
                <c:pt idx="742">
                  <c:v>5.6141612668584567E-3</c:v>
                </c:pt>
                <c:pt idx="743">
                  <c:v>3.9002049774590829E-3</c:v>
                </c:pt>
                <c:pt idx="744">
                  <c:v>3.4493299248253913E-3</c:v>
                </c:pt>
                <c:pt idx="745">
                  <c:v>3.7060458891198934E-3</c:v>
                </c:pt>
                <c:pt idx="746">
                  <c:v>3.2235012022885871E-3</c:v>
                </c:pt>
                <c:pt idx="747">
                  <c:v>2.0498022010451617E-3</c:v>
                </c:pt>
                <c:pt idx="748">
                  <c:v>4.2327858735961652E-3</c:v>
                </c:pt>
                <c:pt idx="749">
                  <c:v>5.8078978843285689E-3</c:v>
                </c:pt>
                <c:pt idx="750">
                  <c:v>3.7254226460251053E-3</c:v>
                </c:pt>
                <c:pt idx="751">
                  <c:v>2.7775325690741169E-3</c:v>
                </c:pt>
                <c:pt idx="752">
                  <c:v>4.9521474693976428E-3</c:v>
                </c:pt>
                <c:pt idx="753">
                  <c:v>3.2079819400950612E-3</c:v>
                </c:pt>
                <c:pt idx="754">
                  <c:v>2.393736587240887E-3</c:v>
                </c:pt>
                <c:pt idx="755">
                  <c:v>3.715519078285896E-3</c:v>
                </c:pt>
                <c:pt idx="756">
                  <c:v>5.1234325018076014E-3</c:v>
                </c:pt>
                <c:pt idx="757">
                  <c:v>4.5505004182616222E-3</c:v>
                </c:pt>
                <c:pt idx="758">
                  <c:v>6.3560641067322877E-3</c:v>
                </c:pt>
                <c:pt idx="759">
                  <c:v>5.571287505454328E-3</c:v>
                </c:pt>
                <c:pt idx="760">
                  <c:v>3.3618567770568159E-3</c:v>
                </c:pt>
                <c:pt idx="761">
                  <c:v>4.0826612219887412E-3</c:v>
                </c:pt>
                <c:pt idx="762">
                  <c:v>2.1211175144590891E-3</c:v>
                </c:pt>
                <c:pt idx="763">
                  <c:v>6.060225938164741E-3</c:v>
                </c:pt>
                <c:pt idx="764">
                  <c:v>2.7071881649967846E-3</c:v>
                </c:pt>
                <c:pt idx="765">
                  <c:v>3.347204379362484E-3</c:v>
                </c:pt>
                <c:pt idx="766">
                  <c:v>2.0191114014666486E-3</c:v>
                </c:pt>
                <c:pt idx="767">
                  <c:v>3.5375698181937462E-2</c:v>
                </c:pt>
                <c:pt idx="768">
                  <c:v>4.2073204418868221E-2</c:v>
                </c:pt>
                <c:pt idx="769">
                  <c:v>2.8355678528409933E-2</c:v>
                </c:pt>
                <c:pt idx="770">
                  <c:v>3.5781834260801476E-2</c:v>
                </c:pt>
                <c:pt idx="771">
                  <c:v>4.6588022409259848E-2</c:v>
                </c:pt>
                <c:pt idx="772">
                  <c:v>4.8244034116209665E-2</c:v>
                </c:pt>
                <c:pt idx="773">
                  <c:v>3.6624105323077326E-2</c:v>
                </c:pt>
                <c:pt idx="774">
                  <c:v>3.4895848364411029E-2</c:v>
                </c:pt>
                <c:pt idx="775">
                  <c:v>3.4007248141499601E-2</c:v>
                </c:pt>
                <c:pt idx="776">
                  <c:v>2.3768777784749874E-2</c:v>
                </c:pt>
                <c:pt idx="777">
                  <c:v>2.5103420470610625E-2</c:v>
                </c:pt>
                <c:pt idx="778">
                  <c:v>3.2388660805700756E-2</c:v>
                </c:pt>
                <c:pt idx="779">
                  <c:v>3.7961267174890727E-2</c:v>
                </c:pt>
                <c:pt idx="780">
                  <c:v>3.3150627070256039E-2</c:v>
                </c:pt>
                <c:pt idx="781">
                  <c:v>2.4646138183454763E-2</c:v>
                </c:pt>
                <c:pt idx="782">
                  <c:v>3.2349963009572699E-2</c:v>
                </c:pt>
                <c:pt idx="783">
                  <c:v>3.7245969231552427E-2</c:v>
                </c:pt>
                <c:pt idx="784">
                  <c:v>3.4942735195469352E-2</c:v>
                </c:pt>
                <c:pt idx="785">
                  <c:v>3.992782952304838E-2</c:v>
                </c:pt>
                <c:pt idx="786">
                  <c:v>4.3087465441965497E-2</c:v>
                </c:pt>
                <c:pt idx="787">
                  <c:v>4.3860742710894997E-2</c:v>
                </c:pt>
                <c:pt idx="788">
                  <c:v>4.0879124515786847E-2</c:v>
                </c:pt>
                <c:pt idx="789">
                  <c:v>3.0336961114833253E-2</c:v>
                </c:pt>
                <c:pt idx="790">
                  <c:v>4.3111061328452958E-2</c:v>
                </c:pt>
                <c:pt idx="791">
                  <c:v>3.782793513748673E-2</c:v>
                </c:pt>
                <c:pt idx="792">
                  <c:v>4.484930045279361E-2</c:v>
                </c:pt>
                <c:pt idx="793">
                  <c:v>3.6516714745001157E-2</c:v>
                </c:pt>
                <c:pt idx="794">
                  <c:v>3.9223304984384588E-2</c:v>
                </c:pt>
                <c:pt idx="795">
                  <c:v>2.8036187972504529E-2</c:v>
                </c:pt>
                <c:pt idx="796">
                  <c:v>3.5806630268840178E-2</c:v>
                </c:pt>
                <c:pt idx="797">
                  <c:v>3.6179998927495759E-2</c:v>
                </c:pt>
                <c:pt idx="798">
                  <c:v>4.3774760090985777E-2</c:v>
                </c:pt>
                <c:pt idx="799">
                  <c:v>3.551858934845576E-2</c:v>
                </c:pt>
                <c:pt idx="800">
                  <c:v>3.4585145320708277E-2</c:v>
                </c:pt>
                <c:pt idx="801">
                  <c:v>3.8170933566954446E-2</c:v>
                </c:pt>
                <c:pt idx="802">
                  <c:v>2.7861488029797408E-2</c:v>
                </c:pt>
                <c:pt idx="803">
                  <c:v>4.4502914351718451E-2</c:v>
                </c:pt>
                <c:pt idx="804">
                  <c:v>3.2982803232419658E-2</c:v>
                </c:pt>
                <c:pt idx="805">
                  <c:v>2.789570054496552E-2</c:v>
                </c:pt>
                <c:pt idx="806">
                  <c:v>3.2212074081019081E-2</c:v>
                </c:pt>
                <c:pt idx="807">
                  <c:v>2.6867742631927725E-2</c:v>
                </c:pt>
                <c:pt idx="808">
                  <c:v>2.6672968027334865E-2</c:v>
                </c:pt>
                <c:pt idx="809">
                  <c:v>2.6809768547349538E-2</c:v>
                </c:pt>
                <c:pt idx="810">
                  <c:v>2.8783468362738387E-2</c:v>
                </c:pt>
                <c:pt idx="811">
                  <c:v>2.0840068653067773E-2</c:v>
                </c:pt>
                <c:pt idx="812">
                  <c:v>1.6003174617965386E-2</c:v>
                </c:pt>
                <c:pt idx="813">
                  <c:v>1.308423848984909E-2</c:v>
                </c:pt>
                <c:pt idx="814">
                  <c:v>1.1100373158496275E-2</c:v>
                </c:pt>
                <c:pt idx="815">
                  <c:v>1.3071596144529837E-2</c:v>
                </c:pt>
                <c:pt idx="816">
                  <c:v>1.570923020309754E-2</c:v>
                </c:pt>
                <c:pt idx="817">
                  <c:v>2.5849212756843241E-2</c:v>
                </c:pt>
                <c:pt idx="818">
                  <c:v>1.9623017934406944E-2</c:v>
                </c:pt>
                <c:pt idx="819">
                  <c:v>2.7493125521139448E-2</c:v>
                </c:pt>
                <c:pt idx="820">
                  <c:v>2.2554145769800062E-2</c:v>
                </c:pt>
                <c:pt idx="821">
                  <c:v>2.1295998320120298E-2</c:v>
                </c:pt>
                <c:pt idx="822">
                  <c:v>2.306511687275575E-2</c:v>
                </c:pt>
                <c:pt idx="823">
                  <c:v>1.9504280764391698E-2</c:v>
                </c:pt>
                <c:pt idx="824">
                  <c:v>2.1022994487957639E-2</c:v>
                </c:pt>
                <c:pt idx="825">
                  <c:v>2.0770934080737439E-2</c:v>
                </c:pt>
                <c:pt idx="826">
                  <c:v>2.2611453909566304E-2</c:v>
                </c:pt>
                <c:pt idx="827">
                  <c:v>2.3212527404813433E-2</c:v>
                </c:pt>
                <c:pt idx="828">
                  <c:v>1.7439882442772541E-2</c:v>
                </c:pt>
                <c:pt idx="829">
                  <c:v>1.9470231251167813E-2</c:v>
                </c:pt>
                <c:pt idx="830">
                  <c:v>1.9952074031482744E-2</c:v>
                </c:pt>
                <c:pt idx="831">
                  <c:v>2.1915411158496014E-2</c:v>
                </c:pt>
                <c:pt idx="832">
                  <c:v>2.0971683703174027E-2</c:v>
                </c:pt>
                <c:pt idx="833">
                  <c:v>1.8573602909992694E-2</c:v>
                </c:pt>
                <c:pt idx="834">
                  <c:v>2.1573376399523211E-2</c:v>
                </c:pt>
                <c:pt idx="835">
                  <c:v>2.3253282940005782E-2</c:v>
                </c:pt>
                <c:pt idx="836">
                  <c:v>2.0376200904216837E-2</c:v>
                </c:pt>
                <c:pt idx="837">
                  <c:v>2.1725012001304854E-2</c:v>
                </c:pt>
                <c:pt idx="838">
                  <c:v>1.8898049398199515E-2</c:v>
                </c:pt>
                <c:pt idx="839">
                  <c:v>1.7560019460464732E-2</c:v>
                </c:pt>
                <c:pt idx="840">
                  <c:v>2.2361139010639561E-2</c:v>
                </c:pt>
                <c:pt idx="841">
                  <c:v>1.4245342411726055E-2</c:v>
                </c:pt>
                <c:pt idx="842">
                  <c:v>2.519727807032953E-2</c:v>
                </c:pt>
                <c:pt idx="843">
                  <c:v>2.468388732899696E-2</c:v>
                </c:pt>
                <c:pt idx="844">
                  <c:v>2.4690862355430793E-2</c:v>
                </c:pt>
                <c:pt idx="845">
                  <c:v>2.6915504196989362E-2</c:v>
                </c:pt>
                <c:pt idx="846">
                  <c:v>3.3312352707846229E-2</c:v>
                </c:pt>
                <c:pt idx="847">
                  <c:v>3.1104149523485617E-2</c:v>
                </c:pt>
                <c:pt idx="848">
                  <c:v>2.535297956325671E-2</c:v>
                </c:pt>
                <c:pt idx="849">
                  <c:v>2.4157976052694121E-2</c:v>
                </c:pt>
                <c:pt idx="850">
                  <c:v>2.2323187420665372E-2</c:v>
                </c:pt>
                <c:pt idx="851">
                  <c:v>2.4087313371349613E-2</c:v>
                </c:pt>
                <c:pt idx="852">
                  <c:v>3.0033515488759186E-2</c:v>
                </c:pt>
                <c:pt idx="853">
                  <c:v>1.827639694971836E-2</c:v>
                </c:pt>
                <c:pt idx="854">
                  <c:v>1.3654446877981409E-2</c:v>
                </c:pt>
                <c:pt idx="855">
                  <c:v>2.6467482108240802E-2</c:v>
                </c:pt>
                <c:pt idx="856">
                  <c:v>2.6107340917828119E-2</c:v>
                </c:pt>
                <c:pt idx="857">
                  <c:v>2.251827279813344E-2</c:v>
                </c:pt>
                <c:pt idx="858">
                  <c:v>2.3354537713641262E-2</c:v>
                </c:pt>
                <c:pt idx="859">
                  <c:v>2.0126667114376454E-2</c:v>
                </c:pt>
                <c:pt idx="860">
                  <c:v>2.3536819113821474E-2</c:v>
                </c:pt>
                <c:pt idx="861">
                  <c:v>2.6761178670443239E-2</c:v>
                </c:pt>
                <c:pt idx="862">
                  <c:v>2.9072354028325764E-2</c:v>
                </c:pt>
                <c:pt idx="863">
                  <c:v>3.8642015193568816E-2</c:v>
                </c:pt>
                <c:pt idx="864">
                  <c:v>2.4795884504768467E-2</c:v>
                </c:pt>
                <c:pt idx="865">
                  <c:v>2.56666714208569E-2</c:v>
                </c:pt>
                <c:pt idx="866">
                  <c:v>3.189944437285875E-2</c:v>
                </c:pt>
                <c:pt idx="867">
                  <c:v>3.1751320523064647E-2</c:v>
                </c:pt>
                <c:pt idx="868">
                  <c:v>2.6927341721362911E-2</c:v>
                </c:pt>
                <c:pt idx="869">
                  <c:v>2.8187619166064739E-2</c:v>
                </c:pt>
                <c:pt idx="870">
                  <c:v>2.9688083068606996E-2</c:v>
                </c:pt>
                <c:pt idx="871">
                  <c:v>3.4489283649307999E-2</c:v>
                </c:pt>
                <c:pt idx="872">
                  <c:v>4.3927867991764159E-2</c:v>
                </c:pt>
                <c:pt idx="873">
                  <c:v>5.4710319500641473E-2</c:v>
                </c:pt>
                <c:pt idx="874">
                  <c:v>5.1860713315155522E-2</c:v>
                </c:pt>
                <c:pt idx="875">
                  <c:v>6.7387065074580477E-2</c:v>
                </c:pt>
                <c:pt idx="876">
                  <c:v>6.6659067311744549E-2</c:v>
                </c:pt>
                <c:pt idx="877">
                  <c:v>3.5245173851599559E-2</c:v>
                </c:pt>
                <c:pt idx="878">
                  <c:v>4.0185248833367888E-2</c:v>
                </c:pt>
                <c:pt idx="879">
                  <c:v>6.2259998164463412E-2</c:v>
                </c:pt>
                <c:pt idx="880">
                  <c:v>6.2757546593529737E-2</c:v>
                </c:pt>
                <c:pt idx="881">
                  <c:v>5.0354231525812101E-2</c:v>
                </c:pt>
                <c:pt idx="882">
                  <c:v>5.7991892690873126E-2</c:v>
                </c:pt>
                <c:pt idx="883">
                  <c:v>5.310303999648238E-2</c:v>
                </c:pt>
                <c:pt idx="884">
                  <c:v>4.6082915750181121E-2</c:v>
                </c:pt>
                <c:pt idx="885">
                  <c:v>4.9034572063875265E-2</c:v>
                </c:pt>
                <c:pt idx="886">
                  <c:v>6.2811291328985483E-2</c:v>
                </c:pt>
                <c:pt idx="887">
                  <c:v>7.4813516093362051E-2</c:v>
                </c:pt>
                <c:pt idx="888">
                  <c:v>6.3490607392853324E-2</c:v>
                </c:pt>
                <c:pt idx="889">
                  <c:v>6.6206244899988567E-2</c:v>
                </c:pt>
                <c:pt idx="890">
                  <c:v>5.9091761153718357E-2</c:v>
                </c:pt>
                <c:pt idx="891">
                  <c:v>6.8514613278137418E-2</c:v>
                </c:pt>
                <c:pt idx="892">
                  <c:v>6.6480230920963695E-2</c:v>
                </c:pt>
                <c:pt idx="893">
                  <c:v>6.2609056287135478E-2</c:v>
                </c:pt>
                <c:pt idx="894">
                  <c:v>4.9660622328087961E-2</c:v>
                </c:pt>
                <c:pt idx="895">
                  <c:v>6.317793104249779E-2</c:v>
                </c:pt>
                <c:pt idx="896">
                  <c:v>7.4037082470798446E-2</c:v>
                </c:pt>
                <c:pt idx="897">
                  <c:v>7.6093317694062981E-2</c:v>
                </c:pt>
                <c:pt idx="898">
                  <c:v>6.9060621788648482E-2</c:v>
                </c:pt>
                <c:pt idx="899">
                  <c:v>3.6462011194458556E-2</c:v>
                </c:pt>
                <c:pt idx="900">
                  <c:v>5.890978068697305E-2</c:v>
                </c:pt>
                <c:pt idx="901">
                  <c:v>7.3662639801530899E-2</c:v>
                </c:pt>
                <c:pt idx="902">
                  <c:v>8.2615926525711814E-2</c:v>
                </c:pt>
                <c:pt idx="903">
                  <c:v>5.1454686265970578E-2</c:v>
                </c:pt>
                <c:pt idx="904">
                  <c:v>5.2613153329515938E-2</c:v>
                </c:pt>
                <c:pt idx="905">
                  <c:v>5.7054162015148006E-2</c:v>
                </c:pt>
                <c:pt idx="906">
                  <c:v>6.0024350787479329E-2</c:v>
                </c:pt>
                <c:pt idx="907">
                  <c:v>6.9177296276915684E-2</c:v>
                </c:pt>
                <c:pt idx="908">
                  <c:v>6.8047385105977229E-2</c:v>
                </c:pt>
                <c:pt idx="909">
                  <c:v>6.6837085398237586E-2</c:v>
                </c:pt>
                <c:pt idx="910">
                  <c:v>6.082659901975189E-2</c:v>
                </c:pt>
                <c:pt idx="911">
                  <c:v>4.2050340507266235E-2</c:v>
                </c:pt>
                <c:pt idx="912">
                  <c:v>4.7094853775666032E-3</c:v>
                </c:pt>
                <c:pt idx="913">
                  <c:v>2.7641550628626052E-3</c:v>
                </c:pt>
                <c:pt idx="914">
                  <c:v>2.1124738577275671E-3</c:v>
                </c:pt>
                <c:pt idx="915">
                  <c:v>7.3696321717825943E-3</c:v>
                </c:pt>
                <c:pt idx="916">
                  <c:v>2.3613423293616488E-3</c:v>
                </c:pt>
                <c:pt idx="917">
                  <c:v>5.3362641141590063E-3</c:v>
                </c:pt>
                <c:pt idx="918">
                  <c:v>3.6642752726510366E-3</c:v>
                </c:pt>
                <c:pt idx="919">
                  <c:v>5.2195629198731192E-3</c:v>
                </c:pt>
                <c:pt idx="920">
                  <c:v>1.4117657236928825E-3</c:v>
                </c:pt>
                <c:pt idx="921">
                  <c:v>3.5092151709286111E-3</c:v>
                </c:pt>
                <c:pt idx="922">
                  <c:v>3.9557245426910057E-3</c:v>
                </c:pt>
                <c:pt idx="923">
                  <c:v>4.3140638140017522E-3</c:v>
                </c:pt>
                <c:pt idx="924">
                  <c:v>2.2278524957902901E-3</c:v>
                </c:pt>
                <c:pt idx="925">
                  <c:v>3.0725959676749632E-3</c:v>
                </c:pt>
                <c:pt idx="926">
                  <c:v>5.1333040161091253E-3</c:v>
                </c:pt>
                <c:pt idx="927">
                  <c:v>2.2235317509582369E-3</c:v>
                </c:pt>
                <c:pt idx="928">
                  <c:v>2.887557713022394E-3</c:v>
                </c:pt>
                <c:pt idx="929">
                  <c:v>4.5384667548727768E-3</c:v>
                </c:pt>
                <c:pt idx="930">
                  <c:v>5.3401250148074559E-3</c:v>
                </c:pt>
                <c:pt idx="931">
                  <c:v>2.9768517486486517E-3</c:v>
                </c:pt>
                <c:pt idx="932">
                  <c:v>2.1405651131339506E-3</c:v>
                </c:pt>
                <c:pt idx="933">
                  <c:v>4.0848123714140802E-3</c:v>
                </c:pt>
                <c:pt idx="934">
                  <c:v>4.0873937366598181E-3</c:v>
                </c:pt>
                <c:pt idx="935">
                  <c:v>3.0609525278988466E-3</c:v>
                </c:pt>
                <c:pt idx="936">
                  <c:v>4.8907431526775177E-3</c:v>
                </c:pt>
                <c:pt idx="937">
                  <c:v>3.4260629256395369E-3</c:v>
                </c:pt>
                <c:pt idx="938">
                  <c:v>4.4370269123222474E-3</c:v>
                </c:pt>
                <c:pt idx="939">
                  <c:v>2.1690866826629862E-3</c:v>
                </c:pt>
                <c:pt idx="940">
                  <c:v>4.6940191263607454E-3</c:v>
                </c:pt>
                <c:pt idx="941">
                  <c:v>4.8344840251153733E-3</c:v>
                </c:pt>
                <c:pt idx="942">
                  <c:v>8.891306927133023E-3</c:v>
                </c:pt>
                <c:pt idx="943">
                  <c:v>3.776659237617757E-3</c:v>
                </c:pt>
                <c:pt idx="944">
                  <c:v>4.5874588711303163E-3</c:v>
                </c:pt>
                <c:pt idx="945">
                  <c:v>3.1778040093009248E-3</c:v>
                </c:pt>
                <c:pt idx="946">
                  <c:v>1.9996583632424679E-3</c:v>
                </c:pt>
                <c:pt idx="947">
                  <c:v>4.5754262317766296E-3</c:v>
                </c:pt>
                <c:pt idx="948">
                  <c:v>8.8789674382230774E-3</c:v>
                </c:pt>
                <c:pt idx="949">
                  <c:v>2.5271754503041928E-3</c:v>
                </c:pt>
                <c:pt idx="950">
                  <c:v>8.4583642376906531E-3</c:v>
                </c:pt>
                <c:pt idx="951">
                  <c:v>6.7521972246656408E-3</c:v>
                </c:pt>
                <c:pt idx="952">
                  <c:v>8.1064134367276851E-3</c:v>
                </c:pt>
                <c:pt idx="953">
                  <c:v>2.8836749471439034E-3</c:v>
                </c:pt>
                <c:pt idx="954">
                  <c:v>3.2209146971013112E-3</c:v>
                </c:pt>
                <c:pt idx="955">
                  <c:v>2.8327643608221857E-3</c:v>
                </c:pt>
                <c:pt idx="956">
                  <c:v>2.7106409169828554E-3</c:v>
                </c:pt>
                <c:pt idx="957">
                  <c:v>2.0800586127325896E-3</c:v>
                </c:pt>
                <c:pt idx="958">
                  <c:v>3.9307631357266525E-3</c:v>
                </c:pt>
                <c:pt idx="959">
                  <c:v>2.4161951876965331E-3</c:v>
                </c:pt>
                <c:pt idx="960">
                  <c:v>3.8098091055242828E-3</c:v>
                </c:pt>
                <c:pt idx="961">
                  <c:v>3.820141014656192E-3</c:v>
                </c:pt>
                <c:pt idx="962">
                  <c:v>1.9082210499884126E-2</c:v>
                </c:pt>
                <c:pt idx="963">
                  <c:v>2.1424994962729833E-2</c:v>
                </c:pt>
                <c:pt idx="964">
                  <c:v>2.4452827555334646E-2</c:v>
                </c:pt>
                <c:pt idx="965">
                  <c:v>2.3692705703647319E-2</c:v>
                </c:pt>
                <c:pt idx="966">
                  <c:v>1.6830760497913596E-2</c:v>
                </c:pt>
                <c:pt idx="967">
                  <c:v>1.1561985978763569E-2</c:v>
                </c:pt>
                <c:pt idx="968">
                  <c:v>1.0764538872715645E-2</c:v>
                </c:pt>
                <c:pt idx="969">
                  <c:v>1.0363993389920924E-2</c:v>
                </c:pt>
                <c:pt idx="970">
                  <c:v>7.1599309225477779E-3</c:v>
                </c:pt>
                <c:pt idx="971">
                  <c:v>6.5362083000404681E-3</c:v>
                </c:pt>
                <c:pt idx="972">
                  <c:v>5.0513207217841669E-3</c:v>
                </c:pt>
                <c:pt idx="973">
                  <c:v>5.3727268072039473E-3</c:v>
                </c:pt>
                <c:pt idx="974">
                  <c:v>2.2719216378585499E-3</c:v>
                </c:pt>
                <c:pt idx="975">
                  <c:v>9.4725674874939422E-3</c:v>
                </c:pt>
                <c:pt idx="976">
                  <c:v>1.4797239822000203E-2</c:v>
                </c:pt>
                <c:pt idx="977">
                  <c:v>9.7287213876209311E-3</c:v>
                </c:pt>
                <c:pt idx="978">
                  <c:v>7.9861905598465031E-3</c:v>
                </c:pt>
                <c:pt idx="979">
                  <c:v>1.1253593313144272E-2</c:v>
                </c:pt>
                <c:pt idx="980">
                  <c:v>4.8589640831392285E-3</c:v>
                </c:pt>
                <c:pt idx="981">
                  <c:v>6.413838198686796E-3</c:v>
                </c:pt>
                <c:pt idx="982">
                  <c:v>5.3422699447810331E-3</c:v>
                </c:pt>
                <c:pt idx="983">
                  <c:v>6.6157731529397357E-3</c:v>
                </c:pt>
                <c:pt idx="984">
                  <c:v>7.1509597716713979E-3</c:v>
                </c:pt>
                <c:pt idx="985">
                  <c:v>4.843073676301885E-3</c:v>
                </c:pt>
                <c:pt idx="986">
                  <c:v>1.5887211766501041E-2</c:v>
                </c:pt>
                <c:pt idx="987">
                  <c:v>1.2604836075749094E-2</c:v>
                </c:pt>
                <c:pt idx="988">
                  <c:v>1.1597084019084646E-2</c:v>
                </c:pt>
                <c:pt idx="989">
                  <c:v>9.3705736384612267E-3</c:v>
                </c:pt>
                <c:pt idx="990">
                  <c:v>1.1552682408157034E-2</c:v>
                </c:pt>
                <c:pt idx="991">
                  <c:v>4.5655420286196766E-3</c:v>
                </c:pt>
                <c:pt idx="992">
                  <c:v>6.4647586183241481E-3</c:v>
                </c:pt>
                <c:pt idx="993">
                  <c:v>8.1954933208195878E-3</c:v>
                </c:pt>
                <c:pt idx="994">
                  <c:v>1.0056870322568422E-2</c:v>
                </c:pt>
                <c:pt idx="995">
                  <c:v>1.0053475484016576E-2</c:v>
                </c:pt>
                <c:pt idx="996">
                  <c:v>6.7624593715071915E-3</c:v>
                </c:pt>
                <c:pt idx="997">
                  <c:v>1.9975716633494782E-2</c:v>
                </c:pt>
                <c:pt idx="998">
                  <c:v>6.3487883058282093E-3</c:v>
                </c:pt>
                <c:pt idx="999">
                  <c:v>1.5478373705212113E-2</c:v>
                </c:pt>
                <c:pt idx="1000">
                  <c:v>7.1043922491771001E-3</c:v>
                </c:pt>
                <c:pt idx="1001">
                  <c:v>4.230205372391954E-3</c:v>
                </c:pt>
                <c:pt idx="1002">
                  <c:v>2.844413919850945E-3</c:v>
                </c:pt>
                <c:pt idx="1003">
                  <c:v>2.6130901060456651E-3</c:v>
                </c:pt>
                <c:pt idx="1004">
                  <c:v>3.6250847528763951E-3</c:v>
                </c:pt>
                <c:pt idx="1005">
                  <c:v>4.1050326552087481E-3</c:v>
                </c:pt>
                <c:pt idx="1006">
                  <c:v>3.9101043345999616E-3</c:v>
                </c:pt>
                <c:pt idx="1007">
                  <c:v>5.758186110698298E-3</c:v>
                </c:pt>
                <c:pt idx="1008">
                  <c:v>5.3105238993069754E-3</c:v>
                </c:pt>
                <c:pt idx="1009">
                  <c:v>3.925168140788326E-3</c:v>
                </c:pt>
                <c:pt idx="1010">
                  <c:v>3.9509905929930433E-3</c:v>
                </c:pt>
                <c:pt idx="1011">
                  <c:v>5.3045176296519295E-3</c:v>
                </c:pt>
                <c:pt idx="1012">
                  <c:v>5.5605684037396868E-3</c:v>
                </c:pt>
                <c:pt idx="1013">
                  <c:v>3.581152713504572E-3</c:v>
                </c:pt>
                <c:pt idx="1014">
                  <c:v>4.6695297687877673E-3</c:v>
                </c:pt>
                <c:pt idx="1015">
                  <c:v>7.6389774452041712E-3</c:v>
                </c:pt>
                <c:pt idx="1016">
                  <c:v>3.464409721498423E-3</c:v>
                </c:pt>
                <c:pt idx="1017">
                  <c:v>7.4601439887904148E-3</c:v>
                </c:pt>
                <c:pt idx="1018">
                  <c:v>4.1906357671237454E-3</c:v>
                </c:pt>
                <c:pt idx="1019">
                  <c:v>3.7021704339936542E-3</c:v>
                </c:pt>
                <c:pt idx="1020">
                  <c:v>7.7494844590058152E-3</c:v>
                </c:pt>
                <c:pt idx="1021">
                  <c:v>5.1706420624815733E-3</c:v>
                </c:pt>
                <c:pt idx="1022">
                  <c:v>1.9974968607631188E-3</c:v>
                </c:pt>
                <c:pt idx="1023">
                  <c:v>6.3847381352480298E-3</c:v>
                </c:pt>
                <c:pt idx="1024">
                  <c:v>5.6265938660141372E-3</c:v>
                </c:pt>
                <c:pt idx="1025">
                  <c:v>7.2154624944010216E-3</c:v>
                </c:pt>
                <c:pt idx="1026">
                  <c:v>2.4848594736012119E-3</c:v>
                </c:pt>
                <c:pt idx="1027">
                  <c:v>6.0499471843027874E-3</c:v>
                </c:pt>
                <c:pt idx="1028">
                  <c:v>3.8321945979913909E-3</c:v>
                </c:pt>
                <c:pt idx="1029">
                  <c:v>5.8644595334696095E-3</c:v>
                </c:pt>
                <c:pt idx="1030">
                  <c:v>3.1872887277986112E-3</c:v>
                </c:pt>
                <c:pt idx="1031">
                  <c:v>9.1363220971977851E-3</c:v>
                </c:pt>
                <c:pt idx="1032">
                  <c:v>7.4238561388614557E-3</c:v>
                </c:pt>
                <c:pt idx="1033">
                  <c:v>4.8366314538392016E-3</c:v>
                </c:pt>
                <c:pt idx="1034">
                  <c:v>3.9354973059143455E-3</c:v>
                </c:pt>
                <c:pt idx="1035">
                  <c:v>7.3534063616918595E-3</c:v>
                </c:pt>
                <c:pt idx="1036">
                  <c:v>6.1253190638578883E-3</c:v>
                </c:pt>
                <c:pt idx="1037">
                  <c:v>2.8737521655189413E-3</c:v>
                </c:pt>
                <c:pt idx="1038">
                  <c:v>4.3923170864552568E-3</c:v>
                </c:pt>
                <c:pt idx="1039">
                  <c:v>6.4801619388171645E-3</c:v>
                </c:pt>
                <c:pt idx="1040">
                  <c:v>6.6615377279157758E-3</c:v>
                </c:pt>
                <c:pt idx="1041">
                  <c:v>4.5642527681447843E-3</c:v>
                </c:pt>
                <c:pt idx="1042">
                  <c:v>7.2991735973223148E-3</c:v>
                </c:pt>
                <c:pt idx="1043">
                  <c:v>3.9875697722423185E-3</c:v>
                </c:pt>
                <c:pt idx="1044">
                  <c:v>3.9944549202663646E-3</c:v>
                </c:pt>
                <c:pt idx="1045">
                  <c:v>7.1436972757057066E-3</c:v>
                </c:pt>
                <c:pt idx="1046">
                  <c:v>8.4536791149307268E-3</c:v>
                </c:pt>
                <c:pt idx="1047">
                  <c:v>3.895900838754642E-3</c:v>
                </c:pt>
                <c:pt idx="1048">
                  <c:v>5.0165482634368539E-3</c:v>
                </c:pt>
                <c:pt idx="1049">
                  <c:v>4.2469783561501304E-3</c:v>
                </c:pt>
                <c:pt idx="1050">
                  <c:v>5.8048981972435168E-3</c:v>
                </c:pt>
                <c:pt idx="1051">
                  <c:v>5.3229651936401072E-3</c:v>
                </c:pt>
                <c:pt idx="1052">
                  <c:v>6.6726573636805347E-3</c:v>
                </c:pt>
                <c:pt idx="1053">
                  <c:v>4.4198313701554982E-3</c:v>
                </c:pt>
                <c:pt idx="1054">
                  <c:v>7.2359646646263983E-3</c:v>
                </c:pt>
                <c:pt idx="1055">
                  <c:v>4.0164660902558741E-2</c:v>
                </c:pt>
                <c:pt idx="1056">
                  <c:v>4.7028632469247884E-2</c:v>
                </c:pt>
                <c:pt idx="1057">
                  <c:v>3.9480348992053833E-2</c:v>
                </c:pt>
                <c:pt idx="1058">
                  <c:v>3.8003845201850593E-2</c:v>
                </c:pt>
                <c:pt idx="1059">
                  <c:v>3.8898212114532503E-2</c:v>
                </c:pt>
                <c:pt idx="1060">
                  <c:v>4.3437732588637805E-2</c:v>
                </c:pt>
                <c:pt idx="1061">
                  <c:v>4.7588303182563511E-2</c:v>
                </c:pt>
                <c:pt idx="1062">
                  <c:v>4.2226519207484672E-2</c:v>
                </c:pt>
                <c:pt idx="1063">
                  <c:v>5.597889386815668E-2</c:v>
                </c:pt>
                <c:pt idx="1064">
                  <c:v>4.1171138473246487E-2</c:v>
                </c:pt>
                <c:pt idx="1065">
                  <c:v>4.6577879215808443E-2</c:v>
                </c:pt>
                <c:pt idx="1066">
                  <c:v>4.7479697008865E-2</c:v>
                </c:pt>
                <c:pt idx="1067">
                  <c:v>3.4973188886793349E-2</c:v>
                </c:pt>
                <c:pt idx="1068">
                  <c:v>5.5441788784471216E-2</c:v>
                </c:pt>
                <c:pt idx="1069">
                  <c:v>5.8539897939780788E-2</c:v>
                </c:pt>
                <c:pt idx="1070">
                  <c:v>4.4945252251063661E-2</c:v>
                </c:pt>
                <c:pt idx="1071">
                  <c:v>4.7682873532420338E-2</c:v>
                </c:pt>
                <c:pt idx="1072">
                  <c:v>5.082426481477139E-2</c:v>
                </c:pt>
                <c:pt idx="1073">
                  <c:v>5.646881419412314E-2</c:v>
                </c:pt>
                <c:pt idx="1074">
                  <c:v>5.9786755185897919E-2</c:v>
                </c:pt>
                <c:pt idx="1075">
                  <c:v>5.3974164303869851E-2</c:v>
                </c:pt>
                <c:pt idx="1076">
                  <c:v>5.3232533035733796E-2</c:v>
                </c:pt>
                <c:pt idx="1077">
                  <c:v>7.1679166503989991E-2</c:v>
                </c:pt>
                <c:pt idx="1078">
                  <c:v>7.7924317857590852E-2</c:v>
                </c:pt>
                <c:pt idx="1079">
                  <c:v>6.9684373401479177E-2</c:v>
                </c:pt>
                <c:pt idx="1080">
                  <c:v>6.2845113277050446E-2</c:v>
                </c:pt>
                <c:pt idx="1081">
                  <c:v>6.706415736416832E-2</c:v>
                </c:pt>
                <c:pt idx="1082">
                  <c:v>6.6634854194379395E-2</c:v>
                </c:pt>
                <c:pt idx="1083">
                  <c:v>6.8401841697880536E-2</c:v>
                </c:pt>
                <c:pt idx="1084">
                  <c:v>4.8791661992379505E-2</c:v>
                </c:pt>
                <c:pt idx="1085">
                  <c:v>7.2637316956688097E-2</c:v>
                </c:pt>
                <c:pt idx="1086">
                  <c:v>6.3541635222631759E-2</c:v>
                </c:pt>
                <c:pt idx="1087">
                  <c:v>7.1699786228657081E-2</c:v>
                </c:pt>
                <c:pt idx="1088">
                  <c:v>6.7751721535413298E-2</c:v>
                </c:pt>
                <c:pt idx="1089">
                  <c:v>6.7973488081659886E-2</c:v>
                </c:pt>
                <c:pt idx="1090">
                  <c:v>6.6905219455026602E-2</c:v>
                </c:pt>
                <c:pt idx="1091">
                  <c:v>3.6227546406990267E-2</c:v>
                </c:pt>
                <c:pt idx="1092">
                  <c:v>5.4357534588902724E-2</c:v>
                </c:pt>
                <c:pt idx="1093">
                  <c:v>6.9368352498654209E-2</c:v>
                </c:pt>
                <c:pt idx="1094">
                  <c:v>6.4381981041675196E-2</c:v>
                </c:pt>
                <c:pt idx="1095">
                  <c:v>6.3687931788854152E-2</c:v>
                </c:pt>
                <c:pt idx="1096">
                  <c:v>7.3680233377152765E-2</c:v>
                </c:pt>
                <c:pt idx="1097">
                  <c:v>8.6286492791726427E-2</c:v>
                </c:pt>
                <c:pt idx="1098">
                  <c:v>5.3585848735353631E-2</c:v>
                </c:pt>
                <c:pt idx="1099">
                  <c:v>5.9251689348301988E-2</c:v>
                </c:pt>
                <c:pt idx="1100">
                  <c:v>4.7045000513298962E-2</c:v>
                </c:pt>
                <c:pt idx="1101">
                  <c:v>6.4486442071253314E-2</c:v>
                </c:pt>
                <c:pt idx="1102">
                  <c:v>5.9592571826893592E-2</c:v>
                </c:pt>
                <c:pt idx="1103">
                  <c:v>6.2463148008890093E-2</c:v>
                </c:pt>
                <c:pt idx="1104">
                  <c:v>6.4539224648301738E-2</c:v>
                </c:pt>
                <c:pt idx="1105">
                  <c:v>6.3044233561350554E-2</c:v>
                </c:pt>
                <c:pt idx="1106">
                  <c:v>4.9473483292995203E-2</c:v>
                </c:pt>
                <c:pt idx="1107">
                  <c:v>5.963232402630237E-2</c:v>
                </c:pt>
                <c:pt idx="1108">
                  <c:v>6.1694063585671262E-2</c:v>
                </c:pt>
                <c:pt idx="1109">
                  <c:v>5.3491403339437769E-2</c:v>
                </c:pt>
                <c:pt idx="1110">
                  <c:v>5.8102460861035925E-2</c:v>
                </c:pt>
                <c:pt idx="1111">
                  <c:v>4.1908793989141047E-2</c:v>
                </c:pt>
                <c:pt idx="1112">
                  <c:v>6.1223584793759583E-2</c:v>
                </c:pt>
                <c:pt idx="1113">
                  <c:v>6.1214154929307228E-2</c:v>
                </c:pt>
                <c:pt idx="1114">
                  <c:v>4.6228574774251054E-2</c:v>
                </c:pt>
                <c:pt idx="1115">
                  <c:v>2.5901587135136482E-2</c:v>
                </c:pt>
                <c:pt idx="1116">
                  <c:v>5.0828514439757409E-2</c:v>
                </c:pt>
                <c:pt idx="1117">
                  <c:v>5.4921240648335062E-2</c:v>
                </c:pt>
                <c:pt idx="1118">
                  <c:v>5.5222706792580595E-2</c:v>
                </c:pt>
                <c:pt idx="1119">
                  <c:v>4.3334765282044184E-2</c:v>
                </c:pt>
                <c:pt idx="1120">
                  <c:v>5.3174515706331846E-2</c:v>
                </c:pt>
                <c:pt idx="1121">
                  <c:v>5.595827762701705E-2</c:v>
                </c:pt>
                <c:pt idx="1122">
                  <c:v>5.0994603567855512E-2</c:v>
                </c:pt>
                <c:pt idx="1123">
                  <c:v>5.306076387917083E-2</c:v>
                </c:pt>
                <c:pt idx="1124">
                  <c:v>6.9129519085768892E-2</c:v>
                </c:pt>
                <c:pt idx="1125">
                  <c:v>6.9986117799282752E-2</c:v>
                </c:pt>
                <c:pt idx="1126">
                  <c:v>5.8763762057653414E-2</c:v>
                </c:pt>
                <c:pt idx="1127">
                  <c:v>6.8207019167090571E-2</c:v>
                </c:pt>
                <c:pt idx="1128">
                  <c:v>5.9507754971753694E-2</c:v>
                </c:pt>
                <c:pt idx="1129">
                  <c:v>6.1781091527526553E-2</c:v>
                </c:pt>
                <c:pt idx="1130">
                  <c:v>6.148075254717543E-2</c:v>
                </c:pt>
                <c:pt idx="1131">
                  <c:v>5.0186736574504162E-2</c:v>
                </c:pt>
                <c:pt idx="1132">
                  <c:v>7.3018884779511711E-2</c:v>
                </c:pt>
                <c:pt idx="1133">
                  <c:v>6.2326596638728742E-2</c:v>
                </c:pt>
                <c:pt idx="1134">
                  <c:v>5.513588457542884E-2</c:v>
                </c:pt>
                <c:pt idx="1135">
                  <c:v>5.9496394313615558E-2</c:v>
                </c:pt>
                <c:pt idx="1136">
                  <c:v>5.6743294220192628E-2</c:v>
                </c:pt>
                <c:pt idx="1137">
                  <c:v>7.019085915916716E-2</c:v>
                </c:pt>
                <c:pt idx="1138">
                  <c:v>5.7298204900822727E-2</c:v>
                </c:pt>
                <c:pt idx="1139">
                  <c:v>7.0309446734482167E-2</c:v>
                </c:pt>
                <c:pt idx="1140">
                  <c:v>6.8719678632394032E-2</c:v>
                </c:pt>
                <c:pt idx="1141">
                  <c:v>6.0601529594515188E-2</c:v>
                </c:pt>
                <c:pt idx="1142">
                  <c:v>6.9601874901986507E-2</c:v>
                </c:pt>
                <c:pt idx="1143">
                  <c:v>5.6793977803999619E-2</c:v>
                </c:pt>
                <c:pt idx="1144">
                  <c:v>4.4902174474143838E-2</c:v>
                </c:pt>
                <c:pt idx="1145">
                  <c:v>5.4517683128165212E-2</c:v>
                </c:pt>
                <c:pt idx="1146">
                  <c:v>7.308752405851382E-2</c:v>
                </c:pt>
                <c:pt idx="1147">
                  <c:v>6.9963568175356816E-2</c:v>
                </c:pt>
                <c:pt idx="1148">
                  <c:v>7.8007427979635571E-2</c:v>
                </c:pt>
                <c:pt idx="1149">
                  <c:v>8.9941124610542489E-2</c:v>
                </c:pt>
                <c:pt idx="1150">
                  <c:v>8.0040660136553296E-2</c:v>
                </c:pt>
                <c:pt idx="1151">
                  <c:v>8.1687839752157848E-2</c:v>
                </c:pt>
                <c:pt idx="1152">
                  <c:v>8.6443833613848178E-2</c:v>
                </c:pt>
                <c:pt idx="1153">
                  <c:v>9.2514674314180645E-2</c:v>
                </c:pt>
                <c:pt idx="1154">
                  <c:v>8.3785249253540903E-2</c:v>
                </c:pt>
                <c:pt idx="1155">
                  <c:v>6.6877296953946272E-2</c:v>
                </c:pt>
                <c:pt idx="1156">
                  <c:v>8.8667198449735182E-2</c:v>
                </c:pt>
                <c:pt idx="1157">
                  <c:v>7.263070358691423E-2</c:v>
                </c:pt>
                <c:pt idx="1158">
                  <c:v>8.3914502552263029E-2</c:v>
                </c:pt>
                <c:pt idx="1159">
                  <c:v>6.9190258174284036E-2</c:v>
                </c:pt>
                <c:pt idx="1160">
                  <c:v>7.8104672033321429E-2</c:v>
                </c:pt>
                <c:pt idx="1161">
                  <c:v>8.4645973925107781E-2</c:v>
                </c:pt>
                <c:pt idx="1162">
                  <c:v>7.7042880538545785E-2</c:v>
                </c:pt>
                <c:pt idx="1163">
                  <c:v>7.3407086073883979E-2</c:v>
                </c:pt>
                <c:pt idx="1164">
                  <c:v>7.8131881955371213E-2</c:v>
                </c:pt>
                <c:pt idx="1165">
                  <c:v>7.7249048606720938E-2</c:v>
                </c:pt>
                <c:pt idx="1166">
                  <c:v>8.5619475444392426E-2</c:v>
                </c:pt>
                <c:pt idx="1167">
                  <c:v>7.8721736624559349E-2</c:v>
                </c:pt>
                <c:pt idx="1168">
                  <c:v>5.7852787590262127E-2</c:v>
                </c:pt>
                <c:pt idx="1169">
                  <c:v>7.3153950677546264E-2</c:v>
                </c:pt>
                <c:pt idx="1170">
                  <c:v>6.5256954726766792E-2</c:v>
                </c:pt>
                <c:pt idx="1171">
                  <c:v>7.4095308240720401E-2</c:v>
                </c:pt>
                <c:pt idx="1172">
                  <c:v>6.3032965039096556E-2</c:v>
                </c:pt>
                <c:pt idx="1173">
                  <c:v>7.5126696812745516E-2</c:v>
                </c:pt>
                <c:pt idx="1174">
                  <c:v>7.1157456424907298E-2</c:v>
                </c:pt>
                <c:pt idx="1175">
                  <c:v>7.6154912898393962E-2</c:v>
                </c:pt>
                <c:pt idx="1176">
                  <c:v>7.2057161958143101E-2</c:v>
                </c:pt>
                <c:pt idx="1177">
                  <c:v>8.0530166750803808E-2</c:v>
                </c:pt>
                <c:pt idx="1178">
                  <c:v>6.9998316288148371E-2</c:v>
                </c:pt>
                <c:pt idx="1179">
                  <c:v>7.5656068736416601E-2</c:v>
                </c:pt>
                <c:pt idx="1180">
                  <c:v>6.3636546045996265E-2</c:v>
                </c:pt>
                <c:pt idx="1181">
                  <c:v>7.7282128196492286E-2</c:v>
                </c:pt>
                <c:pt idx="1182">
                  <c:v>5.1661410336812319E-2</c:v>
                </c:pt>
                <c:pt idx="1183">
                  <c:v>6.1712148749300234E-2</c:v>
                </c:pt>
                <c:pt idx="1184">
                  <c:v>6.8700770690339003E-2</c:v>
                </c:pt>
                <c:pt idx="1185">
                  <c:v>7.3521132213669627E-2</c:v>
                </c:pt>
                <c:pt idx="1186">
                  <c:v>6.6676201932965556E-2</c:v>
                </c:pt>
                <c:pt idx="1187">
                  <c:v>8.0381135032111986E-2</c:v>
                </c:pt>
                <c:pt idx="1188">
                  <c:v>7.6591660158915637E-2</c:v>
                </c:pt>
                <c:pt idx="1189">
                  <c:v>7.6646632231607351E-2</c:v>
                </c:pt>
                <c:pt idx="1190">
                  <c:v>6.6967014874100492E-2</c:v>
                </c:pt>
                <c:pt idx="1191">
                  <c:v>7.8514454314261864E-2</c:v>
                </c:pt>
                <c:pt idx="1192">
                  <c:v>8.2016958783168878E-2</c:v>
                </c:pt>
                <c:pt idx="1193">
                  <c:v>7.6802045410998609E-2</c:v>
                </c:pt>
                <c:pt idx="1194">
                  <c:v>7.497104827839933E-2</c:v>
                </c:pt>
                <c:pt idx="1195">
                  <c:v>6.2522946246998348E-2</c:v>
                </c:pt>
                <c:pt idx="1196">
                  <c:v>7.6777299494023399E-2</c:v>
                </c:pt>
                <c:pt idx="1197">
                  <c:v>7.0956858678543011E-2</c:v>
                </c:pt>
                <c:pt idx="1198">
                  <c:v>6.9063585338210554E-2</c:v>
                </c:pt>
                <c:pt idx="1199">
                  <c:v>6.3916655846772835E-2</c:v>
                </c:pt>
                <c:pt idx="1200">
                  <c:v>3.1993598881294078E-3</c:v>
                </c:pt>
                <c:pt idx="1201">
                  <c:v>3.472164841619788E-3</c:v>
                </c:pt>
                <c:pt idx="1202">
                  <c:v>3.8119616068632667E-3</c:v>
                </c:pt>
                <c:pt idx="1203">
                  <c:v>2.1146347880384836E-3</c:v>
                </c:pt>
                <c:pt idx="1204">
                  <c:v>3.806795585726623E-3</c:v>
                </c:pt>
                <c:pt idx="1205">
                  <c:v>3.7301590551115514E-3</c:v>
                </c:pt>
                <c:pt idx="1206">
                  <c:v>4.0026308917743038E-3</c:v>
                </c:pt>
                <c:pt idx="1207">
                  <c:v>2.8241348563658956E-3</c:v>
                </c:pt>
                <c:pt idx="1208">
                  <c:v>4.4804426265678083E-3</c:v>
                </c:pt>
                <c:pt idx="1209">
                  <c:v>3.2260876920716399E-3</c:v>
                </c:pt>
                <c:pt idx="1210">
                  <c:v>3.4695798169662026E-3</c:v>
                </c:pt>
                <c:pt idx="1211">
                  <c:v>3.3075542362502198E-3</c:v>
                </c:pt>
                <c:pt idx="1212">
                  <c:v>3.3441876478820139E-3</c:v>
                </c:pt>
                <c:pt idx="1213">
                  <c:v>3.2610037965475468E-3</c:v>
                </c:pt>
                <c:pt idx="1214">
                  <c:v>5.1629172128080658E-3</c:v>
                </c:pt>
                <c:pt idx="1215">
                  <c:v>4.0641608970758874E-3</c:v>
                </c:pt>
                <c:pt idx="1216">
                  <c:v>3.8679228973678209E-3</c:v>
                </c:pt>
                <c:pt idx="1217">
                  <c:v>2.3842345220303502E-3</c:v>
                </c:pt>
                <c:pt idx="1218">
                  <c:v>5.2268576633173166E-3</c:v>
                </c:pt>
                <c:pt idx="1219">
                  <c:v>4.8546694359228246E-3</c:v>
                </c:pt>
                <c:pt idx="1220">
                  <c:v>4.3252437162291345E-3</c:v>
                </c:pt>
                <c:pt idx="1221">
                  <c:v>2.1293288290119539E-3</c:v>
                </c:pt>
                <c:pt idx="1222">
                  <c:v>7.4187329040308093E-3</c:v>
                </c:pt>
                <c:pt idx="1223">
                  <c:v>8.9313014813571755E-3</c:v>
                </c:pt>
                <c:pt idx="1224">
                  <c:v>4.7790766927791753E-3</c:v>
                </c:pt>
                <c:pt idx="1225">
                  <c:v>3.8808360173577341E-3</c:v>
                </c:pt>
                <c:pt idx="1226">
                  <c:v>5.6334530787173886E-3</c:v>
                </c:pt>
                <c:pt idx="1227">
                  <c:v>4.9225198969838476E-3</c:v>
                </c:pt>
                <c:pt idx="1228">
                  <c:v>3.7529792112567092E-3</c:v>
                </c:pt>
                <c:pt idx="1229">
                  <c:v>4.6119528568919549E-3</c:v>
                </c:pt>
                <c:pt idx="1230">
                  <c:v>6.0178245104143069E-3</c:v>
                </c:pt>
                <c:pt idx="1231">
                  <c:v>5.6038719501205567E-3</c:v>
                </c:pt>
                <c:pt idx="1232">
                  <c:v>5.8010414262612614E-3</c:v>
                </c:pt>
                <c:pt idx="1233">
                  <c:v>6.3522122273198846E-3</c:v>
                </c:pt>
                <c:pt idx="1234">
                  <c:v>4.9603054315435135E-3</c:v>
                </c:pt>
                <c:pt idx="1235">
                  <c:v>4.530300864815472E-3</c:v>
                </c:pt>
                <c:pt idx="1236">
                  <c:v>2.5720776920629355E-3</c:v>
                </c:pt>
                <c:pt idx="1237">
                  <c:v>5.3795900306038815E-3</c:v>
                </c:pt>
                <c:pt idx="1238">
                  <c:v>3.4480373464607036E-3</c:v>
                </c:pt>
                <c:pt idx="1239">
                  <c:v>4.8568167648396828E-3</c:v>
                </c:pt>
                <c:pt idx="1240">
                  <c:v>3.8489829601607143E-3</c:v>
                </c:pt>
                <c:pt idx="1241">
                  <c:v>7.765268880108706E-3</c:v>
                </c:pt>
                <c:pt idx="1242">
                  <c:v>5.5927249152212012E-3</c:v>
                </c:pt>
                <c:pt idx="1243">
                  <c:v>3.9389403063644938E-3</c:v>
                </c:pt>
                <c:pt idx="1244">
                  <c:v>4.2525692067852481E-3</c:v>
                </c:pt>
                <c:pt idx="1245">
                  <c:v>3.9260289139319178E-3</c:v>
                </c:pt>
                <c:pt idx="1246">
                  <c:v>5.8447494919817095E-3</c:v>
                </c:pt>
                <c:pt idx="1247">
                  <c:v>4.4211210594350238E-3</c:v>
                </c:pt>
                <c:pt idx="1248">
                  <c:v>4.0525440111968758E-3</c:v>
                </c:pt>
                <c:pt idx="1249">
                  <c:v>5.2955080694169583E-3</c:v>
                </c:pt>
                <c:pt idx="1250">
                  <c:v>5.258180757196378E-3</c:v>
                </c:pt>
                <c:pt idx="1251">
                  <c:v>4.3656609617366967E-3</c:v>
                </c:pt>
                <c:pt idx="1252">
                  <c:v>6.5644426583135549E-3</c:v>
                </c:pt>
                <c:pt idx="1253">
                  <c:v>5.310952915389567E-3</c:v>
                </c:pt>
                <c:pt idx="1254">
                  <c:v>5.23372319227902E-3</c:v>
                </c:pt>
                <c:pt idx="1255">
                  <c:v>5.3512785349900385E-3</c:v>
                </c:pt>
                <c:pt idx="1256">
                  <c:v>3.0419773645686378E-3</c:v>
                </c:pt>
                <c:pt idx="1257">
                  <c:v>8.7806645055604794E-3</c:v>
                </c:pt>
                <c:pt idx="1258">
                  <c:v>6.86549498840891E-3</c:v>
                </c:pt>
                <c:pt idx="1259">
                  <c:v>3.3028132159736469E-3</c:v>
                </c:pt>
                <c:pt idx="1260">
                  <c:v>2.2438388779112361E-3</c:v>
                </c:pt>
                <c:pt idx="1261">
                  <c:v>4.9246668904474071E-3</c:v>
                </c:pt>
                <c:pt idx="1262">
                  <c:v>6.4621913451270597E-3</c:v>
                </c:pt>
                <c:pt idx="1263">
                  <c:v>3.4781965059750828E-3</c:v>
                </c:pt>
                <c:pt idx="1264">
                  <c:v>4.721514303278637E-3</c:v>
                </c:pt>
                <c:pt idx="1265">
                  <c:v>6.2130936853289458E-3</c:v>
                </c:pt>
                <c:pt idx="1266">
                  <c:v>3.4127053814079003E-3</c:v>
                </c:pt>
                <c:pt idx="1267">
                  <c:v>2.8185255865172953E-3</c:v>
                </c:pt>
                <c:pt idx="1268">
                  <c:v>7.8684933818239568E-3</c:v>
                </c:pt>
                <c:pt idx="1269">
                  <c:v>5.3199621552258236E-3</c:v>
                </c:pt>
                <c:pt idx="1270">
                  <c:v>7.8753172776558963E-3</c:v>
                </c:pt>
                <c:pt idx="1271">
                  <c:v>4.6953080016651988E-3</c:v>
                </c:pt>
                <c:pt idx="1272">
                  <c:v>9.0869898789344566E-3</c:v>
                </c:pt>
                <c:pt idx="1273">
                  <c:v>5.4936752321702769E-3</c:v>
                </c:pt>
                <c:pt idx="1274">
                  <c:v>3.1178730440274095E-3</c:v>
                </c:pt>
                <c:pt idx="1275">
                  <c:v>5.642026942254812E-3</c:v>
                </c:pt>
                <c:pt idx="1276">
                  <c:v>6.3359483598159601E-3</c:v>
                </c:pt>
                <c:pt idx="1277">
                  <c:v>7.0120969000287362E-3</c:v>
                </c:pt>
                <c:pt idx="1278">
                  <c:v>5.2341522842354622E-3</c:v>
                </c:pt>
                <c:pt idx="1279">
                  <c:v>5.6998960941999077E-3</c:v>
                </c:pt>
                <c:pt idx="1280">
                  <c:v>7.9576220750142371E-3</c:v>
                </c:pt>
                <c:pt idx="1281">
                  <c:v>3.8089481020015825E-3</c:v>
                </c:pt>
                <c:pt idx="1282">
                  <c:v>6.1325986095078378E-3</c:v>
                </c:pt>
                <c:pt idx="1283">
                  <c:v>6.646140839131497E-3</c:v>
                </c:pt>
                <c:pt idx="1284">
                  <c:v>8.7793876977228427E-3</c:v>
                </c:pt>
                <c:pt idx="1285">
                  <c:v>6.2130936853289458E-3</c:v>
                </c:pt>
                <c:pt idx="1286">
                  <c:v>4.5681205380875929E-3</c:v>
                </c:pt>
                <c:pt idx="1287">
                  <c:v>6.7107185771032455E-3</c:v>
                </c:pt>
                <c:pt idx="1288">
                  <c:v>4.2985834742372692E-3</c:v>
                </c:pt>
                <c:pt idx="1289">
                  <c:v>4.8486568584711915E-3</c:v>
                </c:pt>
                <c:pt idx="1290">
                  <c:v>3.2648831904357584E-3</c:v>
                </c:pt>
                <c:pt idx="1291">
                  <c:v>8.3582619830191544E-3</c:v>
                </c:pt>
                <c:pt idx="1292">
                  <c:v>2.8431195398346655E-3</c:v>
                </c:pt>
                <c:pt idx="1293">
                  <c:v>6.1604310412750095E-3</c:v>
                </c:pt>
                <c:pt idx="1294">
                  <c:v>7.3320556879305819E-3</c:v>
                </c:pt>
                <c:pt idx="1295">
                  <c:v>8.9466175693416524E-3</c:v>
                </c:pt>
                <c:pt idx="1296">
                  <c:v>5.1878079031692529E-3</c:v>
                </c:pt>
                <c:pt idx="1297">
                  <c:v>7.2175981822920968E-3</c:v>
                </c:pt>
                <c:pt idx="1298">
                  <c:v>8.4515494969679191E-3</c:v>
                </c:pt>
                <c:pt idx="1299">
                  <c:v>6.8578002268129276E-3</c:v>
                </c:pt>
                <c:pt idx="1300">
                  <c:v>6.9103783806985109E-3</c:v>
                </c:pt>
                <c:pt idx="1301">
                  <c:v>5.8456064689081872E-3</c:v>
                </c:pt>
                <c:pt idx="1302">
                  <c:v>5.3006564124376751E-3</c:v>
                </c:pt>
                <c:pt idx="1303">
                  <c:v>7.3897000983441903E-3</c:v>
                </c:pt>
                <c:pt idx="1304">
                  <c:v>4.3101937807909271E-3</c:v>
                </c:pt>
                <c:pt idx="1305">
                  <c:v>8.1260211038657309E-3</c:v>
                </c:pt>
                <c:pt idx="1306">
                  <c:v>5.4392097203023538E-3</c:v>
                </c:pt>
                <c:pt idx="1307">
                  <c:v>6.446359491719969E-3</c:v>
                </c:pt>
                <c:pt idx="1308">
                  <c:v>7.52844230553683E-3</c:v>
                </c:pt>
                <c:pt idx="1309">
                  <c:v>3.8730881914382561E-3</c:v>
                </c:pt>
                <c:pt idx="1310">
                  <c:v>6.2965701581085094E-3</c:v>
                </c:pt>
                <c:pt idx="1311">
                  <c:v>1.1975793230414851E-2</c:v>
                </c:pt>
                <c:pt idx="1312">
                  <c:v>5.2195629198731192E-3</c:v>
                </c:pt>
                <c:pt idx="1313">
                  <c:v>3.334275382617206E-3</c:v>
                </c:pt>
                <c:pt idx="1314">
                  <c:v>8.4115107355195173E-3</c:v>
                </c:pt>
                <c:pt idx="1315">
                  <c:v>5.4233405302919003E-3</c:v>
                </c:pt>
                <c:pt idx="1316">
                  <c:v>4.1970875791940325E-3</c:v>
                </c:pt>
                <c:pt idx="1317">
                  <c:v>3.8093786039763034E-3</c:v>
                </c:pt>
                <c:pt idx="1318">
                  <c:v>8.9500210710972555E-3</c:v>
                </c:pt>
                <c:pt idx="1319">
                  <c:v>4.4761442345816489E-3</c:v>
                </c:pt>
                <c:pt idx="1320">
                  <c:v>5.2963661308253699E-3</c:v>
                </c:pt>
                <c:pt idx="1321">
                  <c:v>5.5824350905941209E-3</c:v>
                </c:pt>
                <c:pt idx="1322">
                  <c:v>1.0423356776886369E-2</c:v>
                </c:pt>
                <c:pt idx="1323">
                  <c:v>4.376409595975168E-3</c:v>
                </c:pt>
                <c:pt idx="1324">
                  <c:v>3.5346315921583665E-3</c:v>
                </c:pt>
                <c:pt idx="1325">
                  <c:v>5.410902111133882E-3</c:v>
                </c:pt>
                <c:pt idx="1326">
                  <c:v>9.1631122470899051E-3</c:v>
                </c:pt>
                <c:pt idx="1327">
                  <c:v>3.3359992710886447E-3</c:v>
                </c:pt>
                <c:pt idx="1328">
                  <c:v>5.2062604252073527E-3</c:v>
                </c:pt>
                <c:pt idx="1329">
                  <c:v>6.2049592223718964E-3</c:v>
                </c:pt>
                <c:pt idx="1330">
                  <c:v>5.6394548009663743E-3</c:v>
                </c:pt>
                <c:pt idx="1331">
                  <c:v>3.2213457823689041E-3</c:v>
                </c:pt>
                <c:pt idx="1332">
                  <c:v>5.2659039126064259E-3</c:v>
                </c:pt>
                <c:pt idx="1333">
                  <c:v>7.8296804350610188E-3</c:v>
                </c:pt>
                <c:pt idx="1334">
                  <c:v>3.8063650811913353E-3</c:v>
                </c:pt>
                <c:pt idx="1335">
                  <c:v>6.4720324766358471E-3</c:v>
                </c:pt>
                <c:pt idx="1336">
                  <c:v>5.7753287443921154E-3</c:v>
                </c:pt>
                <c:pt idx="1337">
                  <c:v>9.6119203548324286E-3</c:v>
                </c:pt>
                <c:pt idx="1338">
                  <c:v>3.9686350523282267E-3</c:v>
                </c:pt>
                <c:pt idx="1339">
                  <c:v>6.4014281159751052E-3</c:v>
                </c:pt>
                <c:pt idx="1340">
                  <c:v>3.6944194199909079E-3</c:v>
                </c:pt>
                <c:pt idx="1341">
                  <c:v>8.4656047825429105E-3</c:v>
                </c:pt>
                <c:pt idx="1342">
                  <c:v>2.9897913901577792E-3</c:v>
                </c:pt>
                <c:pt idx="1343">
                  <c:v>7.4024264429037159E-2</c:v>
                </c:pt>
                <c:pt idx="1344">
                  <c:v>8.3453884381743226E-2</c:v>
                </c:pt>
                <c:pt idx="1345">
                  <c:v>6.9288015452300913E-2</c:v>
                </c:pt>
                <c:pt idx="1346">
                  <c:v>7.6213948622537539E-2</c:v>
                </c:pt>
                <c:pt idx="1347">
                  <c:v>6.8170271408008673E-2</c:v>
                </c:pt>
                <c:pt idx="1348">
                  <c:v>7.8432528784523253E-2</c:v>
                </c:pt>
                <c:pt idx="1349">
                  <c:v>8.3899466749605855E-2</c:v>
                </c:pt>
                <c:pt idx="1350">
                  <c:v>8.3444925064493594E-2</c:v>
                </c:pt>
                <c:pt idx="1351">
                  <c:v>8.0883236321585505E-2</c:v>
                </c:pt>
                <c:pt idx="1352">
                  <c:v>9.7256615377146499E-2</c:v>
                </c:pt>
                <c:pt idx="1353">
                  <c:v>9.1107465192291376E-2</c:v>
                </c:pt>
                <c:pt idx="1354">
                  <c:v>7.701742090193972E-2</c:v>
                </c:pt>
                <c:pt idx="1355">
                  <c:v>6.9026539515095603E-2</c:v>
                </c:pt>
                <c:pt idx="1356">
                  <c:v>6.6031325344126396E-2</c:v>
                </c:pt>
                <c:pt idx="1357">
                  <c:v>8.3410877973222511E-2</c:v>
                </c:pt>
                <c:pt idx="1358">
                  <c:v>5.2743177126642095E-2</c:v>
                </c:pt>
                <c:pt idx="1359">
                  <c:v>6.7696726713215361E-2</c:v>
                </c:pt>
                <c:pt idx="1360">
                  <c:v>7.0147258077870311E-2</c:v>
                </c:pt>
                <c:pt idx="1361">
                  <c:v>7.6158192871387462E-2</c:v>
                </c:pt>
                <c:pt idx="1362">
                  <c:v>7.6694681589170657E-2</c:v>
                </c:pt>
                <c:pt idx="1363">
                  <c:v>5.775888546380286E-2</c:v>
                </c:pt>
                <c:pt idx="1364">
                  <c:v>8.0073888952331584E-2</c:v>
                </c:pt>
                <c:pt idx="1365">
                  <c:v>6.2632742954491824E-2</c:v>
                </c:pt>
                <c:pt idx="1366">
                  <c:v>5.126407354678237E-2</c:v>
                </c:pt>
                <c:pt idx="1367">
                  <c:v>5.3360835232515155E-2</c:v>
                </c:pt>
                <c:pt idx="1368">
                  <c:v>6.9335775211236156E-2</c:v>
                </c:pt>
                <c:pt idx="1369">
                  <c:v>5.4779999885247489E-2</c:v>
                </c:pt>
                <c:pt idx="1370">
                  <c:v>6.1296753583491528E-2</c:v>
                </c:pt>
                <c:pt idx="1371">
                  <c:v>7.5052167855342702E-2</c:v>
                </c:pt>
                <c:pt idx="1372">
                  <c:v>6.0230439124369241E-2</c:v>
                </c:pt>
                <c:pt idx="1373">
                  <c:v>5.6993225081029456E-2</c:v>
                </c:pt>
                <c:pt idx="1374">
                  <c:v>5.4371329610347886E-2</c:v>
                </c:pt>
                <c:pt idx="1375">
                  <c:v>5.9471021104063396E-2</c:v>
                </c:pt>
                <c:pt idx="1376">
                  <c:v>7.0261424515062648E-2</c:v>
                </c:pt>
                <c:pt idx="1377">
                  <c:v>7.1074131111463906E-2</c:v>
                </c:pt>
                <c:pt idx="1378">
                  <c:v>6.2372870920714724E-2</c:v>
                </c:pt>
                <c:pt idx="1379">
                  <c:v>5.7378126734516012E-2</c:v>
                </c:pt>
                <c:pt idx="1380">
                  <c:v>6.0364627572162904E-2</c:v>
                </c:pt>
                <c:pt idx="1381">
                  <c:v>6.5331689029090062E-2</c:v>
                </c:pt>
                <c:pt idx="1382">
                  <c:v>5.9608094547290082E-2</c:v>
                </c:pt>
                <c:pt idx="1383">
                  <c:v>7.3594824560905048E-2</c:v>
                </c:pt>
                <c:pt idx="1384">
                  <c:v>7.4531569962798E-2</c:v>
                </c:pt>
                <c:pt idx="1385">
                  <c:v>5.6827509555551416E-2</c:v>
                </c:pt>
                <c:pt idx="1386">
                  <c:v>3.4701835366061445E-2</c:v>
                </c:pt>
                <c:pt idx="1387">
                  <c:v>3.6957685076148536E-2</c:v>
                </c:pt>
                <c:pt idx="1388">
                  <c:v>3.4093981756280922E-2</c:v>
                </c:pt>
                <c:pt idx="1389">
                  <c:v>4.0655338210407142E-2</c:v>
                </c:pt>
                <c:pt idx="1390">
                  <c:v>3.826996275296457E-2</c:v>
                </c:pt>
                <c:pt idx="1391">
                  <c:v>4.1085016746953938E-2</c:v>
                </c:pt>
                <c:pt idx="1392">
                  <c:v>3.9460124191349012E-2</c:v>
                </c:pt>
                <c:pt idx="1393">
                  <c:v>3.4953153803871082E-2</c:v>
                </c:pt>
                <c:pt idx="1394">
                  <c:v>3.5676235407488037E-2</c:v>
                </c:pt>
                <c:pt idx="1395">
                  <c:v>4.2883700960403413E-2</c:v>
                </c:pt>
                <c:pt idx="1396">
                  <c:v>3.5512586464022687E-2</c:v>
                </c:pt>
                <c:pt idx="1397">
                  <c:v>4.9596701912049845E-2</c:v>
                </c:pt>
                <c:pt idx="1398">
                  <c:v>5.5312188182305794E-2</c:v>
                </c:pt>
                <c:pt idx="1399">
                  <c:v>6.0598130001009422E-2</c:v>
                </c:pt>
                <c:pt idx="1400">
                  <c:v>5.5299187757599413E-2</c:v>
                </c:pt>
                <c:pt idx="1401">
                  <c:v>6.3853675009887326E-2</c:v>
                </c:pt>
                <c:pt idx="1402">
                  <c:v>6.3978503136917622E-2</c:v>
                </c:pt>
                <c:pt idx="1403">
                  <c:v>5.9024285626004099E-2</c:v>
                </c:pt>
                <c:pt idx="1404">
                  <c:v>5.9768211207696605E-2</c:v>
                </c:pt>
                <c:pt idx="1405">
                  <c:v>6.2209572187132217E-2</c:v>
                </c:pt>
                <c:pt idx="1406">
                  <c:v>6.2731235556841708E-2</c:v>
                </c:pt>
                <c:pt idx="1407">
                  <c:v>6.586267946214952E-2</c:v>
                </c:pt>
                <c:pt idx="1408">
                  <c:v>5.4703044530248095E-2</c:v>
                </c:pt>
                <c:pt idx="1409">
                  <c:v>5.2058769169967059E-2</c:v>
                </c:pt>
                <c:pt idx="1410">
                  <c:v>5.0760901837479541E-2</c:v>
                </c:pt>
                <c:pt idx="1411">
                  <c:v>7.0667598841503809E-2</c:v>
                </c:pt>
                <c:pt idx="1412">
                  <c:v>5.5355775001891774E-2</c:v>
                </c:pt>
                <c:pt idx="1413">
                  <c:v>6.0233085494517898E-2</c:v>
                </c:pt>
                <c:pt idx="1414">
                  <c:v>7.0405105946294164E-2</c:v>
                </c:pt>
                <c:pt idx="1415">
                  <c:v>6.7308220370247668E-2</c:v>
                </c:pt>
                <c:pt idx="1416">
                  <c:v>7.1003697693580697E-2</c:v>
                </c:pt>
                <c:pt idx="1417">
                  <c:v>5.3162988161654989E-2</c:v>
                </c:pt>
                <c:pt idx="1418">
                  <c:v>6.9080995783494983E-2</c:v>
                </c:pt>
                <c:pt idx="1419">
                  <c:v>6.4538101681537632E-2</c:v>
                </c:pt>
                <c:pt idx="1420">
                  <c:v>5.7427214283861987E-2</c:v>
                </c:pt>
                <c:pt idx="1421">
                  <c:v>6.001035592349286E-2</c:v>
                </c:pt>
                <c:pt idx="1422">
                  <c:v>5.2376086714811178E-2</c:v>
                </c:pt>
                <c:pt idx="1423">
                  <c:v>7.573377731966173E-2</c:v>
                </c:pt>
                <c:pt idx="1424">
                  <c:v>8.1430845639723942E-2</c:v>
                </c:pt>
                <c:pt idx="1425">
                  <c:v>7.123376248790185E-2</c:v>
                </c:pt>
                <c:pt idx="1426">
                  <c:v>5.9431254136724662E-2</c:v>
                </c:pt>
                <c:pt idx="1427">
                  <c:v>6.2610184252971157E-2</c:v>
                </c:pt>
                <c:pt idx="1428">
                  <c:v>6.4596866375580583E-2</c:v>
                </c:pt>
                <c:pt idx="1429">
                  <c:v>7.2476730571565867E-2</c:v>
                </c:pt>
                <c:pt idx="1430">
                  <c:v>4.9884850478097868E-2</c:v>
                </c:pt>
                <c:pt idx="1431">
                  <c:v>4.7103452778142249E-2</c:v>
                </c:pt>
                <c:pt idx="1432">
                  <c:v>7.6186618266385883E-2</c:v>
                </c:pt>
                <c:pt idx="1433">
                  <c:v>8.0406398245163657E-2</c:v>
                </c:pt>
                <c:pt idx="1434">
                  <c:v>7.9411722868122966E-2</c:v>
                </c:pt>
                <c:pt idx="1435">
                  <c:v>7.1057537879265609E-2</c:v>
                </c:pt>
                <c:pt idx="1436">
                  <c:v>4.3013130018944433E-2</c:v>
                </c:pt>
                <c:pt idx="1437">
                  <c:v>5.7419984683137984E-2</c:v>
                </c:pt>
                <c:pt idx="1438">
                  <c:v>7.061075729913989E-2</c:v>
                </c:pt>
                <c:pt idx="1439">
                  <c:v>6.8663693904461059E-2</c:v>
                </c:pt>
                <c:pt idx="1440">
                  <c:v>8.3361415337971798E-2</c:v>
                </c:pt>
                <c:pt idx="1441">
                  <c:v>8.8432371439137403E-2</c:v>
                </c:pt>
                <c:pt idx="1442">
                  <c:v>4.266645670276898E-2</c:v>
                </c:pt>
                <c:pt idx="1443">
                  <c:v>7.663898752546347E-2</c:v>
                </c:pt>
                <c:pt idx="1444">
                  <c:v>7.2649073809853956E-2</c:v>
                </c:pt>
                <c:pt idx="1445">
                  <c:v>8.0436712161109619E-2</c:v>
                </c:pt>
                <c:pt idx="1446">
                  <c:v>9.2556086765454973E-2</c:v>
                </c:pt>
                <c:pt idx="1447">
                  <c:v>8.8185010547864401E-2</c:v>
                </c:pt>
                <c:pt idx="1448">
                  <c:v>8.6230234954250695E-2</c:v>
                </c:pt>
                <c:pt idx="1449">
                  <c:v>5.5521670772935794E-2</c:v>
                </c:pt>
                <c:pt idx="1450">
                  <c:v>3.7641201489162265E-2</c:v>
                </c:pt>
                <c:pt idx="1451">
                  <c:v>6.431569703716368E-2</c:v>
                </c:pt>
                <c:pt idx="1452">
                  <c:v>6.649215563838283E-2</c:v>
                </c:pt>
                <c:pt idx="1453">
                  <c:v>6.4495426792727864E-2</c:v>
                </c:pt>
                <c:pt idx="1454">
                  <c:v>7.4938523111621691E-2</c:v>
                </c:pt>
                <c:pt idx="1455">
                  <c:v>7.2503560346274795E-2</c:v>
                </c:pt>
                <c:pt idx="1456">
                  <c:v>6.484157137091888E-2</c:v>
                </c:pt>
                <c:pt idx="1457">
                  <c:v>7.1617301455355262E-2</c:v>
                </c:pt>
                <c:pt idx="1458">
                  <c:v>4.2599136157515233E-2</c:v>
                </c:pt>
                <c:pt idx="1459">
                  <c:v>4.4880633983242248E-2</c:v>
                </c:pt>
                <c:pt idx="1460">
                  <c:v>5.2258274978790917E-2</c:v>
                </c:pt>
                <c:pt idx="1461">
                  <c:v>8.0458002813307505E-2</c:v>
                </c:pt>
                <c:pt idx="1462">
                  <c:v>7.4410836669717345E-2</c:v>
                </c:pt>
                <c:pt idx="1463">
                  <c:v>6.4573286593657547E-2</c:v>
                </c:pt>
                <c:pt idx="1464">
                  <c:v>9.0212892424406346E-2</c:v>
                </c:pt>
                <c:pt idx="1465">
                  <c:v>7.1532959306330135E-2</c:v>
                </c:pt>
                <c:pt idx="1466">
                  <c:v>6.5586436345112131E-2</c:v>
                </c:pt>
                <c:pt idx="1467">
                  <c:v>6.1023250448537299E-2</c:v>
                </c:pt>
                <c:pt idx="1468">
                  <c:v>7.1401441267096646E-2</c:v>
                </c:pt>
                <c:pt idx="1469">
                  <c:v>7.7645111097482553E-2</c:v>
                </c:pt>
                <c:pt idx="1470">
                  <c:v>9.0873602011736651E-2</c:v>
                </c:pt>
                <c:pt idx="1471">
                  <c:v>8.5423308600382664E-2</c:v>
                </c:pt>
                <c:pt idx="1472">
                  <c:v>8.1045069102508735E-2</c:v>
                </c:pt>
                <c:pt idx="1473">
                  <c:v>8.6286848830782081E-2</c:v>
                </c:pt>
                <c:pt idx="1474">
                  <c:v>9.9126890727898861E-2</c:v>
                </c:pt>
                <c:pt idx="1475">
                  <c:v>9.1917967035636663E-2</c:v>
                </c:pt>
                <c:pt idx="1476">
                  <c:v>7.8383583593999787E-2</c:v>
                </c:pt>
                <c:pt idx="1477">
                  <c:v>8.9231963205777809E-2</c:v>
                </c:pt>
                <c:pt idx="1478">
                  <c:v>9.0016318957579181E-2</c:v>
                </c:pt>
                <c:pt idx="1479">
                  <c:v>8.9023623614169392E-2</c:v>
                </c:pt>
                <c:pt idx="1480">
                  <c:v>8.5355164471901071E-2</c:v>
                </c:pt>
                <c:pt idx="1481">
                  <c:v>6.8968000672994717E-2</c:v>
                </c:pt>
                <c:pt idx="1482">
                  <c:v>7.6885370557324445E-2</c:v>
                </c:pt>
                <c:pt idx="1483">
                  <c:v>6.8877583412421672E-2</c:v>
                </c:pt>
                <c:pt idx="1484">
                  <c:v>8.0278262490096272E-2</c:v>
                </c:pt>
                <c:pt idx="1485">
                  <c:v>7.5796517766913693E-2</c:v>
                </c:pt>
                <c:pt idx="1486">
                  <c:v>4.2478384917017612E-3</c:v>
                </c:pt>
                <c:pt idx="1487">
                  <c:v>8.7074547936176975E-3</c:v>
                </c:pt>
                <c:pt idx="1488">
                  <c:v>5.8576039683226585E-3</c:v>
                </c:pt>
                <c:pt idx="1489">
                  <c:v>4.4241303195267289E-3</c:v>
                </c:pt>
                <c:pt idx="1490">
                  <c:v>5.251315614863394E-3</c:v>
                </c:pt>
                <c:pt idx="1491">
                  <c:v>6.0405247795480036E-3</c:v>
                </c:pt>
                <c:pt idx="1492">
                  <c:v>6.8808841026094004E-3</c:v>
                </c:pt>
                <c:pt idx="1493">
                  <c:v>5.0289979820610396E-3</c:v>
                </c:pt>
                <c:pt idx="1494">
                  <c:v>7.7678284619061583E-3</c:v>
                </c:pt>
                <c:pt idx="1495">
                  <c:v>5.9647098108823703E-3</c:v>
                </c:pt>
                <c:pt idx="1496">
                  <c:v>5.067203511033379E-3</c:v>
                </c:pt>
                <c:pt idx="1497">
                  <c:v>9.6284867766301269E-3</c:v>
                </c:pt>
                <c:pt idx="1498">
                  <c:v>7.2799556384148941E-3</c:v>
                </c:pt>
                <c:pt idx="1499">
                  <c:v>4.8873076896986537E-3</c:v>
                </c:pt>
                <c:pt idx="1500">
                  <c:v>4.1661180070937864E-3</c:v>
                </c:pt>
                <c:pt idx="1501">
                  <c:v>4.7253806729304331E-3</c:v>
                </c:pt>
                <c:pt idx="1502">
                  <c:v>4.7253806729304331E-3</c:v>
                </c:pt>
                <c:pt idx="1503">
                  <c:v>4.0280184538436254E-3</c:v>
                </c:pt>
                <c:pt idx="1504">
                  <c:v>5.8216104757311269E-3</c:v>
                </c:pt>
                <c:pt idx="1505">
                  <c:v>3.1648699684284297E-3</c:v>
                </c:pt>
                <c:pt idx="1506">
                  <c:v>1.0093363161113346E-2</c:v>
                </c:pt>
                <c:pt idx="1507">
                  <c:v>4.0650213947798089E-3</c:v>
                </c:pt>
                <c:pt idx="1508">
                  <c:v>4.8512336875717972E-3</c:v>
                </c:pt>
                <c:pt idx="1509">
                  <c:v>3.5130923482785954E-3</c:v>
                </c:pt>
                <c:pt idx="1510">
                  <c:v>5.5378430330973978E-3</c:v>
                </c:pt>
                <c:pt idx="1511">
                  <c:v>3.2446237514125991E-3</c:v>
                </c:pt>
                <c:pt idx="1512">
                  <c:v>3.6440344567717012E-3</c:v>
                </c:pt>
                <c:pt idx="1513">
                  <c:v>3.9320542781685567E-3</c:v>
                </c:pt>
                <c:pt idx="1514">
                  <c:v>5.5018230284756449E-3</c:v>
                </c:pt>
                <c:pt idx="1515">
                  <c:v>6.2661780177771451E-3</c:v>
                </c:pt>
                <c:pt idx="1516">
                  <c:v>4.1747208875387784E-3</c:v>
                </c:pt>
                <c:pt idx="1517">
                  <c:v>4.9517180987238797E-3</c:v>
                </c:pt>
                <c:pt idx="1518">
                  <c:v>3.9854181410994638E-3</c:v>
                </c:pt>
                <c:pt idx="1519">
                  <c:v>3.0350770996182492E-3</c:v>
                </c:pt>
                <c:pt idx="1520">
                  <c:v>2.5617160483208555E-3</c:v>
                </c:pt>
                <c:pt idx="1521">
                  <c:v>7.8215761952450738E-3</c:v>
                </c:pt>
                <c:pt idx="1522">
                  <c:v>4.9834903820517073E-3</c:v>
                </c:pt>
                <c:pt idx="1523">
                  <c:v>2.5824390885969481E-3</c:v>
                </c:pt>
                <c:pt idx="1524">
                  <c:v>4.4224107448846747E-3</c:v>
                </c:pt>
                <c:pt idx="1525">
                  <c:v>6.1501546587923919E-3</c:v>
                </c:pt>
                <c:pt idx="1526">
                  <c:v>4.4993550459127103E-3</c:v>
                </c:pt>
                <c:pt idx="1527">
                  <c:v>5.7958990116728868E-3</c:v>
                </c:pt>
                <c:pt idx="1528">
                  <c:v>6.5366361070431402E-3</c:v>
                </c:pt>
                <c:pt idx="1529">
                  <c:v>5.9754189424853933E-3</c:v>
                </c:pt>
                <c:pt idx="1530">
                  <c:v>1.9270259874075921E-3</c:v>
                </c:pt>
                <c:pt idx="1531">
                  <c:v>2.7788271445814985E-3</c:v>
                </c:pt>
                <c:pt idx="1532">
                  <c:v>3.5746917446407862E-3</c:v>
                </c:pt>
                <c:pt idx="1533">
                  <c:v>3.5876135862503069E-3</c:v>
                </c:pt>
                <c:pt idx="1534">
                  <c:v>1.9966322567591416E-3</c:v>
                </c:pt>
                <c:pt idx="1535">
                  <c:v>4.6055072050994886E-3</c:v>
                </c:pt>
                <c:pt idx="1536">
                  <c:v>3.3235009246360293E-3</c:v>
                </c:pt>
                <c:pt idx="1537">
                  <c:v>3.2041020378933021E-3</c:v>
                </c:pt>
                <c:pt idx="1538">
                  <c:v>2.7840054080218485E-3</c:v>
                </c:pt>
                <c:pt idx="1539">
                  <c:v>3.4915520360868486E-3</c:v>
                </c:pt>
                <c:pt idx="1540">
                  <c:v>3.0592275473089328E-3</c:v>
                </c:pt>
                <c:pt idx="1541">
                  <c:v>3.6539396547479344E-3</c:v>
                </c:pt>
                <c:pt idx="1542">
                  <c:v>3.739631718321642E-3</c:v>
                </c:pt>
                <c:pt idx="1543">
                  <c:v>3.6608300940136687E-3</c:v>
                </c:pt>
                <c:pt idx="1544">
                  <c:v>5.3075207748627994E-3</c:v>
                </c:pt>
                <c:pt idx="1545">
                  <c:v>2.6135217950684357E-3</c:v>
                </c:pt>
                <c:pt idx="1546">
                  <c:v>4.6888635868920581E-3</c:v>
                </c:pt>
                <c:pt idx="1547">
                  <c:v>5.2534609835000424E-3</c:v>
                </c:pt>
                <c:pt idx="1548">
                  <c:v>2.4498809109089721E-3</c:v>
                </c:pt>
                <c:pt idx="1549">
                  <c:v>4.9813436793710534E-3</c:v>
                </c:pt>
                <c:pt idx="1550">
                  <c:v>3.4015019630011262E-3</c:v>
                </c:pt>
                <c:pt idx="1551">
                  <c:v>4.2035392954185196E-3</c:v>
                </c:pt>
                <c:pt idx="1552">
                  <c:v>3.6035499947504922E-3</c:v>
                </c:pt>
                <c:pt idx="1553">
                  <c:v>4.6965968731446104E-3</c:v>
                </c:pt>
                <c:pt idx="1554">
                  <c:v>3.633267680991615E-3</c:v>
                </c:pt>
                <c:pt idx="1555">
                  <c:v>3.9776721807200602E-3</c:v>
                </c:pt>
                <c:pt idx="1556">
                  <c:v>5.6977529297776441E-3</c:v>
                </c:pt>
                <c:pt idx="1557">
                  <c:v>3.1277902495976668E-3</c:v>
                </c:pt>
                <c:pt idx="1558">
                  <c:v>3.8528571054230582E-3</c:v>
                </c:pt>
                <c:pt idx="1559">
                  <c:v>3.8356384174990637E-3</c:v>
                </c:pt>
                <c:pt idx="1560">
                  <c:v>7.7861716900137195E-3</c:v>
                </c:pt>
                <c:pt idx="1561">
                  <c:v>3.5639232495980142E-3</c:v>
                </c:pt>
                <c:pt idx="1562">
                  <c:v>3.4346804780870351E-3</c:v>
                </c:pt>
                <c:pt idx="1563">
                  <c:v>7.0381637778230985E-3</c:v>
                </c:pt>
                <c:pt idx="1564">
                  <c:v>4.5625337482246321E-3</c:v>
                </c:pt>
                <c:pt idx="1565">
                  <c:v>3.6229313251148845E-3</c:v>
                </c:pt>
                <c:pt idx="1566">
                  <c:v>3.3877127435838084E-3</c:v>
                </c:pt>
                <c:pt idx="1567">
                  <c:v>5.309236848516574E-3</c:v>
                </c:pt>
                <c:pt idx="1568">
                  <c:v>6.766307614056985E-3</c:v>
                </c:pt>
                <c:pt idx="1569">
                  <c:v>2.8633977168838636E-3</c:v>
                </c:pt>
                <c:pt idx="1570">
                  <c:v>5.1539047145235028E-3</c:v>
                </c:pt>
                <c:pt idx="1571">
                  <c:v>4.2142919428101036E-3</c:v>
                </c:pt>
                <c:pt idx="1572">
                  <c:v>3.282986570402077E-3</c:v>
                </c:pt>
                <c:pt idx="1573">
                  <c:v>2.452040163031122E-3</c:v>
                </c:pt>
                <c:pt idx="1574">
                  <c:v>6.1338832225446222E-3</c:v>
                </c:pt>
                <c:pt idx="1575">
                  <c:v>3.6720268246613827E-3</c:v>
                </c:pt>
                <c:pt idx="1576">
                  <c:v>3.6436037908653316E-3</c:v>
                </c:pt>
                <c:pt idx="1577">
                  <c:v>5.0380130727615156E-3</c:v>
                </c:pt>
                <c:pt idx="1578">
                  <c:v>4.7464303038694125E-3</c:v>
                </c:pt>
                <c:pt idx="1579">
                  <c:v>7.2603097347438139E-3</c:v>
                </c:pt>
                <c:pt idx="1580">
                  <c:v>2.1677902883191743E-3</c:v>
                </c:pt>
                <c:pt idx="1581">
                  <c:v>4.3213737826425782E-3</c:v>
                </c:pt>
                <c:pt idx="1582">
                  <c:v>4.8022713200023652E-3</c:v>
                </c:pt>
                <c:pt idx="1583">
                  <c:v>4.7262398615119938E-3</c:v>
                </c:pt>
                <c:pt idx="1584">
                  <c:v>4.4568009441575953E-3</c:v>
                </c:pt>
                <c:pt idx="1585">
                  <c:v>5.5078265700461921E-3</c:v>
                </c:pt>
                <c:pt idx="1586">
                  <c:v>4.3484625936041597E-3</c:v>
                </c:pt>
                <c:pt idx="1587">
                  <c:v>4.8997611137006573E-3</c:v>
                </c:pt>
                <c:pt idx="1588">
                  <c:v>5.3113819310482624E-3</c:v>
                </c:pt>
                <c:pt idx="1589">
                  <c:v>7.4161712639514111E-3</c:v>
                </c:pt>
                <c:pt idx="1590">
                  <c:v>6.2392085629575473E-3</c:v>
                </c:pt>
                <c:pt idx="1591">
                  <c:v>4.1424592071390024E-3</c:v>
                </c:pt>
                <c:pt idx="1592">
                  <c:v>5.7744716287778958E-3</c:v>
                </c:pt>
                <c:pt idx="1593">
                  <c:v>4.7623242471213096E-3</c:v>
                </c:pt>
                <c:pt idx="1594">
                  <c:v>3.1571093590057639E-3</c:v>
                </c:pt>
                <c:pt idx="1595">
                  <c:v>4.0568465977540661E-3</c:v>
                </c:pt>
                <c:pt idx="1596">
                  <c:v>3.1062308180831977E-3</c:v>
                </c:pt>
                <c:pt idx="1597">
                  <c:v>4.548781343906092E-3</c:v>
                </c:pt>
                <c:pt idx="1598">
                  <c:v>3.9453958586396871E-3</c:v>
                </c:pt>
                <c:pt idx="1599">
                  <c:v>5.0242757170086711E-3</c:v>
                </c:pt>
                <c:pt idx="1600">
                  <c:v>4.2327858735961652E-3</c:v>
                </c:pt>
                <c:pt idx="1601">
                  <c:v>4.6519137629225929E-3</c:v>
                </c:pt>
                <c:pt idx="1602">
                  <c:v>4.1364367613555449E-3</c:v>
                </c:pt>
                <c:pt idx="1603">
                  <c:v>2.311666440470905E-3</c:v>
                </c:pt>
                <c:pt idx="1604">
                  <c:v>3.2679004728355587E-3</c:v>
                </c:pt>
                <c:pt idx="1605">
                  <c:v>2.137539988314373E-3</c:v>
                </c:pt>
                <c:pt idx="1606">
                  <c:v>3.3092782307916268E-3</c:v>
                </c:pt>
                <c:pt idx="1607">
                  <c:v>3.0014367378955026E-3</c:v>
                </c:pt>
                <c:pt idx="1608">
                  <c:v>3.9514209541887625E-3</c:v>
                </c:pt>
                <c:pt idx="1609">
                  <c:v>6.1141854050794746E-3</c:v>
                </c:pt>
                <c:pt idx="1610">
                  <c:v>4.6931598740327105E-3</c:v>
                </c:pt>
                <c:pt idx="1611">
                  <c:v>4.76275380508232E-3</c:v>
                </c:pt>
                <c:pt idx="1612">
                  <c:v>3.9587370292684934E-3</c:v>
                </c:pt>
                <c:pt idx="1613">
                  <c:v>4.647187395873352E-3</c:v>
                </c:pt>
                <c:pt idx="1614">
                  <c:v>5.673748765659594E-3</c:v>
                </c:pt>
                <c:pt idx="1615">
                  <c:v>5.2324359138658837E-3</c:v>
                </c:pt>
                <c:pt idx="1616">
                  <c:v>5.7569003858929874E-3</c:v>
                </c:pt>
                <c:pt idx="1617">
                  <c:v>6.5289355165186339E-3</c:v>
                </c:pt>
                <c:pt idx="1618">
                  <c:v>6.0418096649612774E-3</c:v>
                </c:pt>
                <c:pt idx="1619">
                  <c:v>2.7706281011936895E-3</c:v>
                </c:pt>
                <c:pt idx="1620">
                  <c:v>6.6824937272297689E-3</c:v>
                </c:pt>
                <c:pt idx="1621">
                  <c:v>5.992124660502752E-3</c:v>
                </c:pt>
                <c:pt idx="1622">
                  <c:v>4.3304035740361511E-3</c:v>
                </c:pt>
                <c:pt idx="1623">
                  <c:v>3.3480662987936606E-3</c:v>
                </c:pt>
                <c:pt idx="1624">
                  <c:v>8.2385349469478175E-3</c:v>
                </c:pt>
                <c:pt idx="1625">
                  <c:v>6.2229404629564177E-3</c:v>
                </c:pt>
                <c:pt idx="1626">
                  <c:v>3.4127053814079003E-3</c:v>
                </c:pt>
                <c:pt idx="1627">
                  <c:v>7.0667928079543767E-3</c:v>
                </c:pt>
                <c:pt idx="1628">
                  <c:v>3.8162665775360585E-3</c:v>
                </c:pt>
                <c:pt idx="1629">
                  <c:v>7.0866116765716525E-2</c:v>
                </c:pt>
                <c:pt idx="1630">
                  <c:v>6.3701808647521813E-2</c:v>
                </c:pt>
                <c:pt idx="1631">
                  <c:v>6.3688681900658864E-2</c:v>
                </c:pt>
                <c:pt idx="1632">
                  <c:v>6.8003568287367214E-2</c:v>
                </c:pt>
                <c:pt idx="1633">
                  <c:v>7.0310554876864148E-2</c:v>
                </c:pt>
                <c:pt idx="1634">
                  <c:v>6.6988231755250649E-2</c:v>
                </c:pt>
                <c:pt idx="1635">
                  <c:v>7.3553030436128403E-2</c:v>
                </c:pt>
                <c:pt idx="1636">
                  <c:v>7.063474976659416E-2</c:v>
                </c:pt>
                <c:pt idx="1637">
                  <c:v>6.5227431133774619E-2</c:v>
                </c:pt>
                <c:pt idx="1638">
                  <c:v>5.8954145454463772E-2</c:v>
                </c:pt>
                <c:pt idx="1639">
                  <c:v>6.5773106350901625E-2</c:v>
                </c:pt>
                <c:pt idx="1640">
                  <c:v>6.3321722556499802E-2</c:v>
                </c:pt>
                <c:pt idx="1641">
                  <c:v>7.3972255921017097E-2</c:v>
                </c:pt>
                <c:pt idx="1642">
                  <c:v>7.6454017431225263E-2</c:v>
                </c:pt>
                <c:pt idx="1643">
                  <c:v>6.1513170516047572E-2</c:v>
                </c:pt>
                <c:pt idx="1644">
                  <c:v>6.442391823717411E-2</c:v>
                </c:pt>
                <c:pt idx="1645">
                  <c:v>6.525359138076231E-2</c:v>
                </c:pt>
                <c:pt idx="1646">
                  <c:v>7.2180390225112509E-2</c:v>
                </c:pt>
                <c:pt idx="1647">
                  <c:v>6.6742499098755528E-2</c:v>
                </c:pt>
                <c:pt idx="1648">
                  <c:v>6.5111185837010407E-2</c:v>
                </c:pt>
                <c:pt idx="1649">
                  <c:v>5.4752052502345903E-2</c:v>
                </c:pt>
                <c:pt idx="1650">
                  <c:v>6.824042352277121E-2</c:v>
                </c:pt>
                <c:pt idx="1651">
                  <c:v>6.4086433671848297E-2</c:v>
                </c:pt>
                <c:pt idx="1652">
                  <c:v>5.8341359151102654E-2</c:v>
                </c:pt>
                <c:pt idx="1653">
                  <c:v>7.1781519076691586E-2</c:v>
                </c:pt>
                <c:pt idx="1654">
                  <c:v>6.9551924247848673E-2</c:v>
                </c:pt>
                <c:pt idx="1655">
                  <c:v>5.2998879595926141E-2</c:v>
                </c:pt>
                <c:pt idx="1656">
                  <c:v>5.7821235699334998E-2</c:v>
                </c:pt>
                <c:pt idx="1657">
                  <c:v>5.4746309666675173E-2</c:v>
                </c:pt>
                <c:pt idx="1658">
                  <c:v>5.3040008642746495E-2</c:v>
                </c:pt>
                <c:pt idx="1659">
                  <c:v>5.8746691740181572E-2</c:v>
                </c:pt>
                <c:pt idx="1660">
                  <c:v>6.1556893245791944E-2</c:v>
                </c:pt>
                <c:pt idx="1661">
                  <c:v>5.4292385511152751E-2</c:v>
                </c:pt>
                <c:pt idx="1662">
                  <c:v>4.7699216937928536E-2</c:v>
                </c:pt>
                <c:pt idx="1663">
                  <c:v>5.7464882361548723E-2</c:v>
                </c:pt>
                <c:pt idx="1664">
                  <c:v>6.3600910026453419E-2</c:v>
                </c:pt>
                <c:pt idx="1665">
                  <c:v>6.0258414221576774E-2</c:v>
                </c:pt>
                <c:pt idx="1666">
                  <c:v>6.4987804703889276E-2</c:v>
                </c:pt>
                <c:pt idx="1667">
                  <c:v>5.9363831338887257E-2</c:v>
                </c:pt>
                <c:pt idx="1668">
                  <c:v>6.6861659569141613E-2</c:v>
                </c:pt>
                <c:pt idx="1669">
                  <c:v>5.8551283646039849E-2</c:v>
                </c:pt>
                <c:pt idx="1670">
                  <c:v>5.6225830900038513E-2</c:v>
                </c:pt>
                <c:pt idx="1671">
                  <c:v>6.875823345368387E-2</c:v>
                </c:pt>
                <c:pt idx="1672">
                  <c:v>6.4358764066971316E-2</c:v>
                </c:pt>
                <c:pt idx="1673">
                  <c:v>6.0366517254236661E-2</c:v>
                </c:pt>
                <c:pt idx="1674">
                  <c:v>4.867054424058443E-2</c:v>
                </c:pt>
                <c:pt idx="1675">
                  <c:v>4.8537353362884138E-2</c:v>
                </c:pt>
                <c:pt idx="1676">
                  <c:v>5.5351569446821999E-2</c:v>
                </c:pt>
                <c:pt idx="1677">
                  <c:v>6.1162852879791479E-2</c:v>
                </c:pt>
                <c:pt idx="1678">
                  <c:v>6.0078812992563492E-2</c:v>
                </c:pt>
                <c:pt idx="1679">
                  <c:v>4.0154366571149909E-2</c:v>
                </c:pt>
                <c:pt idx="1680">
                  <c:v>4.1097264456104649E-2</c:v>
                </c:pt>
                <c:pt idx="1681">
                  <c:v>4.5155488801598649E-2</c:v>
                </c:pt>
                <c:pt idx="1682">
                  <c:v>3.9720198817384242E-2</c:v>
                </c:pt>
                <c:pt idx="1683">
                  <c:v>4.092853174464333E-2</c:v>
                </c:pt>
                <c:pt idx="1684">
                  <c:v>3.8508097132030766E-2</c:v>
                </c:pt>
                <c:pt idx="1685">
                  <c:v>3.210116671695102E-2</c:v>
                </c:pt>
                <c:pt idx="1686">
                  <c:v>4.5358972873711489E-2</c:v>
                </c:pt>
                <c:pt idx="1687">
                  <c:v>3.831211290433071E-2</c:v>
                </c:pt>
                <c:pt idx="1688">
                  <c:v>5.1883066551750852E-2</c:v>
                </c:pt>
                <c:pt idx="1689">
                  <c:v>3.9312970326946119E-2</c:v>
                </c:pt>
                <c:pt idx="1690">
                  <c:v>4.1714733265356498E-2</c:v>
                </c:pt>
                <c:pt idx="1691">
                  <c:v>3.6559035392267444E-2</c:v>
                </c:pt>
                <c:pt idx="1692">
                  <c:v>2.764270859597287E-2</c:v>
                </c:pt>
                <c:pt idx="1693">
                  <c:v>3.5155465679180188E-2</c:v>
                </c:pt>
                <c:pt idx="1694">
                  <c:v>3.0043647268469285E-2</c:v>
                </c:pt>
                <c:pt idx="1695">
                  <c:v>2.5312420603702226E-2</c:v>
                </c:pt>
                <c:pt idx="1696">
                  <c:v>2.5072266740022459E-2</c:v>
                </c:pt>
                <c:pt idx="1697">
                  <c:v>2.1783668794341012E-2</c:v>
                </c:pt>
                <c:pt idx="1698">
                  <c:v>1.9723462497975717E-2</c:v>
                </c:pt>
                <c:pt idx="1699">
                  <c:v>1.9026928800837804E-2</c:v>
                </c:pt>
                <c:pt idx="1700">
                  <c:v>3.4806869691117029E-2</c:v>
                </c:pt>
                <c:pt idx="1701">
                  <c:v>2.9608578506255458E-2</c:v>
                </c:pt>
                <c:pt idx="1702">
                  <c:v>3.3109582626152968E-2</c:v>
                </c:pt>
                <c:pt idx="1703">
                  <c:v>3.3262473610782238E-2</c:v>
                </c:pt>
                <c:pt idx="1704">
                  <c:v>3.500163711655916E-2</c:v>
                </c:pt>
                <c:pt idx="1705">
                  <c:v>3.0642218414760641E-2</c:v>
                </c:pt>
                <c:pt idx="1706">
                  <c:v>3.4620837357047567E-2</c:v>
                </c:pt>
                <c:pt idx="1707">
                  <c:v>3.1805006120276196E-2</c:v>
                </c:pt>
                <c:pt idx="1708">
                  <c:v>3.1518336955828764E-2</c:v>
                </c:pt>
                <c:pt idx="1709">
                  <c:v>3.0821467187817402E-2</c:v>
                </c:pt>
                <c:pt idx="1710">
                  <c:v>2.3037111451494483E-2</c:v>
                </c:pt>
                <c:pt idx="1711">
                  <c:v>2.9598030889181403E-2</c:v>
                </c:pt>
                <c:pt idx="1712">
                  <c:v>3.0820253562282133E-2</c:v>
                </c:pt>
                <c:pt idx="1713">
                  <c:v>2.7100785679031708E-2</c:v>
                </c:pt>
                <c:pt idx="1714">
                  <c:v>3.0582722222021116E-2</c:v>
                </c:pt>
                <c:pt idx="1715">
                  <c:v>2.4049512333339278E-2</c:v>
                </c:pt>
                <c:pt idx="1716">
                  <c:v>2.5766955867175041E-2</c:v>
                </c:pt>
                <c:pt idx="1717">
                  <c:v>3.1884109642958902E-2</c:v>
                </c:pt>
                <c:pt idx="1718">
                  <c:v>1.9275433329913116E-2</c:v>
                </c:pt>
                <c:pt idx="1719">
                  <c:v>2.9130026885175481E-2</c:v>
                </c:pt>
                <c:pt idx="1720">
                  <c:v>3.3252416647261446E-2</c:v>
                </c:pt>
                <c:pt idx="1721">
                  <c:v>2.8137962066272518E-2</c:v>
                </c:pt>
                <c:pt idx="1722">
                  <c:v>3.4617629204099491E-2</c:v>
                </c:pt>
                <c:pt idx="1723">
                  <c:v>2.355697646645773E-2</c:v>
                </c:pt>
                <c:pt idx="1724">
                  <c:v>2.1243479096996462E-2</c:v>
                </c:pt>
                <c:pt idx="1725">
                  <c:v>2.3800436291709734E-2</c:v>
                </c:pt>
                <c:pt idx="1726">
                  <c:v>2.7000808794896646E-2</c:v>
                </c:pt>
                <c:pt idx="1727">
                  <c:v>2.6025950975428338E-2</c:v>
                </c:pt>
                <c:pt idx="1728">
                  <c:v>2.8270232742297591E-2</c:v>
                </c:pt>
                <c:pt idx="1729">
                  <c:v>2.3492798785249049E-2</c:v>
                </c:pt>
                <c:pt idx="1730">
                  <c:v>2.7427488346278815E-2</c:v>
                </c:pt>
                <c:pt idx="1731">
                  <c:v>2.7086912711203785E-2</c:v>
                </c:pt>
                <c:pt idx="1732">
                  <c:v>2.3104239070010791E-2</c:v>
                </c:pt>
                <c:pt idx="1733">
                  <c:v>3.7977582613110995E-2</c:v>
                </c:pt>
                <c:pt idx="1734">
                  <c:v>2.3954173364046254E-2</c:v>
                </c:pt>
                <c:pt idx="1735">
                  <c:v>2.6904074556946243E-2</c:v>
                </c:pt>
                <c:pt idx="1736">
                  <c:v>3.3662551789031443E-2</c:v>
                </c:pt>
                <c:pt idx="1737">
                  <c:v>2.7088952881324509E-2</c:v>
                </c:pt>
                <c:pt idx="1738">
                  <c:v>3.3013797168723671E-2</c:v>
                </c:pt>
                <c:pt idx="1739">
                  <c:v>2.5799696794201302E-2</c:v>
                </c:pt>
                <c:pt idx="1740">
                  <c:v>3.6549054479152333E-2</c:v>
                </c:pt>
                <c:pt idx="1741">
                  <c:v>4.0781479301746637E-2</c:v>
                </c:pt>
                <c:pt idx="1742">
                  <c:v>3.4856571738094838E-2</c:v>
                </c:pt>
                <c:pt idx="1743">
                  <c:v>3.5229155894073667E-2</c:v>
                </c:pt>
                <c:pt idx="1744">
                  <c:v>3.296146845850368E-2</c:v>
                </c:pt>
                <c:pt idx="1745">
                  <c:v>4.2993855795101905E-2</c:v>
                </c:pt>
                <c:pt idx="1746">
                  <c:v>3.2951404522105376E-2</c:v>
                </c:pt>
                <c:pt idx="1747">
                  <c:v>3.2017665031775576E-2</c:v>
                </c:pt>
                <c:pt idx="1748">
                  <c:v>2.8400835939202163E-2</c:v>
                </c:pt>
                <c:pt idx="1749">
                  <c:v>3.260103418356488E-2</c:v>
                </c:pt>
                <c:pt idx="1750">
                  <c:v>4.0121898235183875E-2</c:v>
                </c:pt>
                <c:pt idx="1751">
                  <c:v>3.6293464972733364E-2</c:v>
                </c:pt>
                <c:pt idx="1752">
                  <c:v>3.4635273752048786E-2</c:v>
                </c:pt>
                <c:pt idx="1753">
                  <c:v>3.7647573256459399E-2</c:v>
                </c:pt>
                <c:pt idx="1754">
                  <c:v>3.3276552968468924E-2</c:v>
                </c:pt>
                <c:pt idx="1755">
                  <c:v>3.853949409255062E-2</c:v>
                </c:pt>
                <c:pt idx="1756">
                  <c:v>2.983366848806113E-2</c:v>
                </c:pt>
                <c:pt idx="1757">
                  <c:v>2.2500129017482457E-2</c:v>
                </c:pt>
                <c:pt idx="1758">
                  <c:v>2.2644845813340392E-2</c:v>
                </c:pt>
                <c:pt idx="1759">
                  <c:v>2.7004481822358685E-2</c:v>
                </c:pt>
                <c:pt idx="1760">
                  <c:v>2.4494698303387727E-2</c:v>
                </c:pt>
                <c:pt idx="1761">
                  <c:v>2.6961627902279774E-2</c:v>
                </c:pt>
                <c:pt idx="1762">
                  <c:v>2.1461785059299514E-2</c:v>
                </c:pt>
                <c:pt idx="1763">
                  <c:v>2.4991912593545332E-2</c:v>
                </c:pt>
                <c:pt idx="1764">
                  <c:v>2.635346289476884E-2</c:v>
                </c:pt>
                <c:pt idx="1765">
                  <c:v>2.4968951534986118E-2</c:v>
                </c:pt>
                <c:pt idx="1766">
                  <c:v>2.6253313805022074E-2</c:v>
                </c:pt>
                <c:pt idx="1767">
                  <c:v>1.8829852565035648E-2</c:v>
                </c:pt>
                <c:pt idx="1768">
                  <c:v>2.9207182814541158E-2</c:v>
                </c:pt>
                <c:pt idx="1769">
                  <c:v>2.9977583810886946E-2</c:v>
                </c:pt>
                <c:pt idx="1770">
                  <c:v>3.050216676932483E-2</c:v>
                </c:pt>
                <c:pt idx="1771">
                  <c:v>2.4196178411782922E-2</c:v>
                </c:pt>
                <c:pt idx="1772">
                  <c:v>2.0490557182561694E-2</c:v>
                </c:pt>
                <c:pt idx="1773">
                  <c:v>2.4503728719832394E-2</c:v>
                </c:pt>
                <c:pt idx="1774">
                  <c:v>5.588437517921519E-3</c:v>
                </c:pt>
                <c:pt idx="1775">
                  <c:v>2.7291989886224677E-3</c:v>
                </c:pt>
                <c:pt idx="1776">
                  <c:v>6.2366399561015274E-3</c:v>
                </c:pt>
                <c:pt idx="1777">
                  <c:v>3.4389891901883901E-3</c:v>
                </c:pt>
                <c:pt idx="1778">
                  <c:v>3.9066611055354568E-3</c:v>
                </c:pt>
                <c:pt idx="1779">
                  <c:v>6.1034796947707472E-3</c:v>
                </c:pt>
                <c:pt idx="1780">
                  <c:v>4.4907585937625713E-3</c:v>
                </c:pt>
                <c:pt idx="1781">
                  <c:v>4.5848804764765548E-3</c:v>
                </c:pt>
                <c:pt idx="1782">
                  <c:v>2.4546312514068789E-3</c:v>
                </c:pt>
                <c:pt idx="1783">
                  <c:v>7.5877677507616573E-3</c:v>
                </c:pt>
                <c:pt idx="1784">
                  <c:v>4.8971845725158149E-3</c:v>
                </c:pt>
                <c:pt idx="1785">
                  <c:v>4.0620096453569806E-3</c:v>
                </c:pt>
                <c:pt idx="1786">
                  <c:v>3.5850292486859846E-3</c:v>
                </c:pt>
                <c:pt idx="1787">
                  <c:v>6.3291002333863552E-3</c:v>
                </c:pt>
                <c:pt idx="1788">
                  <c:v>3.5165386990871727E-3</c:v>
                </c:pt>
                <c:pt idx="1789">
                  <c:v>3.3325514873030326E-3</c:v>
                </c:pt>
                <c:pt idx="1790">
                  <c:v>4.3815688459191886E-3</c:v>
                </c:pt>
                <c:pt idx="1791">
                  <c:v>4.8435031544016025E-3</c:v>
                </c:pt>
                <c:pt idx="1792">
                  <c:v>1.6489219442313975E-3</c:v>
                </c:pt>
                <c:pt idx="1793">
                  <c:v>3.3915910057974526E-3</c:v>
                </c:pt>
                <c:pt idx="1794">
                  <c:v>4.1970875791940325E-3</c:v>
                </c:pt>
                <c:pt idx="1795">
                  <c:v>4.2108511246098535E-3</c:v>
                </c:pt>
                <c:pt idx="1796">
                  <c:v>3.1515043881757908E-3</c:v>
                </c:pt>
                <c:pt idx="1797">
                  <c:v>5.0981088955570275E-3</c:v>
                </c:pt>
                <c:pt idx="1798">
                  <c:v>3.1394318976156344E-3</c:v>
                </c:pt>
                <c:pt idx="1799">
                  <c:v>5.4666577611572403E-3</c:v>
                </c:pt>
                <c:pt idx="1800">
                  <c:v>1.7311174158953669E-3</c:v>
                </c:pt>
                <c:pt idx="1801">
                  <c:v>5.0938166125542132E-3</c:v>
                </c:pt>
                <c:pt idx="1802">
                  <c:v>2.7986768191489582E-3</c:v>
                </c:pt>
                <c:pt idx="1803">
                  <c:v>3.7112131088266422E-3</c:v>
                </c:pt>
                <c:pt idx="1804">
                  <c:v>4.1773017184419973E-3</c:v>
                </c:pt>
                <c:pt idx="1805">
                  <c:v>2.9466577524193691E-3</c:v>
                </c:pt>
                <c:pt idx="1806">
                  <c:v>6.0156829143407954E-3</c:v>
                </c:pt>
                <c:pt idx="1807">
                  <c:v>1.741498895255236E-3</c:v>
                </c:pt>
                <c:pt idx="1808">
                  <c:v>4.8623997703350873E-3</c:v>
                </c:pt>
                <c:pt idx="1809">
                  <c:v>3.8446783137804628E-3</c:v>
                </c:pt>
                <c:pt idx="1810">
                  <c:v>3.8369298427740118E-3</c:v>
                </c:pt>
                <c:pt idx="1811">
                  <c:v>2.3630700841147938E-3</c:v>
                </c:pt>
                <c:pt idx="1812">
                  <c:v>5.5605684037396868E-3</c:v>
                </c:pt>
                <c:pt idx="1813">
                  <c:v>3.3071232365455942E-3</c:v>
                </c:pt>
                <c:pt idx="1814">
                  <c:v>3.2907449308125368E-3</c:v>
                </c:pt>
                <c:pt idx="1815">
                  <c:v>4.4120931540496027E-3</c:v>
                </c:pt>
                <c:pt idx="1816">
                  <c:v>6.013541307706578E-3</c:v>
                </c:pt>
                <c:pt idx="1817">
                  <c:v>3.6832232666488668E-3</c:v>
                </c:pt>
                <c:pt idx="1818">
                  <c:v>3.0756145862909025E-3</c:v>
                </c:pt>
                <c:pt idx="1819">
                  <c:v>3.1299461338858562E-3</c:v>
                </c:pt>
                <c:pt idx="1820">
                  <c:v>3.6961418795020506E-3</c:v>
                </c:pt>
                <c:pt idx="1821">
                  <c:v>2.6355373662654441E-3</c:v>
                </c:pt>
                <c:pt idx="1822">
                  <c:v>5.9222990561347937E-3</c:v>
                </c:pt>
                <c:pt idx="1823">
                  <c:v>2.1919890113378426E-3</c:v>
                </c:pt>
                <c:pt idx="1824">
                  <c:v>3.4691489780279429E-3</c:v>
                </c:pt>
                <c:pt idx="1825">
                  <c:v>2.8940289123463247E-3</c:v>
                </c:pt>
                <c:pt idx="1826">
                  <c:v>4.3359933508143452E-3</c:v>
                </c:pt>
                <c:pt idx="1827">
                  <c:v>9.0865645768275893E-3</c:v>
                </c:pt>
                <c:pt idx="1828">
                  <c:v>4.0779286557468064E-3</c:v>
                </c:pt>
                <c:pt idx="1829">
                  <c:v>3.9978974533458264E-3</c:v>
                </c:pt>
                <c:pt idx="1830">
                  <c:v>2.7960877826116565E-3</c:v>
                </c:pt>
                <c:pt idx="1831">
                  <c:v>3.8386517371669488E-3</c:v>
                </c:pt>
                <c:pt idx="1832">
                  <c:v>2.7261779612321661E-3</c:v>
                </c:pt>
                <c:pt idx="1833">
                  <c:v>1.7795608423099147E-2</c:v>
                </c:pt>
                <c:pt idx="1834">
                  <c:v>2.4360614431047653E-3</c:v>
                </c:pt>
                <c:pt idx="1835">
                  <c:v>3.8580225786809712E-3</c:v>
                </c:pt>
                <c:pt idx="1836">
                  <c:v>2.6092048855308565E-3</c:v>
                </c:pt>
                <c:pt idx="1837">
                  <c:v>4.430578663795791E-3</c:v>
                </c:pt>
                <c:pt idx="1838">
                  <c:v>1.0213852616693334E-2</c:v>
                </c:pt>
                <c:pt idx="1839">
                  <c:v>4.6003506147863221E-3</c:v>
                </c:pt>
                <c:pt idx="1840">
                  <c:v>4.1441798905949619E-3</c:v>
                </c:pt>
                <c:pt idx="1841">
                  <c:v>4.2456881496286082E-3</c:v>
                </c:pt>
                <c:pt idx="1842">
                  <c:v>2.4114444267616278E-3</c:v>
                </c:pt>
                <c:pt idx="1843">
                  <c:v>3.0411148374454278E-3</c:v>
                </c:pt>
                <c:pt idx="1844">
                  <c:v>3.3359992710886447E-3</c:v>
                </c:pt>
                <c:pt idx="1845">
                  <c:v>2.8465712113050104E-3</c:v>
                </c:pt>
                <c:pt idx="1846">
                  <c:v>2.0108980027210149E-3</c:v>
                </c:pt>
                <c:pt idx="1847">
                  <c:v>3.2860037270309034E-3</c:v>
                </c:pt>
                <c:pt idx="1848">
                  <c:v>4.0482413820133257E-3</c:v>
                </c:pt>
                <c:pt idx="1849">
                  <c:v>2.9699504488675424E-3</c:v>
                </c:pt>
                <c:pt idx="1850">
                  <c:v>2.8349217101442869E-3</c:v>
                </c:pt>
                <c:pt idx="1851">
                  <c:v>7.4682549759292668E-3</c:v>
                </c:pt>
                <c:pt idx="1852">
                  <c:v>3.1148547191209458E-3</c:v>
                </c:pt>
                <c:pt idx="1853">
                  <c:v>3.4226158567813702E-3</c:v>
                </c:pt>
                <c:pt idx="1854">
                  <c:v>2.5638747444871306E-3</c:v>
                </c:pt>
                <c:pt idx="1855">
                  <c:v>6.5738537031809615E-3</c:v>
                </c:pt>
                <c:pt idx="1856">
                  <c:v>4.7322541339893638E-3</c:v>
                </c:pt>
                <c:pt idx="1857">
                  <c:v>2.1254392783135352E-3</c:v>
                </c:pt>
                <c:pt idx="1858">
                  <c:v>1.6670928089166164E-3</c:v>
                </c:pt>
                <c:pt idx="1859">
                  <c:v>5.2817788563138219E-3</c:v>
                </c:pt>
                <c:pt idx="1860">
                  <c:v>3.8265983330470323E-3</c:v>
                </c:pt>
                <c:pt idx="1861">
                  <c:v>2.7460300422511501E-3</c:v>
                </c:pt>
                <c:pt idx="1862">
                  <c:v>4.5840210081901783E-3</c:v>
                </c:pt>
                <c:pt idx="1863">
                  <c:v>3.009631425046982E-3</c:v>
                </c:pt>
                <c:pt idx="1864">
                  <c:v>2.7568188361198321E-3</c:v>
                </c:pt>
                <c:pt idx="1865">
                  <c:v>8.6108161040683757E-3</c:v>
                </c:pt>
                <c:pt idx="1866">
                  <c:v>1.0404276573122588E-2</c:v>
                </c:pt>
                <c:pt idx="1867">
                  <c:v>5.8220389872359803E-3</c:v>
                </c:pt>
                <c:pt idx="1868">
                  <c:v>3.6909744804741935E-3</c:v>
                </c:pt>
                <c:pt idx="1869">
                  <c:v>5.9762756616058123E-3</c:v>
                </c:pt>
                <c:pt idx="1870">
                  <c:v>5.9047337933445737E-3</c:v>
                </c:pt>
                <c:pt idx="1871">
                  <c:v>4.4791531134389852E-3</c:v>
                </c:pt>
                <c:pt idx="1872">
                  <c:v>1.5922412677304655E-3</c:v>
                </c:pt>
                <c:pt idx="1873">
                  <c:v>4.4232705330567767E-3</c:v>
                </c:pt>
                <c:pt idx="1874">
                  <c:v>6.638014483307874E-3</c:v>
                </c:pt>
                <c:pt idx="1875">
                  <c:v>2.8448453789990213E-3</c:v>
                </c:pt>
                <c:pt idx="1876">
                  <c:v>1.6056549204125719E-3</c:v>
                </c:pt>
                <c:pt idx="1877">
                  <c:v>3.8545789366688297E-3</c:v>
                </c:pt>
                <c:pt idx="1878">
                  <c:v>5.3988922649436926E-3</c:v>
                </c:pt>
                <c:pt idx="1879">
                  <c:v>6.1904024346951395E-3</c:v>
                </c:pt>
                <c:pt idx="1880">
                  <c:v>6.4656143726840891E-3</c:v>
                </c:pt>
                <c:pt idx="1881">
                  <c:v>2.5375379181583643E-3</c:v>
                </c:pt>
                <c:pt idx="1882">
                  <c:v>4.4258498873601159E-3</c:v>
                </c:pt>
                <c:pt idx="1883">
                  <c:v>4.4929077227525618E-3</c:v>
                </c:pt>
                <c:pt idx="1884">
                  <c:v>3.8158360823891103E-3</c:v>
                </c:pt>
                <c:pt idx="1885">
                  <c:v>2.402806546462021E-3</c:v>
                </c:pt>
                <c:pt idx="1886">
                  <c:v>5.2727688243395044E-3</c:v>
                </c:pt>
                <c:pt idx="1887">
                  <c:v>4.2018188471301069E-3</c:v>
                </c:pt>
                <c:pt idx="1888">
                  <c:v>2.1487760599979045E-3</c:v>
                </c:pt>
                <c:pt idx="1889">
                  <c:v>4.5642527681447843E-3</c:v>
                </c:pt>
                <c:pt idx="1890">
                  <c:v>5.4272006569074027E-3</c:v>
                </c:pt>
                <c:pt idx="1891">
                  <c:v>4.140308343231992E-3</c:v>
                </c:pt>
                <c:pt idx="1892">
                  <c:v>3.7689095529420545E-3</c:v>
                </c:pt>
                <c:pt idx="1893">
                  <c:v>2.7956562750215594E-3</c:v>
                </c:pt>
                <c:pt idx="1894">
                  <c:v>4.9972290279432161E-3</c:v>
                </c:pt>
                <c:pt idx="1895">
                  <c:v>4.0908355331205478E-3</c:v>
                </c:pt>
                <c:pt idx="1896">
                  <c:v>4.4752845510793145E-3</c:v>
                </c:pt>
                <c:pt idx="1897">
                  <c:v>3.6324063273979698E-3</c:v>
                </c:pt>
                <c:pt idx="1898">
                  <c:v>5.3997501221142242E-3</c:v>
                </c:pt>
                <c:pt idx="1899">
                  <c:v>3.472164841619788E-3</c:v>
                </c:pt>
                <c:pt idx="1900">
                  <c:v>3.4980142419234073E-3</c:v>
                </c:pt>
                <c:pt idx="1901">
                  <c:v>4.0835216830375064E-3</c:v>
                </c:pt>
                <c:pt idx="1902">
                  <c:v>4.3927470105438017E-3</c:v>
                </c:pt>
                <c:pt idx="1903">
                  <c:v>2.189396355506878E-3</c:v>
                </c:pt>
                <c:pt idx="1904">
                  <c:v>2.8625348350206753E-3</c:v>
                </c:pt>
                <c:pt idx="1905">
                  <c:v>4.4950568411075273E-3</c:v>
                </c:pt>
                <c:pt idx="1906">
                  <c:v>3.5083535712612805E-3</c:v>
                </c:pt>
                <c:pt idx="1907">
                  <c:v>2.5517859077515909E-3</c:v>
                </c:pt>
                <c:pt idx="1908">
                  <c:v>2.1405651131339506E-3</c:v>
                </c:pt>
                <c:pt idx="1909">
                  <c:v>4.8911725836390304E-3</c:v>
                </c:pt>
                <c:pt idx="1910">
                  <c:v>3.2166038208903476E-3</c:v>
                </c:pt>
                <c:pt idx="1911">
                  <c:v>1.8111349038103393E-3</c:v>
                </c:pt>
                <c:pt idx="1912">
                  <c:v>1.60695299384716E-3</c:v>
                </c:pt>
                <c:pt idx="1913">
                  <c:v>5.0161189564291485E-3</c:v>
                </c:pt>
                <c:pt idx="1914">
                  <c:v>3.0415461012212076E-3</c:v>
                </c:pt>
                <c:pt idx="1915">
                  <c:v>3.0393897780600413E-3</c:v>
                </c:pt>
                <c:pt idx="1916">
                  <c:v>3.7374788584620231E-3</c:v>
                </c:pt>
                <c:pt idx="1917">
                  <c:v>4.1476212370549648E-3</c:v>
                </c:pt>
                <c:pt idx="1918">
                  <c:v>3.0374218858336445E-2</c:v>
                </c:pt>
                <c:pt idx="1919">
                  <c:v>3.5944982001400096E-2</c:v>
                </c:pt>
                <c:pt idx="1920">
                  <c:v>3.498080197596725E-2</c:v>
                </c:pt>
                <c:pt idx="1921">
                  <c:v>2.96523889430216E-2</c:v>
                </c:pt>
                <c:pt idx="1922">
                  <c:v>3.6012142672979648E-2</c:v>
                </c:pt>
                <c:pt idx="1923">
                  <c:v>4.5128480864272486E-2</c:v>
                </c:pt>
                <c:pt idx="1924">
                  <c:v>3.6575403593229916E-2</c:v>
                </c:pt>
                <c:pt idx="1925">
                  <c:v>4.3535568209884037E-2</c:v>
                </c:pt>
                <c:pt idx="1926">
                  <c:v>3.7624873408749038E-2</c:v>
                </c:pt>
                <c:pt idx="1927">
                  <c:v>3.490226053753543E-2</c:v>
                </c:pt>
                <c:pt idx="1928">
                  <c:v>4.7892178269145186E-2</c:v>
                </c:pt>
                <c:pt idx="1929">
                  <c:v>3.5411725597477621E-2</c:v>
                </c:pt>
                <c:pt idx="1930">
                  <c:v>3.0692804003962001E-2</c:v>
                </c:pt>
                <c:pt idx="1931">
                  <c:v>4.0811526321374379E-2</c:v>
                </c:pt>
                <c:pt idx="1932">
                  <c:v>4.1540714864334694E-2</c:v>
                </c:pt>
                <c:pt idx="1933">
                  <c:v>3.4661739229925652E-2</c:v>
                </c:pt>
                <c:pt idx="1934">
                  <c:v>3.0966268823579321E-2</c:v>
                </c:pt>
                <c:pt idx="1935">
                  <c:v>3.1096063887226324E-2</c:v>
                </c:pt>
                <c:pt idx="1936">
                  <c:v>3.5938585205260443E-2</c:v>
                </c:pt>
                <c:pt idx="1937">
                  <c:v>2.7446650534413433E-2</c:v>
                </c:pt>
                <c:pt idx="1938">
                  <c:v>3.3212186464123897E-2</c:v>
                </c:pt>
                <c:pt idx="1939">
                  <c:v>3.8858104435881016E-2</c:v>
                </c:pt>
                <c:pt idx="1940">
                  <c:v>3.8173717828476839E-2</c:v>
                </c:pt>
                <c:pt idx="1941">
                  <c:v>4.1616486548219984E-2</c:v>
                </c:pt>
                <c:pt idx="1942">
                  <c:v>4.7805045058454516E-2</c:v>
                </c:pt>
                <c:pt idx="1943">
                  <c:v>3.2392691627838435E-2</c:v>
                </c:pt>
                <c:pt idx="1944">
                  <c:v>3.789997932176959E-2</c:v>
                </c:pt>
                <c:pt idx="1945">
                  <c:v>4.4325696104079951E-2</c:v>
                </c:pt>
                <c:pt idx="1946">
                  <c:v>4.2319900406648771E-2</c:v>
                </c:pt>
                <c:pt idx="1947">
                  <c:v>4.1562421645725704E-2</c:v>
                </c:pt>
                <c:pt idx="1948">
                  <c:v>4.6697241789895927E-2</c:v>
                </c:pt>
                <c:pt idx="1949">
                  <c:v>3.5360485709094308E-2</c:v>
                </c:pt>
                <c:pt idx="1950">
                  <c:v>3.3794757906910305E-2</c:v>
                </c:pt>
                <c:pt idx="1951">
                  <c:v>3.1684305127393994E-2</c:v>
                </c:pt>
                <c:pt idx="1952">
                  <c:v>2.8539533397915904E-2</c:v>
                </c:pt>
                <c:pt idx="1953">
                  <c:v>2.905935627069382E-2</c:v>
                </c:pt>
                <c:pt idx="1954">
                  <c:v>4.4877500731924917E-2</c:v>
                </c:pt>
                <c:pt idx="1955">
                  <c:v>2.9191752725219008E-2</c:v>
                </c:pt>
                <c:pt idx="1956">
                  <c:v>2.3391987766993919E-2</c:v>
                </c:pt>
                <c:pt idx="1957">
                  <c:v>3.4050617114103107E-2</c:v>
                </c:pt>
                <c:pt idx="1958">
                  <c:v>2.2610217123082279E-2</c:v>
                </c:pt>
                <c:pt idx="1959">
                  <c:v>2.9480367024450456E-2</c:v>
                </c:pt>
                <c:pt idx="1960">
                  <c:v>3.3830113208624911E-2</c:v>
                </c:pt>
                <c:pt idx="1961">
                  <c:v>3.4516560253515044E-2</c:v>
                </c:pt>
                <c:pt idx="1962">
                  <c:v>3.0126718947527786E-2</c:v>
                </c:pt>
                <c:pt idx="1963">
                  <c:v>2.7188909478618899E-2</c:v>
                </c:pt>
                <c:pt idx="1964">
                  <c:v>3.462645156768214E-2</c:v>
                </c:pt>
                <c:pt idx="1965">
                  <c:v>1.9585241446949023E-2</c:v>
                </c:pt>
                <c:pt idx="1966">
                  <c:v>2.8110281874034065E-2</c:v>
                </c:pt>
                <c:pt idx="1967">
                  <c:v>2.5822613974570714E-2</c:v>
                </c:pt>
                <c:pt idx="1968">
                  <c:v>2.8167268582296789E-2</c:v>
                </c:pt>
                <c:pt idx="1969">
                  <c:v>2.4598947136900862E-2</c:v>
                </c:pt>
                <c:pt idx="1970">
                  <c:v>2.653285596761833E-2</c:v>
                </c:pt>
                <c:pt idx="1971">
                  <c:v>2.462808308432907E-2</c:v>
                </c:pt>
                <c:pt idx="1972">
                  <c:v>2.7405471171432688E-2</c:v>
                </c:pt>
                <c:pt idx="1973">
                  <c:v>2.469127264761475E-2</c:v>
                </c:pt>
                <c:pt idx="1974">
                  <c:v>2.3789335519535406E-2</c:v>
                </c:pt>
                <c:pt idx="1975">
                  <c:v>2.6939587096706383E-2</c:v>
                </c:pt>
                <c:pt idx="1976">
                  <c:v>3.2521255226190551E-2</c:v>
                </c:pt>
                <c:pt idx="1977">
                  <c:v>3.4886630699678928E-2</c:v>
                </c:pt>
                <c:pt idx="1978">
                  <c:v>3.2702549847436452E-2</c:v>
                </c:pt>
                <c:pt idx="1979">
                  <c:v>3.6065703859119967E-2</c:v>
                </c:pt>
                <c:pt idx="1980">
                  <c:v>3.0711822661392676E-2</c:v>
                </c:pt>
                <c:pt idx="1981">
                  <c:v>2.3371822754936312E-2</c:v>
                </c:pt>
                <c:pt idx="1982">
                  <c:v>2.971606845620052E-2</c:v>
                </c:pt>
                <c:pt idx="1983">
                  <c:v>3.1865142254305361E-2</c:v>
                </c:pt>
                <c:pt idx="1984">
                  <c:v>3.2953417328042127E-2</c:v>
                </c:pt>
                <c:pt idx="1985">
                  <c:v>2.7353685638070849E-2</c:v>
                </c:pt>
                <c:pt idx="1986">
                  <c:v>2.599690866052564E-2</c:v>
                </c:pt>
                <c:pt idx="1987">
                  <c:v>2.7034681092671767E-2</c:v>
                </c:pt>
                <c:pt idx="1988">
                  <c:v>3.1611626142940802E-2</c:v>
                </c:pt>
                <c:pt idx="1989">
                  <c:v>2.8347541558745235E-2</c:v>
                </c:pt>
                <c:pt idx="1990">
                  <c:v>2.7972261647489633E-2</c:v>
                </c:pt>
                <c:pt idx="1991">
                  <c:v>2.3342190834366294E-2</c:v>
                </c:pt>
                <c:pt idx="1992">
                  <c:v>3.1311494658655771E-2</c:v>
                </c:pt>
                <c:pt idx="1993">
                  <c:v>5.2492711951772901E-2</c:v>
                </c:pt>
                <c:pt idx="1994">
                  <c:v>4.0163077175147416E-2</c:v>
                </c:pt>
                <c:pt idx="1995">
                  <c:v>3.291436722779207E-2</c:v>
                </c:pt>
                <c:pt idx="1996">
                  <c:v>3.9826800262141228E-2</c:v>
                </c:pt>
                <c:pt idx="1997">
                  <c:v>3.552259122531571E-2</c:v>
                </c:pt>
                <c:pt idx="1998">
                  <c:v>3.5295626556629961E-2</c:v>
                </c:pt>
                <c:pt idx="1999">
                  <c:v>3.7607349907813385E-2</c:v>
                </c:pt>
                <c:pt idx="2000">
                  <c:v>4.7504612653636015E-2</c:v>
                </c:pt>
                <c:pt idx="2001">
                  <c:v>3.827791592483188E-2</c:v>
                </c:pt>
                <c:pt idx="2002">
                  <c:v>4.491039874338245E-2</c:v>
                </c:pt>
                <c:pt idx="2003">
                  <c:v>0.13419209398533527</c:v>
                </c:pt>
                <c:pt idx="2004">
                  <c:v>0.15744165672025021</c:v>
                </c:pt>
                <c:pt idx="2005">
                  <c:v>5.0720715646697771E-2</c:v>
                </c:pt>
                <c:pt idx="2006">
                  <c:v>3.4633669731857407E-2</c:v>
                </c:pt>
                <c:pt idx="2007">
                  <c:v>3.5794632377215869E-2</c:v>
                </c:pt>
                <c:pt idx="2008">
                  <c:v>3.2792363367278692E-2</c:v>
                </c:pt>
                <c:pt idx="2009">
                  <c:v>3.4723886663117529E-2</c:v>
                </c:pt>
                <c:pt idx="2010">
                  <c:v>4.8402956152739721E-2</c:v>
                </c:pt>
                <c:pt idx="2011">
                  <c:v>0.16259367710416353</c:v>
                </c:pt>
                <c:pt idx="2012">
                  <c:v>0.16832950812903119</c:v>
                </c:pt>
                <c:pt idx="2013">
                  <c:v>6.8702995196837174E-2</c:v>
                </c:pt>
                <c:pt idx="2014">
                  <c:v>2.5814429406119225E-2</c:v>
                </c:pt>
                <c:pt idx="2015">
                  <c:v>2.677342873175351E-2</c:v>
                </c:pt>
                <c:pt idx="2016">
                  <c:v>3.7114012268251742E-2</c:v>
                </c:pt>
                <c:pt idx="2017">
                  <c:v>3.4074709116544748E-2</c:v>
                </c:pt>
                <c:pt idx="2018">
                  <c:v>3.6152426996113554E-2</c:v>
                </c:pt>
                <c:pt idx="2019">
                  <c:v>3.8626122034357911E-2</c:v>
                </c:pt>
                <c:pt idx="2020">
                  <c:v>4.9624983014097443E-2</c:v>
                </c:pt>
                <c:pt idx="2021">
                  <c:v>3.9914360312759911E-2</c:v>
                </c:pt>
                <c:pt idx="2022">
                  <c:v>3.8523597181032453E-2</c:v>
                </c:pt>
                <c:pt idx="2023">
                  <c:v>3.8460798691211828E-2</c:v>
                </c:pt>
                <c:pt idx="2024">
                  <c:v>2.9167794394845438E-2</c:v>
                </c:pt>
                <c:pt idx="2025">
                  <c:v>3.0798812285261212E-2</c:v>
                </c:pt>
                <c:pt idx="2026">
                  <c:v>4.6205147665132194E-2</c:v>
                </c:pt>
                <c:pt idx="2027">
                  <c:v>2.994150811046184E-2</c:v>
                </c:pt>
                <c:pt idx="2028">
                  <c:v>3.1556301207669307E-2</c:v>
                </c:pt>
                <c:pt idx="2029">
                  <c:v>3.4449167883675358E-2</c:v>
                </c:pt>
                <c:pt idx="2030">
                  <c:v>4.1975827338790205E-2</c:v>
                </c:pt>
                <c:pt idx="2031">
                  <c:v>4.1406503399178424E-2</c:v>
                </c:pt>
                <c:pt idx="2032">
                  <c:v>3.8880739917774146E-2</c:v>
                </c:pt>
                <c:pt idx="2033">
                  <c:v>4.2905734162638057E-2</c:v>
                </c:pt>
                <c:pt idx="2034">
                  <c:v>4.2081876622192947E-2</c:v>
                </c:pt>
                <c:pt idx="2035">
                  <c:v>3.4833725535784746E-2</c:v>
                </c:pt>
                <c:pt idx="2036">
                  <c:v>2.756201350047513E-2</c:v>
                </c:pt>
                <c:pt idx="2037">
                  <c:v>3.5735837916587292E-2</c:v>
                </c:pt>
                <c:pt idx="2038">
                  <c:v>3.1427451595298708E-2</c:v>
                </c:pt>
                <c:pt idx="2039">
                  <c:v>2.376631079118072E-2</c:v>
                </c:pt>
                <c:pt idx="2040">
                  <c:v>3.4375746436004835E-2</c:v>
                </c:pt>
                <c:pt idx="2041">
                  <c:v>4.3859564981778211E-2</c:v>
                </c:pt>
                <c:pt idx="2042">
                  <c:v>3.9658365915779079E-2</c:v>
                </c:pt>
                <c:pt idx="2043">
                  <c:v>2.6081166921852649E-2</c:v>
                </c:pt>
                <c:pt idx="2044">
                  <c:v>2.5079235531691332E-2</c:v>
                </c:pt>
                <c:pt idx="2045">
                  <c:v>3.5619025306011798E-2</c:v>
                </c:pt>
                <c:pt idx="2046">
                  <c:v>2.557987598311573E-2</c:v>
                </c:pt>
                <c:pt idx="2047">
                  <c:v>2.9210837229085629E-2</c:v>
                </c:pt>
                <c:pt idx="2048">
                  <c:v>2.7476411405617369E-2</c:v>
                </c:pt>
                <c:pt idx="2049">
                  <c:v>2.9465352444887995E-2</c:v>
                </c:pt>
                <c:pt idx="2050">
                  <c:v>2.8325570979108317E-2</c:v>
                </c:pt>
                <c:pt idx="2051">
                  <c:v>2.7771871048297883E-2</c:v>
                </c:pt>
                <c:pt idx="2052">
                  <c:v>3.5185904457546859E-2</c:v>
                </c:pt>
                <c:pt idx="2053">
                  <c:v>3.6291467587433228E-2</c:v>
                </c:pt>
                <c:pt idx="2054">
                  <c:v>2.8151801500835648E-2</c:v>
                </c:pt>
                <c:pt idx="2055">
                  <c:v>2.6045175101511449E-2</c:v>
                </c:pt>
                <c:pt idx="2056">
                  <c:v>2.7049779940384273E-2</c:v>
                </c:pt>
                <c:pt idx="2057">
                  <c:v>3.7972409491743978E-2</c:v>
                </c:pt>
                <c:pt idx="2058">
                  <c:v>3.4810076446446764E-2</c:v>
                </c:pt>
                <c:pt idx="2059">
                  <c:v>2.2986449998457503E-2</c:v>
                </c:pt>
                <c:pt idx="2060">
                  <c:v>2.4932047290292789E-2</c:v>
                </c:pt>
                <c:pt idx="2061">
                  <c:v>2.7402617011486191E-2</c:v>
                </c:pt>
                <c:pt idx="2062">
                  <c:v>0</c:v>
                </c:pt>
                <c:pt idx="2063">
                  <c:v>2.7222937522798753E-3</c:v>
                </c:pt>
                <c:pt idx="2064">
                  <c:v>4.7494373107199823E-3</c:v>
                </c:pt>
                <c:pt idx="2065">
                  <c:v>4.8692710631891047E-3</c:v>
                </c:pt>
                <c:pt idx="2066">
                  <c:v>2.1055588084767144E-3</c:v>
                </c:pt>
                <c:pt idx="2067">
                  <c:v>3.3713374768532364E-3</c:v>
                </c:pt>
                <c:pt idx="2068">
                  <c:v>4.0577071099504227E-3</c:v>
                </c:pt>
                <c:pt idx="2069">
                  <c:v>4.0667423850727783E-3</c:v>
                </c:pt>
                <c:pt idx="2070">
                  <c:v>3.0286080016554127E-3</c:v>
                </c:pt>
                <c:pt idx="2071">
                  <c:v>2.6074781097007913E-3</c:v>
                </c:pt>
                <c:pt idx="2072">
                  <c:v>3.3066922364132383E-3</c:v>
                </c:pt>
                <c:pt idx="2073">
                  <c:v>3.1972043483919385E-3</c:v>
                </c:pt>
                <c:pt idx="2074">
                  <c:v>3.5953665066736102E-3</c:v>
                </c:pt>
                <c:pt idx="2075">
                  <c:v>2.1172278902189365E-3</c:v>
                </c:pt>
                <c:pt idx="2076">
                  <c:v>3.3609948849943096E-3</c:v>
                </c:pt>
                <c:pt idx="2077">
                  <c:v>6.3132635274186716E-3</c:v>
                </c:pt>
                <c:pt idx="2078">
                  <c:v>3.4316643541810409E-3</c:v>
                </c:pt>
                <c:pt idx="2079">
                  <c:v>2.5284707723076971E-3</c:v>
                </c:pt>
                <c:pt idx="2080">
                  <c:v>2.5763949706606721E-3</c:v>
                </c:pt>
                <c:pt idx="2081">
                  <c:v>3.4071037083310903E-3</c:v>
                </c:pt>
                <c:pt idx="2082">
                  <c:v>2.5219941236556956E-3</c:v>
                </c:pt>
                <c:pt idx="2083">
                  <c:v>4.0929866420573325E-3</c:v>
                </c:pt>
                <c:pt idx="2084">
                  <c:v>2.6795651608543486E-3</c:v>
                </c:pt>
                <c:pt idx="2085">
                  <c:v>4.0645911461410162E-3</c:v>
                </c:pt>
                <c:pt idx="2086">
                  <c:v>3.0855327568778345E-3</c:v>
                </c:pt>
                <c:pt idx="2087">
                  <c:v>6.0717892454778093E-3</c:v>
                </c:pt>
                <c:pt idx="2088">
                  <c:v>8.2538754855142442E-3</c:v>
                </c:pt>
                <c:pt idx="2089">
                  <c:v>1.5173589307097959E-2</c:v>
                </c:pt>
                <c:pt idx="2090">
                  <c:v>5.2654748520200257E-3</c:v>
                </c:pt>
                <c:pt idx="2091">
                  <c:v>5.7654718126977436E-3</c:v>
                </c:pt>
                <c:pt idx="2092">
                  <c:v>5.3435568976802697E-3</c:v>
                </c:pt>
                <c:pt idx="2093">
                  <c:v>3.4613938040522602E-3</c:v>
                </c:pt>
                <c:pt idx="2094">
                  <c:v>4.8958962961912211E-3</c:v>
                </c:pt>
                <c:pt idx="2095">
                  <c:v>4.8331955627843133E-3</c:v>
                </c:pt>
                <c:pt idx="2096">
                  <c:v>6.0019764493884397E-3</c:v>
                </c:pt>
                <c:pt idx="2097">
                  <c:v>1.1460058723263583E-2</c:v>
                </c:pt>
                <c:pt idx="2098">
                  <c:v>4.4516425878696145E-3</c:v>
                </c:pt>
                <c:pt idx="2099">
                  <c:v>5.229861345592811E-3</c:v>
                </c:pt>
                <c:pt idx="2100">
                  <c:v>4.8602524690228698E-3</c:v>
                </c:pt>
                <c:pt idx="2101">
                  <c:v>6.7855483153384626E-3</c:v>
                </c:pt>
                <c:pt idx="2102">
                  <c:v>4.9650283922189273E-3</c:v>
                </c:pt>
                <c:pt idx="2103">
                  <c:v>5.6390261092706239E-3</c:v>
                </c:pt>
                <c:pt idx="2104">
                  <c:v>7.6475118072445456E-3</c:v>
                </c:pt>
                <c:pt idx="2105">
                  <c:v>5.2817788563138219E-3</c:v>
                </c:pt>
                <c:pt idx="2106">
                  <c:v>6.9428625139286862E-3</c:v>
                </c:pt>
                <c:pt idx="2107">
                  <c:v>4.3467427193316461E-3</c:v>
                </c:pt>
                <c:pt idx="2108">
                  <c:v>6.8748995118844197E-3</c:v>
                </c:pt>
                <c:pt idx="2109">
                  <c:v>6.5071164351754307E-3</c:v>
                </c:pt>
                <c:pt idx="2110">
                  <c:v>6.9885926360555989E-3</c:v>
                </c:pt>
                <c:pt idx="2111">
                  <c:v>5.738899838937485E-3</c:v>
                </c:pt>
                <c:pt idx="2112">
                  <c:v>6.0833522449202466E-3</c:v>
                </c:pt>
                <c:pt idx="2113">
                  <c:v>7.6658601177444627E-3</c:v>
                </c:pt>
                <c:pt idx="2114">
                  <c:v>2.336400341670692E-2</c:v>
                </c:pt>
                <c:pt idx="2115">
                  <c:v>2.6802827469191746E-2</c:v>
                </c:pt>
                <c:pt idx="2116">
                  <c:v>7.929478147948343E-3</c:v>
                </c:pt>
                <c:pt idx="2117">
                  <c:v>6.4917140706772115E-3</c:v>
                </c:pt>
                <c:pt idx="2118">
                  <c:v>5.2062604252073527E-3</c:v>
                </c:pt>
                <c:pt idx="2119">
                  <c:v>6.3564920912248845E-3</c:v>
                </c:pt>
                <c:pt idx="2120">
                  <c:v>7.8036610232053733E-3</c:v>
                </c:pt>
                <c:pt idx="2121">
                  <c:v>5.5279807097914158E-3</c:v>
                </c:pt>
                <c:pt idx="2122">
                  <c:v>2.3921704023827449E-2</c:v>
                </c:pt>
                <c:pt idx="2123">
                  <c:v>3.380158813268546E-2</c:v>
                </c:pt>
                <c:pt idx="2124">
                  <c:v>8.4174741892573141E-3</c:v>
                </c:pt>
                <c:pt idx="2125">
                  <c:v>1.0364841495440253E-2</c:v>
                </c:pt>
                <c:pt idx="2126">
                  <c:v>4.2190230233240455E-3</c:v>
                </c:pt>
                <c:pt idx="2127">
                  <c:v>1.1077935836198182E-2</c:v>
                </c:pt>
                <c:pt idx="2128">
                  <c:v>5.1817999361069463E-3</c:v>
                </c:pt>
                <c:pt idx="2129">
                  <c:v>5.2955080694169583E-3</c:v>
                </c:pt>
                <c:pt idx="2130">
                  <c:v>8.752999495284278E-3</c:v>
                </c:pt>
                <c:pt idx="2131">
                  <c:v>9.2783335755003034E-3</c:v>
                </c:pt>
                <c:pt idx="2132">
                  <c:v>4.1226708573800456E-3</c:v>
                </c:pt>
                <c:pt idx="2133">
                  <c:v>7.2261408288332015E-3</c:v>
                </c:pt>
                <c:pt idx="2134">
                  <c:v>5.3148140410613585E-3</c:v>
                </c:pt>
                <c:pt idx="2135">
                  <c:v>6.0452360074788264E-3</c:v>
                </c:pt>
                <c:pt idx="2136">
                  <c:v>6.1051926261545776E-3</c:v>
                </c:pt>
                <c:pt idx="2137">
                  <c:v>7.8633753895851529E-3</c:v>
                </c:pt>
                <c:pt idx="2138">
                  <c:v>4.8654059743359016E-3</c:v>
                </c:pt>
                <c:pt idx="2139">
                  <c:v>5.0294272763379139E-3</c:v>
                </c:pt>
                <c:pt idx="2140">
                  <c:v>5.0590475566757529E-3</c:v>
                </c:pt>
                <c:pt idx="2141">
                  <c:v>8.1575620153320691E-3</c:v>
                </c:pt>
                <c:pt idx="2142">
                  <c:v>6.956966709993905E-3</c:v>
                </c:pt>
                <c:pt idx="2143">
                  <c:v>8.0207260696839814E-3</c:v>
                </c:pt>
                <c:pt idx="2144">
                  <c:v>6.641863828705229E-3</c:v>
                </c:pt>
                <c:pt idx="2145">
                  <c:v>8.9181121949756838E-3</c:v>
                </c:pt>
                <c:pt idx="2146">
                  <c:v>4.0688936133485279E-3</c:v>
                </c:pt>
                <c:pt idx="2147">
                  <c:v>4.1355764051403364E-3</c:v>
                </c:pt>
                <c:pt idx="2148">
                  <c:v>7.2017938431942043E-3</c:v>
                </c:pt>
                <c:pt idx="2149">
                  <c:v>5.1869496272489756E-3</c:v>
                </c:pt>
                <c:pt idx="2150">
                  <c:v>4.140308343231992E-3</c:v>
                </c:pt>
                <c:pt idx="2151">
                  <c:v>6.2516232819365717E-3</c:v>
                </c:pt>
                <c:pt idx="2152">
                  <c:v>7.7430852059350895E-3</c:v>
                </c:pt>
                <c:pt idx="2153">
                  <c:v>5.3079497939119286E-3</c:v>
                </c:pt>
                <c:pt idx="2154">
                  <c:v>3.9897213927254658E-3</c:v>
                </c:pt>
                <c:pt idx="2155">
                  <c:v>6.3068430766966008E-3</c:v>
                </c:pt>
                <c:pt idx="2156">
                  <c:v>6.1634282736956125E-3</c:v>
                </c:pt>
                <c:pt idx="2157">
                  <c:v>3.6427424577715781E-3</c:v>
                </c:pt>
                <c:pt idx="2158">
                  <c:v>4.2899830470439796E-3</c:v>
                </c:pt>
                <c:pt idx="2159">
                  <c:v>4.9495712389878849E-3</c:v>
                </c:pt>
                <c:pt idx="2160">
                  <c:v>7.2086282225721924E-3</c:v>
                </c:pt>
                <c:pt idx="2161">
                  <c:v>2.9936732074330834E-3</c:v>
                </c:pt>
                <c:pt idx="2162">
                  <c:v>5.8627456523282981E-3</c:v>
                </c:pt>
                <c:pt idx="2163">
                  <c:v>4.8993316912313185E-3</c:v>
                </c:pt>
                <c:pt idx="2164">
                  <c:v>4.2112812283756794E-3</c:v>
                </c:pt>
                <c:pt idx="2165">
                  <c:v>3.0618150156244113E-3</c:v>
                </c:pt>
                <c:pt idx="2166">
                  <c:v>5.8396075949107874E-3</c:v>
                </c:pt>
                <c:pt idx="2167">
                  <c:v>5.552850486683223E-3</c:v>
                </c:pt>
                <c:pt idx="2168">
                  <c:v>4.6033586332430848E-3</c:v>
                </c:pt>
                <c:pt idx="2169">
                  <c:v>7.2902053223279925E-3</c:v>
                </c:pt>
                <c:pt idx="2170">
                  <c:v>3.1700436310012543E-3</c:v>
                </c:pt>
                <c:pt idx="2171">
                  <c:v>4.0219944208679369E-3</c:v>
                </c:pt>
                <c:pt idx="2172">
                  <c:v>3.3528068250887446E-3</c:v>
                </c:pt>
                <c:pt idx="2173">
                  <c:v>1.7652888495059303E-3</c:v>
                </c:pt>
                <c:pt idx="2174">
                  <c:v>3.1644388270985818E-3</c:v>
                </c:pt>
                <c:pt idx="2175">
                  <c:v>5.2890725548151198E-3</c:v>
                </c:pt>
                <c:pt idx="2176">
                  <c:v>3.7960328443195912E-3</c:v>
                </c:pt>
                <c:pt idx="2177">
                  <c:v>2.4684501283325239E-3</c:v>
                </c:pt>
                <c:pt idx="2178">
                  <c:v>6.1938276051033249E-3</c:v>
                </c:pt>
                <c:pt idx="2179">
                  <c:v>5.430202953888204E-3</c:v>
                </c:pt>
                <c:pt idx="2180">
                  <c:v>2.4213777767196965E-3</c:v>
                </c:pt>
                <c:pt idx="2181">
                  <c:v>2.9932418961158449E-3</c:v>
                </c:pt>
                <c:pt idx="2182">
                  <c:v>3.6061342221068824E-3</c:v>
                </c:pt>
                <c:pt idx="2183">
                  <c:v>7.1988037683962652E-3</c:v>
                </c:pt>
                <c:pt idx="2184">
                  <c:v>2.8055808411253103E-3</c:v>
                </c:pt>
                <c:pt idx="2185">
                  <c:v>4.4327280906092141E-3</c:v>
                </c:pt>
                <c:pt idx="2186">
                  <c:v>4.3828586488286825E-3</c:v>
                </c:pt>
                <c:pt idx="2187">
                  <c:v>4.6325782997882602E-3</c:v>
                </c:pt>
                <c:pt idx="2188">
                  <c:v>1.8703815975915474E-3</c:v>
                </c:pt>
                <c:pt idx="2189">
                  <c:v>4.2998735236266187E-3</c:v>
                </c:pt>
                <c:pt idx="2190">
                  <c:v>4.1076139002720526E-3</c:v>
                </c:pt>
                <c:pt idx="2191">
                  <c:v>3.4083964085309657E-3</c:v>
                </c:pt>
                <c:pt idx="2192">
                  <c:v>3.0493087759536144E-3</c:v>
                </c:pt>
                <c:pt idx="2193">
                  <c:v>2.7335147055831629E-3</c:v>
                </c:pt>
                <c:pt idx="2194">
                  <c:v>4.9083494739203112E-3</c:v>
                </c:pt>
                <c:pt idx="2195">
                  <c:v>3.4230467418849522E-3</c:v>
                </c:pt>
                <c:pt idx="2196">
                  <c:v>4.507091707364891E-3</c:v>
                </c:pt>
                <c:pt idx="2197">
                  <c:v>3.3364302421372708E-3</c:v>
                </c:pt>
                <c:pt idx="2198">
                  <c:v>4.992935747788944E-3</c:v>
                </c:pt>
                <c:pt idx="2199">
                  <c:v>4.0267275966687941E-3</c:v>
                </c:pt>
                <c:pt idx="2200">
                  <c:v>3.9518513149581144E-3</c:v>
                </c:pt>
                <c:pt idx="2201">
                  <c:v>3.6440344567717012E-3</c:v>
                </c:pt>
                <c:pt idx="2202">
                  <c:v>4.9010493785608556E-3</c:v>
                </c:pt>
                <c:pt idx="2203">
                  <c:v>4.4000556549340505E-3</c:v>
                </c:pt>
                <c:pt idx="2204">
                  <c:v>4.8989022683374704E-3</c:v>
                </c:pt>
                <c:pt idx="2205">
                  <c:v>3.3687518519795964E-3</c:v>
                </c:pt>
                <c:pt idx="2206">
                  <c:v>4.2964333834060054E-3</c:v>
                </c:pt>
                <c:pt idx="2207">
                  <c:v>3.8372149924245862E-2</c:v>
                </c:pt>
                <c:pt idx="2208">
                  <c:v>3.7308545074148582E-2</c:v>
                </c:pt>
                <c:pt idx="2209">
                  <c:v>3.6506333579015074E-2</c:v>
                </c:pt>
                <c:pt idx="2210">
                  <c:v>3.7564732988983128E-2</c:v>
                </c:pt>
                <c:pt idx="2211">
                  <c:v>4.4180181936293701E-2</c:v>
                </c:pt>
                <c:pt idx="2212">
                  <c:v>2.906666755722722E-2</c:v>
                </c:pt>
                <c:pt idx="2213">
                  <c:v>3.0199646834935926E-2</c:v>
                </c:pt>
                <c:pt idx="2214">
                  <c:v>4.3056395569399115E-2</c:v>
                </c:pt>
                <c:pt idx="2215">
                  <c:v>4.2330143535533556E-2</c:v>
                </c:pt>
                <c:pt idx="2216">
                  <c:v>3.3809623554895807E-2</c:v>
                </c:pt>
                <c:pt idx="2217">
                  <c:v>3.7199729058454423E-2</c:v>
                </c:pt>
                <c:pt idx="2218">
                  <c:v>4.4395494222929675E-2</c:v>
                </c:pt>
                <c:pt idx="2219">
                  <c:v>3.8981989473455853E-2</c:v>
                </c:pt>
                <c:pt idx="2220">
                  <c:v>3.6333011310157905E-2</c:v>
                </c:pt>
                <c:pt idx="2221">
                  <c:v>4.1840961480310634E-2</c:v>
                </c:pt>
                <c:pt idx="2222">
                  <c:v>3.0614697379545558E-2</c:v>
                </c:pt>
                <c:pt idx="2223">
                  <c:v>2.2871925099201895E-2</c:v>
                </c:pt>
                <c:pt idx="2224">
                  <c:v>4.315706962007608E-2</c:v>
                </c:pt>
                <c:pt idx="2225">
                  <c:v>3.8160591867876674E-2</c:v>
                </c:pt>
                <c:pt idx="2226">
                  <c:v>3.5726638063136036E-2</c:v>
                </c:pt>
                <c:pt idx="2227">
                  <c:v>3.9136796091585747E-2</c:v>
                </c:pt>
                <c:pt idx="2228">
                  <c:v>4.1256058314205132E-2</c:v>
                </c:pt>
                <c:pt idx="2229">
                  <c:v>5.098494896210945E-2</c:v>
                </c:pt>
                <c:pt idx="2230">
                  <c:v>5.430733233992565E-2</c:v>
                </c:pt>
                <c:pt idx="2231">
                  <c:v>5.6193778999063082E-2</c:v>
                </c:pt>
                <c:pt idx="2232">
                  <c:v>5.5653119188984836E-2</c:v>
                </c:pt>
                <c:pt idx="2233">
                  <c:v>5.3953069116652763E-2</c:v>
                </c:pt>
                <c:pt idx="2234">
                  <c:v>4.3137015322964149E-2</c:v>
                </c:pt>
                <c:pt idx="2235">
                  <c:v>5.3035011863612244E-2</c:v>
                </c:pt>
                <c:pt idx="2236">
                  <c:v>3.6405303890791815E-2</c:v>
                </c:pt>
                <c:pt idx="2237">
                  <c:v>4.391805500171455E-2</c:v>
                </c:pt>
                <c:pt idx="2238">
                  <c:v>4.9302934450538641E-2</c:v>
                </c:pt>
                <c:pt idx="2239">
                  <c:v>4.3749629535380363E-2</c:v>
                </c:pt>
                <c:pt idx="2240">
                  <c:v>3.6622508631642355E-2</c:v>
                </c:pt>
                <c:pt idx="2241">
                  <c:v>3.9652419980503298E-2</c:v>
                </c:pt>
                <c:pt idx="2242">
                  <c:v>3.1526818619131459E-2</c:v>
                </c:pt>
                <c:pt idx="2243">
                  <c:v>2.9930968576177466E-2</c:v>
                </c:pt>
                <c:pt idx="2244">
                  <c:v>3.2869676722202326E-2</c:v>
                </c:pt>
                <c:pt idx="2245">
                  <c:v>3.3520254650084964E-2</c:v>
                </c:pt>
                <c:pt idx="2246">
                  <c:v>3.757986844837382E-2</c:v>
                </c:pt>
                <c:pt idx="2247">
                  <c:v>3.6553446109182673E-2</c:v>
                </c:pt>
                <c:pt idx="2248">
                  <c:v>2.8271453514756541E-2</c:v>
                </c:pt>
                <c:pt idx="2249">
                  <c:v>2.7477226743249757E-2</c:v>
                </c:pt>
                <c:pt idx="2250">
                  <c:v>3.529522616140926E-2</c:v>
                </c:pt>
                <c:pt idx="2251">
                  <c:v>3.1298159646251496E-2</c:v>
                </c:pt>
                <c:pt idx="2252">
                  <c:v>2.5228013049918323E-2</c:v>
                </c:pt>
                <c:pt idx="2253">
                  <c:v>3.3848593243638203E-2</c:v>
                </c:pt>
                <c:pt idx="2254">
                  <c:v>3.2895444782286315E-2</c:v>
                </c:pt>
                <c:pt idx="2255">
                  <c:v>3.0396895919993248E-2</c:v>
                </c:pt>
                <c:pt idx="2256">
                  <c:v>3.6578597316611616E-2</c:v>
                </c:pt>
                <c:pt idx="2257">
                  <c:v>3.6396916970885491E-2</c:v>
                </c:pt>
                <c:pt idx="2258">
                  <c:v>2.8855809390444003E-2</c:v>
                </c:pt>
                <c:pt idx="2259">
                  <c:v>3.213343359874065E-2</c:v>
                </c:pt>
                <c:pt idx="2260">
                  <c:v>3.29707270740216E-2</c:v>
                </c:pt>
                <c:pt idx="2261">
                  <c:v>3.1609203300642798E-2</c:v>
                </c:pt>
                <c:pt idx="2262">
                  <c:v>3.2925639782173576E-2</c:v>
                </c:pt>
                <c:pt idx="2263">
                  <c:v>2.983083024162007E-2</c:v>
                </c:pt>
                <c:pt idx="2264">
                  <c:v>2.6636616762602313E-2</c:v>
                </c:pt>
                <c:pt idx="2265">
                  <c:v>2.8762332754309904E-2</c:v>
                </c:pt>
                <c:pt idx="2266">
                  <c:v>2.8783468362738387E-2</c:v>
                </c:pt>
                <c:pt idx="2267">
                  <c:v>2.6984891983584371E-2</c:v>
                </c:pt>
                <c:pt idx="2268">
                  <c:v>3.2551476252494618E-2</c:v>
                </c:pt>
                <c:pt idx="2269">
                  <c:v>2.9793525850103982E-2</c:v>
                </c:pt>
                <c:pt idx="2270">
                  <c:v>2.3380465017609636E-2</c:v>
                </c:pt>
                <c:pt idx="2271">
                  <c:v>2.912271666521854E-2</c:v>
                </c:pt>
                <c:pt idx="2272">
                  <c:v>3.1844963271845439E-2</c:v>
                </c:pt>
                <c:pt idx="2273">
                  <c:v>2.9439380054685962E-2</c:v>
                </c:pt>
                <c:pt idx="2274">
                  <c:v>3.1030564684881686E-2</c:v>
                </c:pt>
                <c:pt idx="2275">
                  <c:v>2.5167770443438223E-2</c:v>
                </c:pt>
                <c:pt idx="2276">
                  <c:v>2.6345697056668557E-2</c:v>
                </c:pt>
                <c:pt idx="2277">
                  <c:v>3.087122291495336E-2</c:v>
                </c:pt>
                <c:pt idx="2278">
                  <c:v>2.6230419341480543E-2</c:v>
                </c:pt>
                <c:pt idx="2279">
                  <c:v>2.3930746362454493E-2</c:v>
                </c:pt>
                <c:pt idx="2280">
                  <c:v>2.9537985727573348E-2</c:v>
                </c:pt>
                <c:pt idx="2281">
                  <c:v>2.5201376193283272E-2</c:v>
                </c:pt>
                <c:pt idx="2282">
                  <c:v>3.1472290750201679E-2</c:v>
                </c:pt>
                <c:pt idx="2283">
                  <c:v>3.0043647268469285E-2</c:v>
                </c:pt>
                <c:pt idx="2284">
                  <c:v>2.2338450958802953E-2</c:v>
                </c:pt>
                <c:pt idx="2285">
                  <c:v>1.7095555878375617E-2</c:v>
                </c:pt>
                <c:pt idx="2286">
                  <c:v>1.9241781342117955E-2</c:v>
                </c:pt>
                <c:pt idx="2287">
                  <c:v>2.3415032348634537E-2</c:v>
                </c:pt>
                <c:pt idx="2288">
                  <c:v>2.0109667072119704E-2</c:v>
                </c:pt>
                <c:pt idx="2289">
                  <c:v>2.9017517096966837E-2</c:v>
                </c:pt>
                <c:pt idx="2290">
                  <c:v>3.5445348489059975E-2</c:v>
                </c:pt>
                <c:pt idx="2291">
                  <c:v>3.8728622690127973E-2</c:v>
                </c:pt>
                <c:pt idx="2292">
                  <c:v>4.096014942158057E-2</c:v>
                </c:pt>
                <c:pt idx="2293">
                  <c:v>4.0861731833666814E-2</c:v>
                </c:pt>
                <c:pt idx="2294">
                  <c:v>4.281129828170506E-2</c:v>
                </c:pt>
                <c:pt idx="2295">
                  <c:v>4.6609088284884588E-2</c:v>
                </c:pt>
                <c:pt idx="2296">
                  <c:v>4.0157534083726805E-2</c:v>
                </c:pt>
                <c:pt idx="2297">
                  <c:v>3.9838687277456049E-2</c:v>
                </c:pt>
                <c:pt idx="2298">
                  <c:v>2.9403259617516674E-2</c:v>
                </c:pt>
                <c:pt idx="2299">
                  <c:v>3.0306990610229515E-2</c:v>
                </c:pt>
                <c:pt idx="2300">
                  <c:v>3.9183624145347089E-2</c:v>
                </c:pt>
                <c:pt idx="2301">
                  <c:v>3.7810817911265997E-2</c:v>
                </c:pt>
                <c:pt idx="2302">
                  <c:v>2.9068292270852995E-2</c:v>
                </c:pt>
                <c:pt idx="2303">
                  <c:v>3.9477969652620279E-2</c:v>
                </c:pt>
                <c:pt idx="2304">
                  <c:v>3.4290674373681836E-2</c:v>
                </c:pt>
                <c:pt idx="2305">
                  <c:v>3.3360215164775088E-2</c:v>
                </c:pt>
                <c:pt idx="2306">
                  <c:v>3.9193147877374143E-2</c:v>
                </c:pt>
                <c:pt idx="2307">
                  <c:v>3.5173889405149893E-2</c:v>
                </c:pt>
                <c:pt idx="2308">
                  <c:v>3.4360900153783194E-2</c:v>
                </c:pt>
                <c:pt idx="2309">
                  <c:v>2.0539853680417625E-2</c:v>
                </c:pt>
                <c:pt idx="2310">
                  <c:v>1.4890413546936472E-2</c:v>
                </c:pt>
                <c:pt idx="2311">
                  <c:v>1.4878663007500972E-2</c:v>
                </c:pt>
                <c:pt idx="2312">
                  <c:v>1.71598508972804E-2</c:v>
                </c:pt>
                <c:pt idx="2313">
                  <c:v>2.4450364444437094E-2</c:v>
                </c:pt>
                <c:pt idx="2314">
                  <c:v>1.6503511046409357E-2</c:v>
                </c:pt>
                <c:pt idx="2315">
                  <c:v>2.4754863250310091E-2</c:v>
                </c:pt>
                <c:pt idx="2316">
                  <c:v>2.4543131976157321E-2</c:v>
                </c:pt>
                <c:pt idx="2317">
                  <c:v>1.8512846242864863E-2</c:v>
                </c:pt>
                <c:pt idx="2318">
                  <c:v>2.8490323240637515E-2</c:v>
                </c:pt>
                <c:pt idx="2319">
                  <c:v>4.1574261251028914E-2</c:v>
                </c:pt>
                <c:pt idx="2320">
                  <c:v>4.5628833480080941E-2</c:v>
                </c:pt>
                <c:pt idx="2321">
                  <c:v>3.8293821831644065E-2</c:v>
                </c:pt>
                <c:pt idx="2322">
                  <c:v>4.1022192422021216E-2</c:v>
                </c:pt>
                <c:pt idx="2323">
                  <c:v>4.383915050294622E-2</c:v>
                </c:pt>
                <c:pt idx="2324">
                  <c:v>4.0108039059917715E-2</c:v>
                </c:pt>
                <c:pt idx="2325">
                  <c:v>4.6445215646064172E-2</c:v>
                </c:pt>
                <c:pt idx="2326">
                  <c:v>4.8509389740033451E-2</c:v>
                </c:pt>
                <c:pt idx="2327">
                  <c:v>3.9081230833839062E-2</c:v>
                </c:pt>
                <c:pt idx="2328">
                  <c:v>3.8952212642628957E-2</c:v>
                </c:pt>
                <c:pt idx="2329">
                  <c:v>4.1909977020292324E-2</c:v>
                </c:pt>
                <c:pt idx="2330">
                  <c:v>3.9007397421447355E-2</c:v>
                </c:pt>
                <c:pt idx="2331">
                  <c:v>4.4830499249352458E-2</c:v>
                </c:pt>
                <c:pt idx="2332">
                  <c:v>3.8173717828476839E-2</c:v>
                </c:pt>
                <c:pt idx="2333">
                  <c:v>4.1803096867955337E-2</c:v>
                </c:pt>
                <c:pt idx="2334">
                  <c:v>3.5719038037202971E-2</c:v>
                </c:pt>
                <c:pt idx="2335">
                  <c:v>1.9965762010574043E-2</c:v>
                </c:pt>
                <c:pt idx="2336">
                  <c:v>2.7744167512301313E-2</c:v>
                </c:pt>
                <c:pt idx="2337">
                  <c:v>2.1392749393961252E-2</c:v>
                </c:pt>
                <c:pt idx="2338">
                  <c:v>3.0577055492835153E-2</c:v>
                </c:pt>
                <c:pt idx="2339">
                  <c:v>3.7968032187072932E-2</c:v>
                </c:pt>
                <c:pt idx="2340">
                  <c:v>5.6509615951943024E-2</c:v>
                </c:pt>
                <c:pt idx="2341">
                  <c:v>4.6243411289758889E-2</c:v>
                </c:pt>
                <c:pt idx="2342">
                  <c:v>5.1702666235370329E-2</c:v>
                </c:pt>
                <c:pt idx="2343">
                  <c:v>5.0844353584735325E-2</c:v>
                </c:pt>
                <c:pt idx="2344">
                  <c:v>4.3790465949817531E-2</c:v>
                </c:pt>
                <c:pt idx="2345">
                  <c:v>3.8190820757663259E-2</c:v>
                </c:pt>
                <c:pt idx="2346">
                  <c:v>4.5168796442883762E-2</c:v>
                </c:pt>
                <c:pt idx="2347">
                  <c:v>5.2469620332121901E-2</c:v>
                </c:pt>
                <c:pt idx="2348">
                  <c:v>6.4270003866879852E-2</c:v>
                </c:pt>
                <c:pt idx="2349">
                  <c:v>5.7550859874575117E-2</c:v>
                </c:pt>
                <c:pt idx="2350">
                  <c:v>5.5018230284756449E-3</c:v>
                </c:pt>
                <c:pt idx="2351">
                  <c:v>7.4063515036713219E-3</c:v>
                </c:pt>
                <c:pt idx="2352">
                  <c:v>5.0393009275853488E-3</c:v>
                </c:pt>
                <c:pt idx="2353">
                  <c:v>5.0259929102414924E-3</c:v>
                </c:pt>
                <c:pt idx="2354">
                  <c:v>7.2850805106089494E-3</c:v>
                </c:pt>
                <c:pt idx="2355">
                  <c:v>7.9337424965581164E-3</c:v>
                </c:pt>
                <c:pt idx="2356">
                  <c:v>4.3170738159901724E-3</c:v>
                </c:pt>
                <c:pt idx="2357">
                  <c:v>6.8877235338870484E-3</c:v>
                </c:pt>
                <c:pt idx="2358">
                  <c:v>5.7967560849994069E-3</c:v>
                </c:pt>
                <c:pt idx="2359">
                  <c:v>5.0182654872241109E-3</c:v>
                </c:pt>
                <c:pt idx="2360">
                  <c:v>6.0632238622166041E-3</c:v>
                </c:pt>
                <c:pt idx="2361">
                  <c:v>7.1526685766019008E-3</c:v>
                </c:pt>
                <c:pt idx="2362">
                  <c:v>1.5950848645009404E-2</c:v>
                </c:pt>
                <c:pt idx="2363">
                  <c:v>9.1899007444907078E-3</c:v>
                </c:pt>
                <c:pt idx="2364">
                  <c:v>8.1379557721936845E-3</c:v>
                </c:pt>
                <c:pt idx="2365">
                  <c:v>6.4266758421211633E-3</c:v>
                </c:pt>
                <c:pt idx="2366">
                  <c:v>4.2362265180173738E-3</c:v>
                </c:pt>
                <c:pt idx="2367">
                  <c:v>6.5075442708362446E-3</c:v>
                </c:pt>
                <c:pt idx="2368">
                  <c:v>6.2546198850728651E-3</c:v>
                </c:pt>
                <c:pt idx="2369">
                  <c:v>7.4276985253228581E-3</c:v>
                </c:pt>
                <c:pt idx="2370">
                  <c:v>4.5522194858126381E-3</c:v>
                </c:pt>
                <c:pt idx="2371">
                  <c:v>7.3914079641706756E-3</c:v>
                </c:pt>
                <c:pt idx="2372">
                  <c:v>9.2120106404620858E-3</c:v>
                </c:pt>
                <c:pt idx="2373">
                  <c:v>7.4981362530776551E-3</c:v>
                </c:pt>
                <c:pt idx="2374">
                  <c:v>8.0527009451057691E-3</c:v>
                </c:pt>
                <c:pt idx="2375">
                  <c:v>1.1018238447228917E-2</c:v>
                </c:pt>
                <c:pt idx="2376">
                  <c:v>7.9580484841257071E-3</c:v>
                </c:pt>
                <c:pt idx="2377">
                  <c:v>5.6788926268052193E-3</c:v>
                </c:pt>
                <c:pt idx="2378">
                  <c:v>9.8803035201924065E-3</c:v>
                </c:pt>
                <c:pt idx="2379">
                  <c:v>4.9388367811150939E-3</c:v>
                </c:pt>
                <c:pt idx="2380">
                  <c:v>5.2641876677176694E-3</c:v>
                </c:pt>
                <c:pt idx="2381">
                  <c:v>4.9328253688110052E-3</c:v>
                </c:pt>
                <c:pt idx="2382">
                  <c:v>1.0686578020967974E-2</c:v>
                </c:pt>
                <c:pt idx="2383">
                  <c:v>5.6415982530979196E-3</c:v>
                </c:pt>
                <c:pt idx="2384">
                  <c:v>4.6067963431111391E-3</c:v>
                </c:pt>
                <c:pt idx="2385">
                  <c:v>6.7316722034868231E-3</c:v>
                </c:pt>
                <c:pt idx="2386">
                  <c:v>6.6773617392603419E-3</c:v>
                </c:pt>
                <c:pt idx="2387">
                  <c:v>4.2779421628351081E-3</c:v>
                </c:pt>
                <c:pt idx="2388">
                  <c:v>3.9471173230403037E-3</c:v>
                </c:pt>
                <c:pt idx="2389">
                  <c:v>6.5460477544838115E-3</c:v>
                </c:pt>
                <c:pt idx="2390">
                  <c:v>6.9945756603018308E-3</c:v>
                </c:pt>
                <c:pt idx="2391">
                  <c:v>4.3927470105438017E-3</c:v>
                </c:pt>
                <c:pt idx="2392">
                  <c:v>4.2203133090649141E-3</c:v>
                </c:pt>
                <c:pt idx="2393">
                  <c:v>7.7021277532991761E-3</c:v>
                </c:pt>
                <c:pt idx="2394">
                  <c:v>4.0198429602691611E-3</c:v>
                </c:pt>
                <c:pt idx="2395">
                  <c:v>3.3092782307916268E-3</c:v>
                </c:pt>
                <c:pt idx="2396">
                  <c:v>1.2911006334903557E-2</c:v>
                </c:pt>
                <c:pt idx="2397">
                  <c:v>6.9125155693955621E-3</c:v>
                </c:pt>
                <c:pt idx="2398">
                  <c:v>3.4769040135224556E-3</c:v>
                </c:pt>
                <c:pt idx="2399">
                  <c:v>5.0955335308460348E-3</c:v>
                </c:pt>
                <c:pt idx="2400">
                  <c:v>4.8933197320774804E-3</c:v>
                </c:pt>
                <c:pt idx="2401">
                  <c:v>5.6257364568090273E-3</c:v>
                </c:pt>
                <c:pt idx="2402">
                  <c:v>6.7727212758654188E-3</c:v>
                </c:pt>
                <c:pt idx="2403">
                  <c:v>7.0603834875568846E-3</c:v>
                </c:pt>
                <c:pt idx="2404">
                  <c:v>5.6051581280442938E-3</c:v>
                </c:pt>
                <c:pt idx="2405">
                  <c:v>7.0971289744369585E-3</c:v>
                </c:pt>
                <c:pt idx="2406">
                  <c:v>7.5992904584934063E-3</c:v>
                </c:pt>
                <c:pt idx="2407">
                  <c:v>5.0933873819207437E-3</c:v>
                </c:pt>
                <c:pt idx="2408">
                  <c:v>5.6793212791506863E-3</c:v>
                </c:pt>
                <c:pt idx="2409">
                  <c:v>4.3583517384981774E-3</c:v>
                </c:pt>
                <c:pt idx="2410">
                  <c:v>3.9699260821833126E-3</c:v>
                </c:pt>
                <c:pt idx="2411">
                  <c:v>5.673748765659594E-3</c:v>
                </c:pt>
                <c:pt idx="2412">
                  <c:v>1.0934817712858237E-2</c:v>
                </c:pt>
                <c:pt idx="2413">
                  <c:v>4.3905973858449901E-3</c:v>
                </c:pt>
                <c:pt idx="2414">
                  <c:v>4.0680331233169699E-3</c:v>
                </c:pt>
                <c:pt idx="2415">
                  <c:v>5.708897269283756E-3</c:v>
                </c:pt>
                <c:pt idx="2416">
                  <c:v>4.9564411527872106E-3</c:v>
                </c:pt>
                <c:pt idx="2417">
                  <c:v>0.18073472261098494</c:v>
                </c:pt>
                <c:pt idx="2418">
                  <c:v>4.6501950899468575E-3</c:v>
                </c:pt>
                <c:pt idx="2419">
                  <c:v>4.5500706503106983E-3</c:v>
                </c:pt>
                <c:pt idx="2420">
                  <c:v>6.4155499064036349E-3</c:v>
                </c:pt>
                <c:pt idx="2421">
                  <c:v>3.8360688930173708E-3</c:v>
                </c:pt>
                <c:pt idx="2422">
                  <c:v>3.4635480329366897E-3</c:v>
                </c:pt>
                <c:pt idx="2423">
                  <c:v>2.8979115856576582E-3</c:v>
                </c:pt>
                <c:pt idx="2424">
                  <c:v>6.812483865134741E-3</c:v>
                </c:pt>
                <c:pt idx="2425">
                  <c:v>5.933866036354229E-3</c:v>
                </c:pt>
                <c:pt idx="2426">
                  <c:v>3.4618246506839577E-3</c:v>
                </c:pt>
                <c:pt idx="2427">
                  <c:v>4.5853102099818639E-3</c:v>
                </c:pt>
                <c:pt idx="2428">
                  <c:v>3.749534736222384E-3</c:v>
                </c:pt>
                <c:pt idx="2429">
                  <c:v>3.8679228973678209E-3</c:v>
                </c:pt>
                <c:pt idx="2430">
                  <c:v>3.4820739602538062E-3</c:v>
                </c:pt>
                <c:pt idx="2431">
                  <c:v>4.5951939632458104E-3</c:v>
                </c:pt>
                <c:pt idx="2432">
                  <c:v>4.3850083118322147E-3</c:v>
                </c:pt>
                <c:pt idx="2433">
                  <c:v>6.679500074950849E-3</c:v>
                </c:pt>
                <c:pt idx="2434">
                  <c:v>4.8714183199109586E-3</c:v>
                </c:pt>
                <c:pt idx="2435">
                  <c:v>3.5807219852372969E-3</c:v>
                </c:pt>
                <c:pt idx="2436">
                  <c:v>4.723232694040012E-3</c:v>
                </c:pt>
                <c:pt idx="2437">
                  <c:v>7.5169177178825439E-3</c:v>
                </c:pt>
                <c:pt idx="2438">
                  <c:v>1.0742931560260896E-2</c:v>
                </c:pt>
                <c:pt idx="2439">
                  <c:v>9.2702563237835878E-3</c:v>
                </c:pt>
                <c:pt idx="2440">
                  <c:v>7.3205258876458497E-3</c:v>
                </c:pt>
                <c:pt idx="2441">
                  <c:v>3.9996187096526534E-3</c:v>
                </c:pt>
                <c:pt idx="2442">
                  <c:v>5.5837213320053224E-3</c:v>
                </c:pt>
                <c:pt idx="2443">
                  <c:v>6.7817002432757865E-3</c:v>
                </c:pt>
                <c:pt idx="2444">
                  <c:v>9.7172550404421645E-3</c:v>
                </c:pt>
                <c:pt idx="2445">
                  <c:v>3.0368021761341553E-3</c:v>
                </c:pt>
                <c:pt idx="2446">
                  <c:v>5.9248695228073852E-3</c:v>
                </c:pt>
                <c:pt idx="2447">
                  <c:v>7.3666432523157577E-3</c:v>
                </c:pt>
                <c:pt idx="2448">
                  <c:v>4.7064780940795957E-3</c:v>
                </c:pt>
                <c:pt idx="2449">
                  <c:v>6.1861209336968696E-3</c:v>
                </c:pt>
                <c:pt idx="2450">
                  <c:v>8.3970277212325663E-3</c:v>
                </c:pt>
                <c:pt idx="2451">
                  <c:v>6.5430531615128127E-3</c:v>
                </c:pt>
                <c:pt idx="2452">
                  <c:v>3.0178259575761182E-3</c:v>
                </c:pt>
                <c:pt idx="2453">
                  <c:v>3.8244459042512681E-3</c:v>
                </c:pt>
                <c:pt idx="2454">
                  <c:v>4.391887161941113E-3</c:v>
                </c:pt>
                <c:pt idx="2455">
                  <c:v>2.4351977117659826E-3</c:v>
                </c:pt>
                <c:pt idx="2456">
                  <c:v>2.773217289512291E-3</c:v>
                </c:pt>
                <c:pt idx="2457">
                  <c:v>2.5802804847045177E-3</c:v>
                </c:pt>
                <c:pt idx="2458">
                  <c:v>2.7197042603451828E-3</c:v>
                </c:pt>
                <c:pt idx="2459">
                  <c:v>1.7376058695765778E-3</c:v>
                </c:pt>
                <c:pt idx="2460">
                  <c:v>1.4208562137275067E-3</c:v>
                </c:pt>
                <c:pt idx="2461">
                  <c:v>1.5982990976630398E-3</c:v>
                </c:pt>
                <c:pt idx="2462">
                  <c:v>5.2993693324041666E-3</c:v>
                </c:pt>
                <c:pt idx="2463">
                  <c:v>9.478941307807175E-3</c:v>
                </c:pt>
                <c:pt idx="2464">
                  <c:v>4.875712801505264E-3</c:v>
                </c:pt>
                <c:pt idx="2465">
                  <c:v>9.3204178776488487E-3</c:v>
                </c:pt>
                <c:pt idx="2466">
                  <c:v>5.7144693317989857E-3</c:v>
                </c:pt>
                <c:pt idx="2467">
                  <c:v>6.9856010930229957E-3</c:v>
                </c:pt>
                <c:pt idx="2468">
                  <c:v>8.36933826131777E-3</c:v>
                </c:pt>
                <c:pt idx="2469">
                  <c:v>2.3980556390651954E-3</c:v>
                </c:pt>
                <c:pt idx="2470">
                  <c:v>1.2177899271807457E-3</c:v>
                </c:pt>
                <c:pt idx="2471">
                  <c:v>2.929834472459078E-3</c:v>
                </c:pt>
                <c:pt idx="2472">
                  <c:v>5.8576039683226585E-3</c:v>
                </c:pt>
                <c:pt idx="2473">
                  <c:v>1.028723298227985E-2</c:v>
                </c:pt>
                <c:pt idx="2474">
                  <c:v>6.3791746658031206E-3</c:v>
                </c:pt>
                <c:pt idx="2475">
                  <c:v>4.6867154273835887E-3</c:v>
                </c:pt>
                <c:pt idx="2476">
                  <c:v>5.2341522842354622E-3</c:v>
                </c:pt>
                <c:pt idx="2477">
                  <c:v>5.2011109630414436E-3</c:v>
                </c:pt>
                <c:pt idx="2478">
                  <c:v>3.4700106554769561E-3</c:v>
                </c:pt>
                <c:pt idx="2479">
                  <c:v>3.6608300940136687E-3</c:v>
                </c:pt>
                <c:pt idx="2480">
                  <c:v>2.3842345220303502E-3</c:v>
                </c:pt>
                <c:pt idx="2481">
                  <c:v>5.6218780944377739E-3</c:v>
                </c:pt>
                <c:pt idx="2482">
                  <c:v>4.7077669324095944E-3</c:v>
                </c:pt>
                <c:pt idx="2483">
                  <c:v>4.5694097870805682E-3</c:v>
                </c:pt>
                <c:pt idx="2484">
                  <c:v>3.0044558511515499E-3</c:v>
                </c:pt>
                <c:pt idx="2485">
                  <c:v>7.8697728704596962E-3</c:v>
                </c:pt>
                <c:pt idx="2486">
                  <c:v>7.1492509600171927E-3</c:v>
                </c:pt>
                <c:pt idx="2487">
                  <c:v>3.7422151360661398E-3</c:v>
                </c:pt>
                <c:pt idx="2488">
                  <c:v>6.9338868779381807E-3</c:v>
                </c:pt>
                <c:pt idx="2489">
                  <c:v>8.1290048016951621E-3</c:v>
                </c:pt>
                <c:pt idx="2490">
                  <c:v>4.646328050883575E-3</c:v>
                </c:pt>
                <c:pt idx="2491">
                  <c:v>5.7204699345579481E-3</c:v>
                </c:pt>
                <c:pt idx="2492">
                  <c:v>5.1278353106664357E-2</c:v>
                </c:pt>
                <c:pt idx="2493">
                  <c:v>4.4709838822497197E-2</c:v>
                </c:pt>
                <c:pt idx="2494">
                  <c:v>5.2193580433474843E-2</c:v>
                </c:pt>
                <c:pt idx="2495">
                  <c:v>4.4300989587490978E-2</c:v>
                </c:pt>
                <c:pt idx="2496">
                  <c:v>4.5215369976435993E-2</c:v>
                </c:pt>
                <c:pt idx="2497">
                  <c:v>4.9396744601947297E-2</c:v>
                </c:pt>
                <c:pt idx="2498">
                  <c:v>4.6981473464788211E-2</c:v>
                </c:pt>
                <c:pt idx="2499">
                  <c:v>6.2653044784042183E-2</c:v>
                </c:pt>
                <c:pt idx="2500">
                  <c:v>5.922137573084927E-2</c:v>
                </c:pt>
                <c:pt idx="2501">
                  <c:v>5.4688494223856764E-2</c:v>
                </c:pt>
                <c:pt idx="2502">
                  <c:v>6.0473082016128839E-2</c:v>
                </c:pt>
                <c:pt idx="2503">
                  <c:v>5.5816991864868763E-2</c:v>
                </c:pt>
                <c:pt idx="2504">
                  <c:v>4.801973465247919E-2</c:v>
                </c:pt>
                <c:pt idx="2505">
                  <c:v>5.2113469070458288E-2</c:v>
                </c:pt>
                <c:pt idx="2506">
                  <c:v>6.3261283359723947E-2</c:v>
                </c:pt>
                <c:pt idx="2507">
                  <c:v>3.9191163783757789E-2</c:v>
                </c:pt>
                <c:pt idx="2508">
                  <c:v>6.9745774667369476E-2</c:v>
                </c:pt>
                <c:pt idx="2509">
                  <c:v>3.9308209800662734E-2</c:v>
                </c:pt>
                <c:pt idx="2510">
                  <c:v>3.4751549434268371E-2</c:v>
                </c:pt>
                <c:pt idx="2511">
                  <c:v>4.3902353756428786E-2</c:v>
                </c:pt>
                <c:pt idx="2512">
                  <c:v>4.2860092717507958E-2</c:v>
                </c:pt>
                <c:pt idx="2513">
                  <c:v>4.9462632180025452E-2</c:v>
                </c:pt>
                <c:pt idx="2514">
                  <c:v>4.1545450981900198E-2</c:v>
                </c:pt>
                <c:pt idx="2515">
                  <c:v>3.9349465961600223E-2</c:v>
                </c:pt>
                <c:pt idx="2516">
                  <c:v>3.59641718245216E-2</c:v>
                </c:pt>
                <c:pt idx="2517">
                  <c:v>4.1758917314015265E-2</c:v>
                </c:pt>
                <c:pt idx="2518">
                  <c:v>4.8413056810420622E-2</c:v>
                </c:pt>
                <c:pt idx="2519">
                  <c:v>4.4125258256492737E-2</c:v>
                </c:pt>
                <c:pt idx="2520">
                  <c:v>3.6883489729611613E-2</c:v>
                </c:pt>
                <c:pt idx="2521">
                  <c:v>4.0925765088390909E-2</c:v>
                </c:pt>
                <c:pt idx="2522">
                  <c:v>3.9285199854635099E-2</c:v>
                </c:pt>
                <c:pt idx="2523">
                  <c:v>4.4785451388158766E-2</c:v>
                </c:pt>
                <c:pt idx="2524">
                  <c:v>4.0629235478678277E-2</c:v>
                </c:pt>
                <c:pt idx="2525">
                  <c:v>3.8428601007471981E-2</c:v>
                </c:pt>
                <c:pt idx="2526">
                  <c:v>4.0306776923403786E-2</c:v>
                </c:pt>
                <c:pt idx="2527">
                  <c:v>3.6273490706336883E-2</c:v>
                </c:pt>
                <c:pt idx="2528">
                  <c:v>3.861896992295645E-2</c:v>
                </c:pt>
                <c:pt idx="2529">
                  <c:v>4.1392685158225077E-2</c:v>
                </c:pt>
                <c:pt idx="2530">
                  <c:v>3.5298028920202416E-2</c:v>
                </c:pt>
                <c:pt idx="2531">
                  <c:v>3.6096478567422381E-2</c:v>
                </c:pt>
                <c:pt idx="2532">
                  <c:v>4.170487014078611E-2</c:v>
                </c:pt>
                <c:pt idx="2533">
                  <c:v>3.588420863362568E-2</c:v>
                </c:pt>
                <c:pt idx="2534">
                  <c:v>3.5739037819932526E-2</c:v>
                </c:pt>
                <c:pt idx="2535">
                  <c:v>3.0145357239247009E-2</c:v>
                </c:pt>
                <c:pt idx="2536">
                  <c:v>3.7191756117196301E-2</c:v>
                </c:pt>
                <c:pt idx="2537">
                  <c:v>3.1263001741671965E-2</c:v>
                </c:pt>
                <c:pt idx="2538">
                  <c:v>3.4148582924788402E-2</c:v>
                </c:pt>
                <c:pt idx="2539">
                  <c:v>4.2100403021885544E-2</c:v>
                </c:pt>
                <c:pt idx="2540">
                  <c:v>3.7943757242243685E-2</c:v>
                </c:pt>
                <c:pt idx="2541">
                  <c:v>3.3818864106644114E-2</c:v>
                </c:pt>
                <c:pt idx="2542">
                  <c:v>3.9957935659169171E-2</c:v>
                </c:pt>
                <c:pt idx="2543">
                  <c:v>4.0476146973355547E-2</c:v>
                </c:pt>
                <c:pt idx="2544">
                  <c:v>3.3879927158113103E-2</c:v>
                </c:pt>
                <c:pt idx="2545">
                  <c:v>2.8805415790537924E-2</c:v>
                </c:pt>
                <c:pt idx="2546">
                  <c:v>3.1577301283049579E-2</c:v>
                </c:pt>
                <c:pt idx="2547">
                  <c:v>2.1436156332589565E-2</c:v>
                </c:pt>
                <c:pt idx="2548">
                  <c:v>2.6489546885952966E-2</c:v>
                </c:pt>
                <c:pt idx="2549">
                  <c:v>3.7121587921921592E-2</c:v>
                </c:pt>
                <c:pt idx="2550">
                  <c:v>1.6475079274344766E-2</c:v>
                </c:pt>
                <c:pt idx="2551">
                  <c:v>3.171619928605094E-2</c:v>
                </c:pt>
                <c:pt idx="2552">
                  <c:v>2.8570032762504308E-2</c:v>
                </c:pt>
                <c:pt idx="2553">
                  <c:v>2.5540566681969312E-2</c:v>
                </c:pt>
                <c:pt idx="2554">
                  <c:v>2.5960091667059225E-2</c:v>
                </c:pt>
                <c:pt idx="2555">
                  <c:v>3.30210421855213E-2</c:v>
                </c:pt>
                <c:pt idx="2556">
                  <c:v>3.3871893036583889E-2</c:v>
                </c:pt>
                <c:pt idx="2557">
                  <c:v>2.7676938349640669E-2</c:v>
                </c:pt>
                <c:pt idx="2558">
                  <c:v>4.0100911311847093E-2</c:v>
                </c:pt>
                <c:pt idx="2559">
                  <c:v>3.5771035556714008E-2</c:v>
                </c:pt>
                <c:pt idx="2560">
                  <c:v>2.3327374115876907E-2</c:v>
                </c:pt>
                <c:pt idx="2561">
                  <c:v>2.9635757723551599E-2</c:v>
                </c:pt>
                <c:pt idx="2562">
                  <c:v>2.771768453905157E-2</c:v>
                </c:pt>
                <c:pt idx="2563">
                  <c:v>2.2403211897013796E-2</c:v>
                </c:pt>
                <c:pt idx="2564">
                  <c:v>3.8707568328147104E-2</c:v>
                </c:pt>
                <c:pt idx="2565">
                  <c:v>2.7719721748175205E-2</c:v>
                </c:pt>
                <c:pt idx="2566">
                  <c:v>3.8082225606539129E-2</c:v>
                </c:pt>
                <c:pt idx="2567">
                  <c:v>2.3205940292626352E-2</c:v>
                </c:pt>
                <c:pt idx="2568">
                  <c:v>3.9170925511094523E-2</c:v>
                </c:pt>
                <c:pt idx="2569">
                  <c:v>3.5466961830578014E-2</c:v>
                </c:pt>
                <c:pt idx="2570">
                  <c:v>4.7394038576200864E-2</c:v>
                </c:pt>
                <c:pt idx="2571">
                  <c:v>2.9088194519506342E-2</c:v>
                </c:pt>
                <c:pt idx="2572">
                  <c:v>4.0857383554299569E-2</c:v>
                </c:pt>
                <c:pt idx="2573">
                  <c:v>4.7761860962033893E-2</c:v>
                </c:pt>
                <c:pt idx="2574">
                  <c:v>5.5210468588194769E-2</c:v>
                </c:pt>
                <c:pt idx="2575">
                  <c:v>2.7945385351009367E-2</c:v>
                </c:pt>
                <c:pt idx="2576">
                  <c:v>3.9003030536172247E-2</c:v>
                </c:pt>
                <c:pt idx="2577">
                  <c:v>4.7624110017309124E-2</c:v>
                </c:pt>
                <c:pt idx="2578">
                  <c:v>4.7377683681943311E-2</c:v>
                </c:pt>
                <c:pt idx="2579">
                  <c:v>4.5375403965178807E-2</c:v>
                </c:pt>
                <c:pt idx="2580">
                  <c:v>3.8119222608757594E-2</c:v>
                </c:pt>
                <c:pt idx="2581">
                  <c:v>4.1995541060948868E-2</c:v>
                </c:pt>
                <c:pt idx="2582">
                  <c:v>5.0364673644443608E-2</c:v>
                </c:pt>
                <c:pt idx="2583">
                  <c:v>4.3945530815120822E-2</c:v>
                </c:pt>
                <c:pt idx="2584">
                  <c:v>4.7489819161949776E-2</c:v>
                </c:pt>
                <c:pt idx="2585">
                  <c:v>3.6244726148718452E-2</c:v>
                </c:pt>
                <c:pt idx="2586">
                  <c:v>5.587312981946127E-2</c:v>
                </c:pt>
                <c:pt idx="2587">
                  <c:v>4.0454385828777917E-2</c:v>
                </c:pt>
                <c:pt idx="2588">
                  <c:v>3.1616875588217415E-2</c:v>
                </c:pt>
                <c:pt idx="2589">
                  <c:v>2.3666385773066845E-2</c:v>
                </c:pt>
                <c:pt idx="2590">
                  <c:v>2.4502907780641989E-2</c:v>
                </c:pt>
                <c:pt idx="2591">
                  <c:v>2.0031707136306635E-2</c:v>
                </c:pt>
                <c:pt idx="2592">
                  <c:v>2.5014052464670439E-2</c:v>
                </c:pt>
                <c:pt idx="2593">
                  <c:v>2.5009952573688432E-2</c:v>
                </c:pt>
                <c:pt idx="2594">
                  <c:v>2.2663807973745728E-2</c:v>
                </c:pt>
                <c:pt idx="2595">
                  <c:v>2.4189606202240393E-2</c:v>
                </c:pt>
                <c:pt idx="2596">
                  <c:v>1.8126884582750021E-2</c:v>
                </c:pt>
                <c:pt idx="2597">
                  <c:v>1.4776671757029217E-2</c:v>
                </c:pt>
                <c:pt idx="2598">
                  <c:v>3.3074571064135465E-2</c:v>
                </c:pt>
                <c:pt idx="2599">
                  <c:v>4.5720313361817394E-2</c:v>
                </c:pt>
                <c:pt idx="2600">
                  <c:v>4.5681612686561297E-2</c:v>
                </c:pt>
                <c:pt idx="2601">
                  <c:v>5.4247925236116649E-2</c:v>
                </c:pt>
                <c:pt idx="2602">
                  <c:v>5.0814606421516119E-2</c:v>
                </c:pt>
                <c:pt idx="2603">
                  <c:v>4.2657796164886991E-2</c:v>
                </c:pt>
                <c:pt idx="2604">
                  <c:v>3.807586021311641E-2</c:v>
                </c:pt>
                <c:pt idx="2605">
                  <c:v>5.3285548718217245E-2</c:v>
                </c:pt>
                <c:pt idx="2606">
                  <c:v>5.0885687169137411E-2</c:v>
                </c:pt>
                <c:pt idx="2607">
                  <c:v>4.031983817946154E-2</c:v>
                </c:pt>
                <c:pt idx="2608">
                  <c:v>2.3893753786811307E-2</c:v>
                </c:pt>
                <c:pt idx="2609">
                  <c:v>2.4861510453675299E-2</c:v>
                </c:pt>
                <c:pt idx="2610">
                  <c:v>2.9048389110105044E-2</c:v>
                </c:pt>
                <c:pt idx="2611">
                  <c:v>1.8692594767542772E-2</c:v>
                </c:pt>
                <c:pt idx="2612">
                  <c:v>2.9088194519506342E-2</c:v>
                </c:pt>
                <c:pt idx="2613">
                  <c:v>2.7957194837646904E-2</c:v>
                </c:pt>
                <c:pt idx="2614">
                  <c:v>2.0354237737331693E-2</c:v>
                </c:pt>
                <c:pt idx="2615">
                  <c:v>3.7092879483235593E-2</c:v>
                </c:pt>
                <c:pt idx="2616">
                  <c:v>2.6621912015909459E-2</c:v>
                </c:pt>
                <c:pt idx="2617">
                  <c:v>4.4853608947282422E-2</c:v>
                </c:pt>
                <c:pt idx="2618">
                  <c:v>5.4514235575879831E-2</c:v>
                </c:pt>
                <c:pt idx="2619">
                  <c:v>5.5270508974045555E-2</c:v>
                </c:pt>
                <c:pt idx="2620">
                  <c:v>3.4571910449382903E-2</c:v>
                </c:pt>
                <c:pt idx="2621">
                  <c:v>4.2616853102248185E-2</c:v>
                </c:pt>
                <c:pt idx="2622">
                  <c:v>5.7184005333188105E-2</c:v>
                </c:pt>
                <c:pt idx="2623">
                  <c:v>6.0478371784068188E-2</c:v>
                </c:pt>
                <c:pt idx="2624">
                  <c:v>5.2888926758774997E-2</c:v>
                </c:pt>
                <c:pt idx="2625">
                  <c:v>6.2099668429503499E-2</c:v>
                </c:pt>
                <c:pt idx="2626">
                  <c:v>5.5488802451475673E-2</c:v>
                </c:pt>
                <c:pt idx="2627">
                  <c:v>5.4003312331006734E-2</c:v>
                </c:pt>
                <c:pt idx="2628">
                  <c:v>5.1526433753098594E-2</c:v>
                </c:pt>
                <c:pt idx="2629">
                  <c:v>5.0373955316902329E-2</c:v>
                </c:pt>
                <c:pt idx="2630">
                  <c:v>5.327133500353283E-2</c:v>
                </c:pt>
                <c:pt idx="2631">
                  <c:v>3.456910300058353E-2</c:v>
                </c:pt>
                <c:pt idx="2632">
                  <c:v>3.3916078865871224E-2</c:v>
                </c:pt>
                <c:pt idx="2633">
                  <c:v>3.1503796576206888E-2</c:v>
                </c:pt>
                <c:pt idx="2634">
                  <c:v>3.599215546339244E-2</c:v>
                </c:pt>
                <c:pt idx="2635">
                  <c:v>5.2697403957525854E-2</c:v>
                </c:pt>
                <c:pt idx="2636">
                  <c:v>6.446359491719969E-3</c:v>
                </c:pt>
                <c:pt idx="2637">
                  <c:v>4.5754262317766296E-3</c:v>
                </c:pt>
                <c:pt idx="2638">
                  <c:v>4.5023637639657671E-3</c:v>
                </c:pt>
                <c:pt idx="2639">
                  <c:v>5.9531436521364448E-3</c:v>
                </c:pt>
                <c:pt idx="2640">
                  <c:v>6.531074583138413E-3</c:v>
                </c:pt>
                <c:pt idx="2641">
                  <c:v>4.079219360745491E-3</c:v>
                </c:pt>
                <c:pt idx="2642">
                  <c:v>6.7885412367038713E-3</c:v>
                </c:pt>
                <c:pt idx="2643">
                  <c:v>1.04576990313738E-2</c:v>
                </c:pt>
                <c:pt idx="2644">
                  <c:v>6.1116160586733755E-3</c:v>
                </c:pt>
                <c:pt idx="2645">
                  <c:v>6.4211129098910502E-3</c:v>
                </c:pt>
                <c:pt idx="2646">
                  <c:v>6.1081902398196471E-3</c:v>
                </c:pt>
                <c:pt idx="2647">
                  <c:v>8.4383456325084275E-3</c:v>
                </c:pt>
                <c:pt idx="2648">
                  <c:v>2.5250165717129198E-3</c:v>
                </c:pt>
                <c:pt idx="2649">
                  <c:v>5.9994064390508613E-3</c:v>
                </c:pt>
                <c:pt idx="2650">
                  <c:v>5.1440336684700086E-3</c:v>
                </c:pt>
                <c:pt idx="2651">
                  <c:v>4.5251433814581989E-3</c:v>
                </c:pt>
                <c:pt idx="2652">
                  <c:v>7.2257137004969945E-3</c:v>
                </c:pt>
                <c:pt idx="2653">
                  <c:v>2.8914404441876236E-3</c:v>
                </c:pt>
                <c:pt idx="2654">
                  <c:v>5.0006636215087557E-3</c:v>
                </c:pt>
                <c:pt idx="2655">
                  <c:v>2.6536669987130817E-3</c:v>
                </c:pt>
                <c:pt idx="2656">
                  <c:v>4.8825838837289045E-3</c:v>
                </c:pt>
                <c:pt idx="2657">
                  <c:v>3.7021704339936542E-3</c:v>
                </c:pt>
                <c:pt idx="2658">
                  <c:v>4.8782894700784719E-3</c:v>
                </c:pt>
                <c:pt idx="2659">
                  <c:v>3.2760901336818114E-3</c:v>
                </c:pt>
                <c:pt idx="2660">
                  <c:v>3.9591673827880057E-3</c:v>
                </c:pt>
                <c:pt idx="2661">
                  <c:v>3.6298222563669407E-3</c:v>
                </c:pt>
                <c:pt idx="2662">
                  <c:v>6.0268190986023616E-3</c:v>
                </c:pt>
                <c:pt idx="2663">
                  <c:v>4.5075215178488849E-3</c:v>
                </c:pt>
                <c:pt idx="2664">
                  <c:v>2.8810864172729087E-3</c:v>
                </c:pt>
                <c:pt idx="2665">
                  <c:v>4.0787891261721745E-3</c:v>
                </c:pt>
                <c:pt idx="2666">
                  <c:v>3.8231544418532845E-3</c:v>
                </c:pt>
                <c:pt idx="2667">
                  <c:v>4.0155400070969443E-3</c:v>
                </c:pt>
                <c:pt idx="2668">
                  <c:v>4.1235312391620588E-3</c:v>
                </c:pt>
                <c:pt idx="2669">
                  <c:v>3.6935581876735312E-3</c:v>
                </c:pt>
                <c:pt idx="2670">
                  <c:v>4.8031303564804641E-3</c:v>
                </c:pt>
                <c:pt idx="2671">
                  <c:v>3.8519961872403312E-3</c:v>
                </c:pt>
                <c:pt idx="2672">
                  <c:v>2.4002151488701656E-3</c:v>
                </c:pt>
                <c:pt idx="2673">
                  <c:v>5.350849558741216E-3</c:v>
                </c:pt>
                <c:pt idx="2674">
                  <c:v>5.4855272830012817E-3</c:v>
                </c:pt>
                <c:pt idx="2675">
                  <c:v>3.1993598881294078E-3</c:v>
                </c:pt>
                <c:pt idx="2676">
                  <c:v>1.9944707392186393E-3</c:v>
                </c:pt>
                <c:pt idx="2677">
                  <c:v>4.843073676301885E-3</c:v>
                </c:pt>
                <c:pt idx="2678">
                  <c:v>4.5294412885092117E-3</c:v>
                </c:pt>
                <c:pt idx="2679">
                  <c:v>3.6397277784904116E-3</c:v>
                </c:pt>
                <c:pt idx="2680">
                  <c:v>3.3816798224123286E-3</c:v>
                </c:pt>
                <c:pt idx="2681">
                  <c:v>4.0830914527262745E-3</c:v>
                </c:pt>
                <c:pt idx="2682">
                  <c:v>3.1515043881757908E-3</c:v>
                </c:pt>
                <c:pt idx="2683">
                  <c:v>4.5883183326132001E-3</c:v>
                </c:pt>
                <c:pt idx="2684">
                  <c:v>4.2461182188949682E-3</c:v>
                </c:pt>
                <c:pt idx="2685">
                  <c:v>3.9088131268998896E-3</c:v>
                </c:pt>
                <c:pt idx="2686">
                  <c:v>5.0916704551444061E-3</c:v>
                </c:pt>
                <c:pt idx="2687">
                  <c:v>2.0074396830939739E-3</c:v>
                </c:pt>
                <c:pt idx="2688">
                  <c:v>4.4065043566676489E-3</c:v>
                </c:pt>
                <c:pt idx="2689">
                  <c:v>1.2924918037634564E-2</c:v>
                </c:pt>
                <c:pt idx="2690">
                  <c:v>1.8734085838975729E-3</c:v>
                </c:pt>
                <c:pt idx="2691">
                  <c:v>1.7190053763187422E-3</c:v>
                </c:pt>
                <c:pt idx="2692">
                  <c:v>2.1384043118415977E-3</c:v>
                </c:pt>
                <c:pt idx="2693">
                  <c:v>3.9238769778739812E-3</c:v>
                </c:pt>
                <c:pt idx="2694">
                  <c:v>3.2666073543739221E-3</c:v>
                </c:pt>
                <c:pt idx="2695">
                  <c:v>4.0637306475846116E-3</c:v>
                </c:pt>
                <c:pt idx="2696">
                  <c:v>2.7887520952703496E-3</c:v>
                </c:pt>
                <c:pt idx="2697">
                  <c:v>3.6242233830531484E-3</c:v>
                </c:pt>
                <c:pt idx="2698">
                  <c:v>2.2161863860879162E-3</c:v>
                </c:pt>
                <c:pt idx="2699">
                  <c:v>5.053896348689621E-3</c:v>
                </c:pt>
                <c:pt idx="2700">
                  <c:v>2.930697220617875E-3</c:v>
                </c:pt>
                <c:pt idx="2701">
                  <c:v>3.4394200590474899E-3</c:v>
                </c:pt>
                <c:pt idx="2702">
                  <c:v>3.1911687802094399E-3</c:v>
                </c:pt>
                <c:pt idx="2703">
                  <c:v>4.8533810334764208E-3</c:v>
                </c:pt>
                <c:pt idx="2704">
                  <c:v>3.0471524913347919E-3</c:v>
                </c:pt>
                <c:pt idx="2705">
                  <c:v>2.3613423293616488E-3</c:v>
                </c:pt>
                <c:pt idx="2706">
                  <c:v>2.9897913901577792E-3</c:v>
                </c:pt>
                <c:pt idx="2707">
                  <c:v>2.4127400939887062E-3</c:v>
                </c:pt>
                <c:pt idx="2708">
                  <c:v>2.9932418961158449E-3</c:v>
                </c:pt>
                <c:pt idx="2709">
                  <c:v>2.5733728801486241E-3</c:v>
                </c:pt>
                <c:pt idx="2710">
                  <c:v>3.9557245426910057E-3</c:v>
                </c:pt>
                <c:pt idx="2711">
                  <c:v>2.7615658205157609E-3</c:v>
                </c:pt>
                <c:pt idx="2712">
                  <c:v>2.2771059488246215E-3</c:v>
                </c:pt>
                <c:pt idx="2713">
                  <c:v>3.5049071554986207E-3</c:v>
                </c:pt>
                <c:pt idx="2714">
                  <c:v>6.0079730810327801E-3</c:v>
                </c:pt>
                <c:pt idx="2715">
                  <c:v>3.5626310122497083E-3</c:v>
                </c:pt>
                <c:pt idx="2716">
                  <c:v>3.3217769865529385E-3</c:v>
                </c:pt>
                <c:pt idx="2717">
                  <c:v>4.2775121250818449E-3</c:v>
                </c:pt>
                <c:pt idx="2718">
                  <c:v>5.2264285641535737E-3</c:v>
                </c:pt>
                <c:pt idx="2719">
                  <c:v>2.0899995450798289E-3</c:v>
                </c:pt>
                <c:pt idx="2720">
                  <c:v>4.6918709923531362E-3</c:v>
                </c:pt>
                <c:pt idx="2721">
                  <c:v>5.2774883882101978E-3</c:v>
                </c:pt>
                <c:pt idx="2722">
                  <c:v>5.3233941974327025E-3</c:v>
                </c:pt>
                <c:pt idx="2723">
                  <c:v>3.0130817733785391E-3</c:v>
                </c:pt>
                <c:pt idx="2724">
                  <c:v>2.9936732074330834E-3</c:v>
                </c:pt>
                <c:pt idx="2725">
                  <c:v>4.9487124921218841E-3</c:v>
                </c:pt>
                <c:pt idx="2726">
                  <c:v>5.1174236441130384E-3</c:v>
                </c:pt>
                <c:pt idx="2727">
                  <c:v>2.5725094218539794E-3</c:v>
                </c:pt>
                <c:pt idx="2728">
                  <c:v>2.9237951873582048E-3</c:v>
                </c:pt>
                <c:pt idx="2729">
                  <c:v>3.9634708945290196E-3</c:v>
                </c:pt>
                <c:pt idx="2730">
                  <c:v>2.6562568844253E-3</c:v>
                </c:pt>
                <c:pt idx="2731">
                  <c:v>2.9164616568293196E-3</c:v>
                </c:pt>
                <c:pt idx="2732">
                  <c:v>4.2203133090649141E-3</c:v>
                </c:pt>
                <c:pt idx="2733">
                  <c:v>3.1191666054230086E-3</c:v>
                </c:pt>
                <c:pt idx="2734">
                  <c:v>2.1708152024351129E-3</c:v>
                </c:pt>
                <c:pt idx="2735">
                  <c:v>1.7609635002077781E-3</c:v>
                </c:pt>
                <c:pt idx="2736">
                  <c:v>2.6506454458616983E-3</c:v>
                </c:pt>
                <c:pt idx="2737">
                  <c:v>3.0100627200875863E-3</c:v>
                </c:pt>
                <c:pt idx="2738">
                  <c:v>3.389867337978155E-3</c:v>
                </c:pt>
                <c:pt idx="2739">
                  <c:v>2.4213777767196965E-3</c:v>
                </c:pt>
                <c:pt idx="2740">
                  <c:v>1.8686518816585136E-3</c:v>
                </c:pt>
                <c:pt idx="2741">
                  <c:v>2.3406087361701557E-3</c:v>
                </c:pt>
                <c:pt idx="2742">
                  <c:v>1.9486440355956905E-3</c:v>
                </c:pt>
                <c:pt idx="2743">
                  <c:v>4.3725401182953365E-3</c:v>
                </c:pt>
                <c:pt idx="2744">
                  <c:v>4.2788022370639778E-3</c:v>
                </c:pt>
                <c:pt idx="2745">
                  <c:v>5.3002273861835984E-3</c:v>
                </c:pt>
                <c:pt idx="2746">
                  <c:v>3.2334159961385305E-3</c:v>
                </c:pt>
                <c:pt idx="2747">
                  <c:v>3.7516875363201745E-3</c:v>
                </c:pt>
                <c:pt idx="2748">
                  <c:v>2.7706281011936895E-3</c:v>
                </c:pt>
                <c:pt idx="2749">
                  <c:v>3.8593139373958208E-3</c:v>
                </c:pt>
                <c:pt idx="2750">
                  <c:v>3.0937258573931086E-3</c:v>
                </c:pt>
                <c:pt idx="2751">
                  <c:v>3.7486736131951979E-3</c:v>
                </c:pt>
                <c:pt idx="2752">
                  <c:v>2.9017942242575779E-3</c:v>
                </c:pt>
                <c:pt idx="2753">
                  <c:v>2.061905018669576E-3</c:v>
                </c:pt>
                <c:pt idx="2754">
                  <c:v>2.2477273683696735E-3</c:v>
                </c:pt>
                <c:pt idx="2755">
                  <c:v>1.5602199057272528E-3</c:v>
                </c:pt>
                <c:pt idx="2756">
                  <c:v>6.2554760535998757E-3</c:v>
                </c:pt>
                <c:pt idx="2757">
                  <c:v>3.024726496623633E-3</c:v>
                </c:pt>
                <c:pt idx="2758">
                  <c:v>2.1487760599979045E-3</c:v>
                </c:pt>
                <c:pt idx="2759">
                  <c:v>3.8106701073401133E-3</c:v>
                </c:pt>
                <c:pt idx="2760">
                  <c:v>3.1799596453303694E-3</c:v>
                </c:pt>
                <c:pt idx="2761">
                  <c:v>3.1006251905761227E-3</c:v>
                </c:pt>
                <c:pt idx="2762">
                  <c:v>2.7184095085878942E-3</c:v>
                </c:pt>
                <c:pt idx="2763">
                  <c:v>2.9229324254880442E-3</c:v>
                </c:pt>
                <c:pt idx="2764">
                  <c:v>3.6423117905840011E-3</c:v>
                </c:pt>
                <c:pt idx="2765">
                  <c:v>3.5195542336105014E-3</c:v>
                </c:pt>
                <c:pt idx="2766">
                  <c:v>2.8767721665354669E-3</c:v>
                </c:pt>
                <c:pt idx="2767">
                  <c:v>5.0289979820610396E-3</c:v>
                </c:pt>
                <c:pt idx="2768">
                  <c:v>3.2390199099301643E-3</c:v>
                </c:pt>
                <c:pt idx="2769">
                  <c:v>6.3731831574647211E-3</c:v>
                </c:pt>
                <c:pt idx="2770">
                  <c:v>3.2321227749946076E-3</c:v>
                </c:pt>
                <c:pt idx="2771">
                  <c:v>4.3807089751847338E-3</c:v>
                </c:pt>
                <c:pt idx="2772">
                  <c:v>3.3911600894839288E-3</c:v>
                </c:pt>
                <c:pt idx="2773">
                  <c:v>3.051033795940317E-3</c:v>
                </c:pt>
                <c:pt idx="2774">
                  <c:v>2.6454655920646634E-3</c:v>
                </c:pt>
                <c:pt idx="2775">
                  <c:v>4.2788022370639778E-3</c:v>
                </c:pt>
                <c:pt idx="2776">
                  <c:v>2.5431508183442622E-3</c:v>
                </c:pt>
                <c:pt idx="2777">
                  <c:v>2.4222415355441818E-3</c:v>
                </c:pt>
                <c:pt idx="2778">
                  <c:v>2.1574189942529689E-3</c:v>
                </c:pt>
                <c:pt idx="2779">
                  <c:v>4.8315148231155E-2</c:v>
                </c:pt>
                <c:pt idx="2780">
                  <c:v>4.9195919620707705E-2</c:v>
                </c:pt>
                <c:pt idx="2781">
                  <c:v>4.8745082238975487E-2</c:v>
                </c:pt>
                <c:pt idx="2782">
                  <c:v>3.6585383900817607E-2</c:v>
                </c:pt>
                <c:pt idx="2783">
                  <c:v>2.7220727567844525E-2</c:v>
                </c:pt>
                <c:pt idx="2784">
                  <c:v>3.7043432723188371E-2</c:v>
                </c:pt>
                <c:pt idx="2785">
                  <c:v>4.2736128383058944E-2</c:v>
                </c:pt>
                <c:pt idx="2786">
                  <c:v>4.4802687643462499E-2</c:v>
                </c:pt>
                <c:pt idx="2787">
                  <c:v>5.610257076722764E-2</c:v>
                </c:pt>
                <c:pt idx="2788">
                  <c:v>5.9653902268023105E-2</c:v>
                </c:pt>
                <c:pt idx="2789">
                  <c:v>5.0525527893926177E-2</c:v>
                </c:pt>
                <c:pt idx="2790">
                  <c:v>3.9138383565921156E-2</c:v>
                </c:pt>
                <c:pt idx="2791">
                  <c:v>3.8370957216574908E-2</c:v>
                </c:pt>
                <c:pt idx="2792">
                  <c:v>4.7959850040562621E-2</c:v>
                </c:pt>
                <c:pt idx="2793">
                  <c:v>5.4285103536419091E-2</c:v>
                </c:pt>
                <c:pt idx="2794">
                  <c:v>4.046823395603226E-2</c:v>
                </c:pt>
                <c:pt idx="2795">
                  <c:v>5.1175684202108142E-2</c:v>
                </c:pt>
                <c:pt idx="2796">
                  <c:v>3.6771773901375392E-2</c:v>
                </c:pt>
                <c:pt idx="2797">
                  <c:v>4.3450700022297471E-2</c:v>
                </c:pt>
                <c:pt idx="2798">
                  <c:v>3.2685632217895111E-2</c:v>
                </c:pt>
                <c:pt idx="2799">
                  <c:v>3.8157807522202214E-2</c:v>
                </c:pt>
                <c:pt idx="2800">
                  <c:v>3.789918331873085E-2</c:v>
                </c:pt>
                <c:pt idx="2801">
                  <c:v>4.7784815205557968E-2</c:v>
                </c:pt>
                <c:pt idx="2802">
                  <c:v>3.8131952031285991E-2</c:v>
                </c:pt>
                <c:pt idx="2803">
                  <c:v>4.5651118816305174E-2</c:v>
                </c:pt>
                <c:pt idx="2804">
                  <c:v>4.5507612502863476E-2</c:v>
                </c:pt>
                <c:pt idx="2805">
                  <c:v>5.729287625559755E-2</c:v>
                </c:pt>
                <c:pt idx="2806">
                  <c:v>3.937088588409976E-2</c:v>
                </c:pt>
                <c:pt idx="2807">
                  <c:v>3.9610003280542205E-2</c:v>
                </c:pt>
                <c:pt idx="2808">
                  <c:v>4.2118534477626784E-2</c:v>
                </c:pt>
                <c:pt idx="2809">
                  <c:v>3.7964450723162027E-2</c:v>
                </c:pt>
                <c:pt idx="2810">
                  <c:v>2.8085449612105122E-2</c:v>
                </c:pt>
                <c:pt idx="2811">
                  <c:v>3.0587579359616462E-2</c:v>
                </c:pt>
                <c:pt idx="2812">
                  <c:v>3.5355281319736961E-2</c:v>
                </c:pt>
                <c:pt idx="2813">
                  <c:v>3.847590295483734E-2</c:v>
                </c:pt>
                <c:pt idx="2814">
                  <c:v>4.9381240189597164E-2</c:v>
                </c:pt>
                <c:pt idx="2815">
                  <c:v>4.468397865472936E-2</c:v>
                </c:pt>
                <c:pt idx="2816">
                  <c:v>2.0039586701721727E-2</c:v>
                </c:pt>
                <c:pt idx="2817">
                  <c:v>3.5546201548208964E-2</c:v>
                </c:pt>
                <c:pt idx="2818">
                  <c:v>5.4630671083334185E-2</c:v>
                </c:pt>
                <c:pt idx="2819">
                  <c:v>4.2254102241850673E-2</c:v>
                </c:pt>
                <c:pt idx="2820">
                  <c:v>5.6752440567439236E-2</c:v>
                </c:pt>
                <c:pt idx="2821">
                  <c:v>2.0171859112732646E-2</c:v>
                </c:pt>
                <c:pt idx="2822">
                  <c:v>1.527590668187525E-2</c:v>
                </c:pt>
                <c:pt idx="2823">
                  <c:v>3.452979681168717E-2</c:v>
                </c:pt>
                <c:pt idx="2824">
                  <c:v>5.2420354106265998E-2</c:v>
                </c:pt>
                <c:pt idx="2825">
                  <c:v>4.6303923406048157E-2</c:v>
                </c:pt>
                <c:pt idx="2826">
                  <c:v>5.0535965894792263E-2</c:v>
                </c:pt>
                <c:pt idx="2827">
                  <c:v>1.9549952748564966E-2</c:v>
                </c:pt>
                <c:pt idx="2828">
                  <c:v>2.9362265369675108E-2</c:v>
                </c:pt>
                <c:pt idx="2829">
                  <c:v>3.9147114571044153E-2</c:v>
                </c:pt>
                <c:pt idx="2830">
                  <c:v>6.0156712330820997E-2</c:v>
                </c:pt>
                <c:pt idx="2831">
                  <c:v>3.8896623762055341E-2</c:v>
                </c:pt>
                <c:pt idx="2832">
                  <c:v>3.8178888552519129E-2</c:v>
                </c:pt>
                <c:pt idx="2833">
                  <c:v>4.0764873477952261E-2</c:v>
                </c:pt>
                <c:pt idx="2834">
                  <c:v>3.7371111901728142E-2</c:v>
                </c:pt>
                <c:pt idx="2835">
                  <c:v>4.1597544866582216E-2</c:v>
                </c:pt>
                <c:pt idx="2836">
                  <c:v>4.4464105035045158E-2</c:v>
                </c:pt>
                <c:pt idx="2837">
                  <c:v>4.440176766169189E-2</c:v>
                </c:pt>
                <c:pt idx="2838">
                  <c:v>5.3405002367919625E-2</c:v>
                </c:pt>
                <c:pt idx="2839">
                  <c:v>3.8525584326794655E-2</c:v>
                </c:pt>
                <c:pt idx="2840">
                  <c:v>4.0302027278353088E-2</c:v>
                </c:pt>
                <c:pt idx="2841">
                  <c:v>4.1202343507346827E-2</c:v>
                </c:pt>
                <c:pt idx="2842">
                  <c:v>5.3428428329727752E-2</c:v>
                </c:pt>
                <c:pt idx="2843">
                  <c:v>4.5757447131224746E-2</c:v>
                </c:pt>
                <c:pt idx="2844">
                  <c:v>5.374436333002082E-2</c:v>
                </c:pt>
                <c:pt idx="2845">
                  <c:v>4.7628780256373758E-2</c:v>
                </c:pt>
                <c:pt idx="2846">
                  <c:v>4.8726060736426317E-2</c:v>
                </c:pt>
                <c:pt idx="2847">
                  <c:v>4.1673701194765912E-2</c:v>
                </c:pt>
                <c:pt idx="2848">
                  <c:v>3.8836659206826558E-2</c:v>
                </c:pt>
                <c:pt idx="2849">
                  <c:v>3.5586616240454533E-2</c:v>
                </c:pt>
                <c:pt idx="2850">
                  <c:v>3.8045225452323847E-2</c:v>
                </c:pt>
                <c:pt idx="2851">
                  <c:v>4.3188918659318003E-2</c:v>
                </c:pt>
                <c:pt idx="2852">
                  <c:v>4.8294164949289314E-2</c:v>
                </c:pt>
                <c:pt idx="2853">
                  <c:v>5.3646114126816337E-2</c:v>
                </c:pt>
                <c:pt idx="2854">
                  <c:v>4.4501346365748852E-2</c:v>
                </c:pt>
                <c:pt idx="2855">
                  <c:v>4.9545946275057963E-2</c:v>
                </c:pt>
                <c:pt idx="2856">
                  <c:v>4.2494000749820821E-2</c:v>
                </c:pt>
                <c:pt idx="2857">
                  <c:v>3.8854133177060018E-2</c:v>
                </c:pt>
                <c:pt idx="2858">
                  <c:v>4.226355887893346E-2</c:v>
                </c:pt>
                <c:pt idx="2859">
                  <c:v>4.6348814044560684E-2</c:v>
                </c:pt>
                <c:pt idx="2860">
                  <c:v>3.9632599608298194E-2</c:v>
                </c:pt>
                <c:pt idx="2861">
                  <c:v>4.0725333246443389E-2</c:v>
                </c:pt>
                <c:pt idx="2862">
                  <c:v>4.7902679752454075E-2</c:v>
                </c:pt>
                <c:pt idx="2863">
                  <c:v>4.2634569324251886E-2</c:v>
                </c:pt>
                <c:pt idx="2864">
                  <c:v>3.7317312943364093E-2</c:v>
                </c:pt>
                <c:pt idx="2865">
                  <c:v>3.7493031539765118E-2</c:v>
                </c:pt>
                <c:pt idx="2866">
                  <c:v>4.5700377081011247E-2</c:v>
                </c:pt>
                <c:pt idx="2867">
                  <c:v>4.6389797097272444E-2</c:v>
                </c:pt>
                <c:pt idx="2868">
                  <c:v>4.7482422227134329E-2</c:v>
                </c:pt>
                <c:pt idx="2869">
                  <c:v>4.625824729843396E-2</c:v>
                </c:pt>
                <c:pt idx="2870">
                  <c:v>3.9419275153078664E-2</c:v>
                </c:pt>
                <c:pt idx="2871">
                  <c:v>4.4018921964785532E-2</c:v>
                </c:pt>
                <c:pt idx="2872">
                  <c:v>4.772528728793575E-2</c:v>
                </c:pt>
                <c:pt idx="2873">
                  <c:v>4.5425084674477693E-2</c:v>
                </c:pt>
                <c:pt idx="2874">
                  <c:v>4.4861442464120146E-2</c:v>
                </c:pt>
                <c:pt idx="2875">
                  <c:v>5.0007952455287878E-2</c:v>
                </c:pt>
                <c:pt idx="2876">
                  <c:v>5.2446912375468585E-2</c:v>
                </c:pt>
                <c:pt idx="2877">
                  <c:v>5.9716359556270235E-2</c:v>
                </c:pt>
                <c:pt idx="2878">
                  <c:v>5.6321590940517793E-2</c:v>
                </c:pt>
                <c:pt idx="2879">
                  <c:v>4.9453718562973391E-2</c:v>
                </c:pt>
                <c:pt idx="2880">
                  <c:v>5.0699848273213395E-2</c:v>
                </c:pt>
                <c:pt idx="2881">
                  <c:v>4.5852807738775286E-2</c:v>
                </c:pt>
                <c:pt idx="2882">
                  <c:v>6.0391460287048178E-2</c:v>
                </c:pt>
                <c:pt idx="2883">
                  <c:v>5.9535776657941603E-2</c:v>
                </c:pt>
                <c:pt idx="2884">
                  <c:v>7.076834511370049E-2</c:v>
                </c:pt>
                <c:pt idx="2885">
                  <c:v>6.4661984837422984E-2</c:v>
                </c:pt>
                <c:pt idx="2886">
                  <c:v>6.4335920348246284E-2</c:v>
                </c:pt>
                <c:pt idx="2887">
                  <c:v>5.8582782544792308E-2</c:v>
                </c:pt>
                <c:pt idx="2888">
                  <c:v>5.5210086138750676E-2</c:v>
                </c:pt>
                <c:pt idx="2889">
                  <c:v>4.8856865255244394E-2</c:v>
                </c:pt>
                <c:pt idx="2890">
                  <c:v>5.473329229133609E-2</c:v>
                </c:pt>
                <c:pt idx="2891">
                  <c:v>6.3563020103699588E-2</c:v>
                </c:pt>
                <c:pt idx="2892">
                  <c:v>4.8216828916413719E-2</c:v>
                </c:pt>
                <c:pt idx="2893">
                  <c:v>6.437861091267616E-2</c:v>
                </c:pt>
                <c:pt idx="2894">
                  <c:v>5.5141239751874557E-2</c:v>
                </c:pt>
                <c:pt idx="2895">
                  <c:v>5.4948794466629834E-2</c:v>
                </c:pt>
                <c:pt idx="2896">
                  <c:v>6.4903287094600456E-2</c:v>
                </c:pt>
                <c:pt idx="2897">
                  <c:v>5.962475245932005E-2</c:v>
                </c:pt>
                <c:pt idx="2898">
                  <c:v>4.4080921934297371E-2</c:v>
                </c:pt>
                <c:pt idx="2899">
                  <c:v>5.3512904910021149E-2</c:v>
                </c:pt>
                <c:pt idx="2900">
                  <c:v>4.3792821779654087E-2</c:v>
                </c:pt>
                <c:pt idx="2901">
                  <c:v>3.6317033425554694E-2</c:v>
                </c:pt>
                <c:pt idx="2902">
                  <c:v>4.2434530879369076E-2</c:v>
                </c:pt>
                <c:pt idx="2903">
                  <c:v>4.184332790897359E-2</c:v>
                </c:pt>
                <c:pt idx="2904">
                  <c:v>4.8742364932474976E-2</c:v>
                </c:pt>
                <c:pt idx="2905">
                  <c:v>5.4948794466629834E-2</c:v>
                </c:pt>
                <c:pt idx="2906">
                  <c:v>4.7831498059700071E-2</c:v>
                </c:pt>
                <c:pt idx="2907">
                  <c:v>3.1623336356838658E-2</c:v>
                </c:pt>
                <c:pt idx="2908">
                  <c:v>3.8106890624873511E-2</c:v>
                </c:pt>
                <c:pt idx="2909">
                  <c:v>4.2916750344587924E-2</c:v>
                </c:pt>
                <c:pt idx="2910">
                  <c:v>4.6448727851000765E-2</c:v>
                </c:pt>
                <c:pt idx="2911">
                  <c:v>5.7018743462753631E-2</c:v>
                </c:pt>
                <c:pt idx="2912">
                  <c:v>5.9463446724350416E-2</c:v>
                </c:pt>
                <c:pt idx="2913">
                  <c:v>5.0074908375564241E-2</c:v>
                </c:pt>
                <c:pt idx="2914">
                  <c:v>5.4527259518698155E-2</c:v>
                </c:pt>
                <c:pt idx="2915">
                  <c:v>4.420921021838848E-2</c:v>
                </c:pt>
                <c:pt idx="2916">
                  <c:v>5.8016972476166148E-2</c:v>
                </c:pt>
                <c:pt idx="2917">
                  <c:v>5.4280504331571278E-2</c:v>
                </c:pt>
                <c:pt idx="2918">
                  <c:v>6.2115101800028875E-2</c:v>
                </c:pt>
                <c:pt idx="2919">
                  <c:v>5.1551118319852367E-2</c:v>
                </c:pt>
                <c:pt idx="2920">
                  <c:v>3.8385269492444904E-2</c:v>
                </c:pt>
                <c:pt idx="2921">
                  <c:v>4.1392685158225077E-2</c:v>
                </c:pt>
                <c:pt idx="2922">
                  <c:v>3.860029441009858E-2</c:v>
                </c:pt>
                <c:pt idx="2923">
                  <c:v>5.8451838396781794E-2</c:v>
                </c:pt>
                <c:pt idx="2924">
                  <c:v>4.6815598012108521E-3</c:v>
                </c:pt>
                <c:pt idx="2925">
                  <c:v>3.1566782099716746E-3</c:v>
                </c:pt>
                <c:pt idx="2926">
                  <c:v>2.7598396503751782E-3</c:v>
                </c:pt>
                <c:pt idx="2927">
                  <c:v>3.856731216126303E-3</c:v>
                </c:pt>
                <c:pt idx="2928">
                  <c:v>2.137539988314373E-3</c:v>
                </c:pt>
                <c:pt idx="2929">
                  <c:v>1.901947703309301E-3</c:v>
                </c:pt>
                <c:pt idx="2930">
                  <c:v>2.5077451566276397E-3</c:v>
                </c:pt>
                <c:pt idx="2931">
                  <c:v>5.0714960570694655E-3</c:v>
                </c:pt>
                <c:pt idx="2932">
                  <c:v>2.7244516504310902E-3</c:v>
                </c:pt>
                <c:pt idx="2933">
                  <c:v>3.7930192289280852E-3</c:v>
                </c:pt>
                <c:pt idx="2934">
                  <c:v>4.9336841470917579E-3</c:v>
                </c:pt>
                <c:pt idx="2935">
                  <c:v>4.3222337708642058E-3</c:v>
                </c:pt>
                <c:pt idx="2936">
                  <c:v>2.483132203296017E-3</c:v>
                </c:pt>
                <c:pt idx="2937">
                  <c:v>3.5475546257404777E-3</c:v>
                </c:pt>
                <c:pt idx="2938">
                  <c:v>7.9311838924168467E-3</c:v>
                </c:pt>
                <c:pt idx="2939">
                  <c:v>3.1075244141559894E-3</c:v>
                </c:pt>
                <c:pt idx="2940">
                  <c:v>2.7844369271881977E-3</c:v>
                </c:pt>
                <c:pt idx="2941">
                  <c:v>2.3535673479111847E-3</c:v>
                </c:pt>
                <c:pt idx="2942">
                  <c:v>5.251315614863394E-3</c:v>
                </c:pt>
                <c:pt idx="2943">
                  <c:v>3.7615902793245773E-3</c:v>
                </c:pt>
                <c:pt idx="2944">
                  <c:v>2.1288966584323997E-3</c:v>
                </c:pt>
                <c:pt idx="2945">
                  <c:v>2.9777144034103774E-3</c:v>
                </c:pt>
                <c:pt idx="2946">
                  <c:v>4.786808372828708E-3</c:v>
                </c:pt>
                <c:pt idx="2947">
                  <c:v>2.2758098768850005E-3</c:v>
                </c:pt>
                <c:pt idx="2948">
                  <c:v>2.3276497377545642E-3</c:v>
                </c:pt>
                <c:pt idx="2949">
                  <c:v>4.5827318025714898E-3</c:v>
                </c:pt>
                <c:pt idx="2950">
                  <c:v>2.2291487108576724E-3</c:v>
                </c:pt>
                <c:pt idx="2951">
                  <c:v>4.7923922783730116E-3</c:v>
                </c:pt>
                <c:pt idx="2952">
                  <c:v>2.3850983547312344E-3</c:v>
                </c:pt>
                <c:pt idx="2953">
                  <c:v>3.9948852383936738E-3</c:v>
                </c:pt>
                <c:pt idx="2954">
                  <c:v>2.325057891668487E-3</c:v>
                </c:pt>
                <c:pt idx="2955">
                  <c:v>3.1816841464502063E-3</c:v>
                </c:pt>
                <c:pt idx="2956">
                  <c:v>2.5522176577151444E-3</c:v>
                </c:pt>
                <c:pt idx="2957">
                  <c:v>2.7594081067680346E-3</c:v>
                </c:pt>
                <c:pt idx="2958">
                  <c:v>2.3600465087859966E-3</c:v>
                </c:pt>
                <c:pt idx="2959">
                  <c:v>4.3476026573193221E-3</c:v>
                </c:pt>
                <c:pt idx="2960">
                  <c:v>3.2489343495036207E-3</c:v>
                </c:pt>
                <c:pt idx="2961">
                  <c:v>1.0745049971758446E-2</c:v>
                </c:pt>
                <c:pt idx="2962">
                  <c:v>1.5822889351120896E-3</c:v>
                </c:pt>
                <c:pt idx="2963">
                  <c:v>7.7264467066516128E-3</c:v>
                </c:pt>
                <c:pt idx="2964">
                  <c:v>2.3997832477682542E-3</c:v>
                </c:pt>
                <c:pt idx="2965">
                  <c:v>2.7188410929359446E-3</c:v>
                </c:pt>
                <c:pt idx="2966">
                  <c:v>2.5004045972198169E-3</c:v>
                </c:pt>
                <c:pt idx="2967">
                  <c:v>2.3609103895993952E-3</c:v>
                </c:pt>
                <c:pt idx="2968">
                  <c:v>1.5463720989967692E-3</c:v>
                </c:pt>
                <c:pt idx="2969">
                  <c:v>2.9630490394173094E-3</c:v>
                </c:pt>
                <c:pt idx="2970">
                  <c:v>4.0719053150329908E-3</c:v>
                </c:pt>
                <c:pt idx="2971">
                  <c:v>2.3838026050354844E-3</c:v>
                </c:pt>
                <c:pt idx="2972">
                  <c:v>1.7012692803249959E-3</c:v>
                </c:pt>
                <c:pt idx="2973">
                  <c:v>2.1042622244842454E-3</c:v>
                </c:pt>
                <c:pt idx="2974">
                  <c:v>4.2495587576943565E-3</c:v>
                </c:pt>
                <c:pt idx="2975">
                  <c:v>5.2547481995950419E-3</c:v>
                </c:pt>
                <c:pt idx="2976">
                  <c:v>2.4300152876593319E-3</c:v>
                </c:pt>
                <c:pt idx="2977">
                  <c:v>2.0636339650833648E-3</c:v>
                </c:pt>
                <c:pt idx="2978">
                  <c:v>4.6390235498162949E-3</c:v>
                </c:pt>
                <c:pt idx="2979">
                  <c:v>2.2723536661361839E-3</c:v>
                </c:pt>
                <c:pt idx="2980">
                  <c:v>2.8409622312348393E-3</c:v>
                </c:pt>
                <c:pt idx="2981">
                  <c:v>5.1521880269783755E-3</c:v>
                </c:pt>
                <c:pt idx="2982">
                  <c:v>3.0708710333312694E-3</c:v>
                </c:pt>
                <c:pt idx="2983">
                  <c:v>3.8205715055359872E-3</c:v>
                </c:pt>
                <c:pt idx="2984">
                  <c:v>2.6696377145695172E-3</c:v>
                </c:pt>
                <c:pt idx="2985">
                  <c:v>5.6308808866490506E-3</c:v>
                </c:pt>
                <c:pt idx="2986">
                  <c:v>3.4290790884469067E-3</c:v>
                </c:pt>
                <c:pt idx="2987">
                  <c:v>3.472164841619788E-3</c:v>
                </c:pt>
                <c:pt idx="2988">
                  <c:v>3.7921581921181134E-3</c:v>
                </c:pt>
                <c:pt idx="2989">
                  <c:v>4.9169376643048053E-3</c:v>
                </c:pt>
                <c:pt idx="2990">
                  <c:v>3.0018680410742703E-3</c:v>
                </c:pt>
                <c:pt idx="2991">
                  <c:v>3.037233444192424E-3</c:v>
                </c:pt>
                <c:pt idx="2992">
                  <c:v>6.5118226042639163E-3</c:v>
                </c:pt>
                <c:pt idx="2993">
                  <c:v>3.8532875638745321E-3</c:v>
                </c:pt>
                <c:pt idx="2994">
                  <c:v>2.142293746427151E-3</c:v>
                </c:pt>
                <c:pt idx="2995">
                  <c:v>3.4928444849466789E-3</c:v>
                </c:pt>
                <c:pt idx="2996">
                  <c:v>4.9092083006012609E-3</c:v>
                </c:pt>
                <c:pt idx="2997">
                  <c:v>2.9246579475143255E-3</c:v>
                </c:pt>
                <c:pt idx="2998">
                  <c:v>2.8400993047943105E-3</c:v>
                </c:pt>
                <c:pt idx="2999">
                  <c:v>2.5491953989569853E-3</c:v>
                </c:pt>
                <c:pt idx="3000">
                  <c:v>4.3837185153069586E-3</c:v>
                </c:pt>
                <c:pt idx="3001">
                  <c:v>2.2589605896824578E-3</c:v>
                </c:pt>
                <c:pt idx="3002">
                  <c:v>2.3747322489165034E-3</c:v>
                </c:pt>
                <c:pt idx="3003">
                  <c:v>3.8825577376802472E-3</c:v>
                </c:pt>
                <c:pt idx="3004">
                  <c:v>6.531074583138413E-3</c:v>
                </c:pt>
                <c:pt idx="3005">
                  <c:v>2.6946717089318551E-3</c:v>
                </c:pt>
                <c:pt idx="3006">
                  <c:v>3.1506420785507448E-3</c:v>
                </c:pt>
                <c:pt idx="3007">
                  <c:v>3.0100627200875863E-3</c:v>
                </c:pt>
                <c:pt idx="3008">
                  <c:v>4.1540736881693994E-3</c:v>
                </c:pt>
                <c:pt idx="3009">
                  <c:v>4.6076557663263804E-3</c:v>
                </c:pt>
                <c:pt idx="3010">
                  <c:v>4.5676907875726981E-3</c:v>
                </c:pt>
                <c:pt idx="3011">
                  <c:v>2.9186185904279331E-3</c:v>
                </c:pt>
                <c:pt idx="3012">
                  <c:v>3.6952806506004121E-3</c:v>
                </c:pt>
                <c:pt idx="3013">
                  <c:v>3.5367854577932692E-3</c:v>
                </c:pt>
                <c:pt idx="3014">
                  <c:v>4.7301061890942372E-3</c:v>
                </c:pt>
                <c:pt idx="3015">
                  <c:v>2.3587506843439445E-3</c:v>
                </c:pt>
                <c:pt idx="3016">
                  <c:v>5.4276295577467652E-3</c:v>
                </c:pt>
                <c:pt idx="3017">
                  <c:v>3.7413539985255433E-3</c:v>
                </c:pt>
                <c:pt idx="3018">
                  <c:v>2.8642605970326312E-3</c:v>
                </c:pt>
                <c:pt idx="3019">
                  <c:v>4.2203133090649141E-3</c:v>
                </c:pt>
                <c:pt idx="3020">
                  <c:v>3.1178730440274095E-3</c:v>
                </c:pt>
                <c:pt idx="3021">
                  <c:v>4.6196875127684127E-3</c:v>
                </c:pt>
                <c:pt idx="3022">
                  <c:v>5.3894557242272368E-3</c:v>
                </c:pt>
                <c:pt idx="3023">
                  <c:v>6.0418096649612774E-3</c:v>
                </c:pt>
                <c:pt idx="3024">
                  <c:v>2.9626176976852684E-3</c:v>
                </c:pt>
                <c:pt idx="3025">
                  <c:v>3.3243628911114303E-3</c:v>
                </c:pt>
                <c:pt idx="3026">
                  <c:v>2.7188410929359446E-3</c:v>
                </c:pt>
                <c:pt idx="3027">
                  <c:v>5.5562806889745764E-3</c:v>
                </c:pt>
                <c:pt idx="3028">
                  <c:v>5.4096153577847901E-3</c:v>
                </c:pt>
                <c:pt idx="3029">
                  <c:v>3.6974337196522267E-3</c:v>
                </c:pt>
                <c:pt idx="3030">
                  <c:v>4.1557943256092583E-3</c:v>
                </c:pt>
                <c:pt idx="3031">
                  <c:v>5.0680620236348076E-3</c:v>
                </c:pt>
                <c:pt idx="3032">
                  <c:v>2.6528037000434971E-3</c:v>
                </c:pt>
                <c:pt idx="3033">
                  <c:v>3.4239085108094193E-3</c:v>
                </c:pt>
                <c:pt idx="3034">
                  <c:v>4.231065541163679E-3</c:v>
                </c:pt>
                <c:pt idx="3035">
                  <c:v>4.3136338120146247E-3</c:v>
                </c:pt>
                <c:pt idx="3036">
                  <c:v>2.7809847618517325E-3</c:v>
                </c:pt>
                <c:pt idx="3037">
                  <c:v>2.8646920364640612E-3</c:v>
                </c:pt>
                <c:pt idx="3038">
                  <c:v>2.8211144892960963E-3</c:v>
                </c:pt>
                <c:pt idx="3039">
                  <c:v>5.2676201507128586E-3</c:v>
                </c:pt>
                <c:pt idx="3040">
                  <c:v>2.9332854548108573E-3</c:v>
                </c:pt>
                <c:pt idx="3041">
                  <c:v>3.1264967138877743E-3</c:v>
                </c:pt>
                <c:pt idx="3042">
                  <c:v>6.4416526131926589E-3</c:v>
                </c:pt>
                <c:pt idx="3043">
                  <c:v>3.2122929018886114E-3</c:v>
                </c:pt>
                <c:pt idx="3044">
                  <c:v>2.9518340151480898E-3</c:v>
                </c:pt>
                <c:pt idx="3045">
                  <c:v>3.9092435298930936E-3</c:v>
                </c:pt>
                <c:pt idx="3046">
                  <c:v>3.577706875405433E-3</c:v>
                </c:pt>
                <c:pt idx="3047">
                  <c:v>2.4468579399021849E-3</c:v>
                </c:pt>
                <c:pt idx="3048">
                  <c:v>2.7818478057584635E-3</c:v>
                </c:pt>
                <c:pt idx="3049">
                  <c:v>2.9268148404063567E-3</c:v>
                </c:pt>
                <c:pt idx="3050">
                  <c:v>4.4967761281342958E-3</c:v>
                </c:pt>
                <c:pt idx="3051">
                  <c:v>5.0719253093395424E-3</c:v>
                </c:pt>
                <c:pt idx="3052">
                  <c:v>2.3993513462368219E-3</c:v>
                </c:pt>
                <c:pt idx="3053">
                  <c:v>2.8685749720601989E-3</c:v>
                </c:pt>
                <c:pt idx="3054">
                  <c:v>3.5139539385446957E-3</c:v>
                </c:pt>
                <c:pt idx="3055">
                  <c:v>2.6856078431416221E-3</c:v>
                </c:pt>
                <c:pt idx="3056">
                  <c:v>3.1122675667905574E-3</c:v>
                </c:pt>
                <c:pt idx="3057">
                  <c:v>5.6484572288290329E-3</c:v>
                </c:pt>
                <c:pt idx="3058">
                  <c:v>2.4991091915036135E-3</c:v>
                </c:pt>
                <c:pt idx="3059">
                  <c:v>3.9264592998640392E-3</c:v>
                </c:pt>
                <c:pt idx="3060">
                  <c:v>2.2784020168963664E-3</c:v>
                </c:pt>
                <c:pt idx="3061">
                  <c:v>6.279448087113503E-3</c:v>
                </c:pt>
                <c:pt idx="3062">
                  <c:v>3.0186885309532183E-3</c:v>
                </c:pt>
                <c:pt idx="3063">
                  <c:v>4.0082248888591524E-3</c:v>
                </c:pt>
                <c:pt idx="3064">
                  <c:v>2.6394223512168323E-3</c:v>
                </c:pt>
                <c:pt idx="3065">
                  <c:v>4.6218360038431661E-3</c:v>
                </c:pt>
                <c:pt idx="3066">
                  <c:v>2.2654411621216065E-3</c:v>
                </c:pt>
                <c:pt idx="3067">
                  <c:v>2.9190499758622208E-3</c:v>
                </c:pt>
                <c:pt idx="3068">
                  <c:v>4.2631026137666603E-2</c:v>
                </c:pt>
                <c:pt idx="3069">
                  <c:v>4.136386284076584E-2</c:v>
                </c:pt>
                <c:pt idx="3070">
                  <c:v>4.1125709415667788E-2</c:v>
                </c:pt>
                <c:pt idx="3071">
                  <c:v>4.710618035837736E-2</c:v>
                </c:pt>
                <c:pt idx="3072">
                  <c:v>5.415937440522603E-2</c:v>
                </c:pt>
                <c:pt idx="3073">
                  <c:v>4.8900716705771327E-2</c:v>
                </c:pt>
                <c:pt idx="3074">
                  <c:v>4.0773176469217701E-2</c:v>
                </c:pt>
                <c:pt idx="3075">
                  <c:v>4.8038398298209377E-2</c:v>
                </c:pt>
                <c:pt idx="3076">
                  <c:v>3.6504736454530576E-2</c:v>
                </c:pt>
                <c:pt idx="3077">
                  <c:v>3.9227272868888802E-2</c:v>
                </c:pt>
                <c:pt idx="3078">
                  <c:v>3.3000111807223315E-2</c:v>
                </c:pt>
                <c:pt idx="3079">
                  <c:v>4.0103287240868667E-2</c:v>
                </c:pt>
                <c:pt idx="3080">
                  <c:v>3.7042236360853929E-2</c:v>
                </c:pt>
                <c:pt idx="3081">
                  <c:v>3.0157917375995567E-2</c:v>
                </c:pt>
                <c:pt idx="3082">
                  <c:v>4.5868438627789283E-2</c:v>
                </c:pt>
                <c:pt idx="3083">
                  <c:v>4.2140606532529767E-2</c:v>
                </c:pt>
                <c:pt idx="3084">
                  <c:v>3.2541805752879086E-2</c:v>
                </c:pt>
                <c:pt idx="3085">
                  <c:v>4.1936002890333154E-2</c:v>
                </c:pt>
                <c:pt idx="3086">
                  <c:v>4.2178835830622208E-2</c:v>
                </c:pt>
                <c:pt idx="3087">
                  <c:v>3.7361946624243414E-2</c:v>
                </c:pt>
                <c:pt idx="3088">
                  <c:v>3.2243929505805763E-2</c:v>
                </c:pt>
                <c:pt idx="3089">
                  <c:v>4.2720384348070302E-2</c:v>
                </c:pt>
                <c:pt idx="3090">
                  <c:v>3.8864061256024908E-2</c:v>
                </c:pt>
                <c:pt idx="3091">
                  <c:v>5.0030788293240917E-2</c:v>
                </c:pt>
                <c:pt idx="3092">
                  <c:v>3.6223551020814683E-2</c:v>
                </c:pt>
                <c:pt idx="3093">
                  <c:v>4.4220585637622024E-2</c:v>
                </c:pt>
                <c:pt idx="3094">
                  <c:v>5.0692892259233867E-2</c:v>
                </c:pt>
                <c:pt idx="3095">
                  <c:v>5.5063200650837897E-2</c:v>
                </c:pt>
                <c:pt idx="3096">
                  <c:v>5.0109736853704456E-2</c:v>
                </c:pt>
                <c:pt idx="3097">
                  <c:v>5.0074521376783823E-2</c:v>
                </c:pt>
                <c:pt idx="3098">
                  <c:v>5.0282676921414332E-2</c:v>
                </c:pt>
                <c:pt idx="3099">
                  <c:v>5.8072446856167546E-2</c:v>
                </c:pt>
                <c:pt idx="3100">
                  <c:v>4.9288977489823624E-2</c:v>
                </c:pt>
                <c:pt idx="3101">
                  <c:v>4.6056356024323272E-2</c:v>
                </c:pt>
                <c:pt idx="3102">
                  <c:v>6.3177555545414474E-2</c:v>
                </c:pt>
                <c:pt idx="3103">
                  <c:v>4.3547747005648445E-2</c:v>
                </c:pt>
                <c:pt idx="3104">
                  <c:v>5.5601155965788476E-2</c:v>
                </c:pt>
                <c:pt idx="3105">
                  <c:v>4.7663416295339434E-2</c:v>
                </c:pt>
                <c:pt idx="3106">
                  <c:v>4.2078328923581779E-2</c:v>
                </c:pt>
                <c:pt idx="3107">
                  <c:v>3.1065337096467527E-2</c:v>
                </c:pt>
                <c:pt idx="3108">
                  <c:v>4.6903123632787425E-2</c:v>
                </c:pt>
                <c:pt idx="3109">
                  <c:v>4.5719531564124449E-2</c:v>
                </c:pt>
                <c:pt idx="3110">
                  <c:v>4.5638216918923877E-2</c:v>
                </c:pt>
                <c:pt idx="3111">
                  <c:v>5.2140046112559492E-2</c:v>
                </c:pt>
                <c:pt idx="3112">
                  <c:v>4.0489994406751786E-2</c:v>
                </c:pt>
                <c:pt idx="3113">
                  <c:v>3.551338685340779E-2</c:v>
                </c:pt>
                <c:pt idx="3114">
                  <c:v>4.4423723983749774E-2</c:v>
                </c:pt>
                <c:pt idx="3115">
                  <c:v>4.7105011397517091E-2</c:v>
                </c:pt>
                <c:pt idx="3116">
                  <c:v>4.0691325767883708E-2</c:v>
                </c:pt>
                <c:pt idx="3117">
                  <c:v>3.7742342259023967E-2</c:v>
                </c:pt>
                <c:pt idx="3118">
                  <c:v>4.6075494813825286E-2</c:v>
                </c:pt>
                <c:pt idx="3119">
                  <c:v>3.9543396737692735E-2</c:v>
                </c:pt>
                <c:pt idx="3120">
                  <c:v>4.0686975782019345E-2</c:v>
                </c:pt>
                <c:pt idx="3121">
                  <c:v>4.5604982993808635E-2</c:v>
                </c:pt>
                <c:pt idx="3122">
                  <c:v>5.039290478226012E-2</c:v>
                </c:pt>
                <c:pt idx="3123">
                  <c:v>3.6601351915920038E-2</c:v>
                </c:pt>
                <c:pt idx="3124">
                  <c:v>4.5686303861181811E-2</c:v>
                </c:pt>
                <c:pt idx="3125">
                  <c:v>4.2423502458637963E-2</c:v>
                </c:pt>
                <c:pt idx="3126">
                  <c:v>4.6373404340278347E-2</c:v>
                </c:pt>
                <c:pt idx="3127">
                  <c:v>4.9442866956152375E-2</c:v>
                </c:pt>
                <c:pt idx="3128">
                  <c:v>4.6832167807927108E-2</c:v>
                </c:pt>
                <c:pt idx="3129">
                  <c:v>4.3886259390870409E-2</c:v>
                </c:pt>
                <c:pt idx="3130">
                  <c:v>5.2606612642773228E-2</c:v>
                </c:pt>
                <c:pt idx="3131">
                  <c:v>4.2258830586131467E-2</c:v>
                </c:pt>
                <c:pt idx="3132">
                  <c:v>6.2617703950342551E-2</c:v>
                </c:pt>
                <c:pt idx="3133">
                  <c:v>5.248386030935754E-2</c:v>
                </c:pt>
                <c:pt idx="3134">
                  <c:v>7.7833931157086034E-2</c:v>
                </c:pt>
                <c:pt idx="3135">
                  <c:v>5.7708314369416591E-2</c:v>
                </c:pt>
                <c:pt idx="3136">
                  <c:v>5.6453178859818903E-2</c:v>
                </c:pt>
                <c:pt idx="3137">
                  <c:v>5.0680912196206504E-2</c:v>
                </c:pt>
                <c:pt idx="3138">
                  <c:v>4.3684440378527319E-2</c:v>
                </c:pt>
                <c:pt idx="3139">
                  <c:v>4.6462776386716809E-2</c:v>
                </c:pt>
                <c:pt idx="3140">
                  <c:v>6.7343181580951719E-2</c:v>
                </c:pt>
                <c:pt idx="3141">
                  <c:v>4.1696584943037546E-2</c:v>
                </c:pt>
                <c:pt idx="3142">
                  <c:v>5.1196528725267039E-2</c:v>
                </c:pt>
                <c:pt idx="3143">
                  <c:v>4.4370399561635458E-2</c:v>
                </c:pt>
                <c:pt idx="3144">
                  <c:v>5.0729603297604266E-2</c:v>
                </c:pt>
                <c:pt idx="3145">
                  <c:v>4.8042286456784419E-2</c:v>
                </c:pt>
                <c:pt idx="3146">
                  <c:v>5.1054843460024278E-2</c:v>
                </c:pt>
                <c:pt idx="3147">
                  <c:v>6.011738625600023E-2</c:v>
                </c:pt>
                <c:pt idx="3148">
                  <c:v>6.0005816951835364E-2</c:v>
                </c:pt>
                <c:pt idx="3149">
                  <c:v>6.5082773894735407E-2</c:v>
                </c:pt>
                <c:pt idx="3150">
                  <c:v>5.1241688426938145E-2</c:v>
                </c:pt>
                <c:pt idx="3151">
                  <c:v>4.5403961287851638E-2</c:v>
                </c:pt>
                <c:pt idx="3152">
                  <c:v>4.7063706094010428E-2</c:v>
                </c:pt>
                <c:pt idx="3153">
                  <c:v>6.2265642499049111E-2</c:v>
                </c:pt>
                <c:pt idx="3154">
                  <c:v>5.8200846660891169E-2</c:v>
                </c:pt>
                <c:pt idx="3155">
                  <c:v>4.950022237844607E-2</c:v>
                </c:pt>
                <c:pt idx="3156">
                  <c:v>3.9375645723411443E-2</c:v>
                </c:pt>
                <c:pt idx="3157">
                  <c:v>5.2556592369407733E-2</c:v>
                </c:pt>
                <c:pt idx="3158">
                  <c:v>4.9503709963875438E-2</c:v>
                </c:pt>
                <c:pt idx="3159">
                  <c:v>4.1552555061408362E-2</c:v>
                </c:pt>
                <c:pt idx="3160">
                  <c:v>5.7932607440372257E-2</c:v>
                </c:pt>
                <c:pt idx="3161">
                  <c:v>3.067176111457344E-2</c:v>
                </c:pt>
                <c:pt idx="3162">
                  <c:v>3.9829177691232946E-2</c:v>
                </c:pt>
                <c:pt idx="3163">
                  <c:v>2.0981615295940528E-2</c:v>
                </c:pt>
                <c:pt idx="3164">
                  <c:v>2.9385807093934912E-2</c:v>
                </c:pt>
                <c:pt idx="3165">
                  <c:v>1.739231902418438E-2</c:v>
                </c:pt>
                <c:pt idx="3166">
                  <c:v>2.1104913658605711E-2</c:v>
                </c:pt>
                <c:pt idx="3167">
                  <c:v>3.1926884117136782E-2</c:v>
                </c:pt>
                <c:pt idx="3168">
                  <c:v>1.5796345587564847E-2</c:v>
                </c:pt>
                <c:pt idx="3169">
                  <c:v>2.3510078324700159E-2</c:v>
                </c:pt>
                <c:pt idx="3170">
                  <c:v>2.3455357424391341E-2</c:v>
                </c:pt>
                <c:pt idx="3171">
                  <c:v>2.2521159238804631E-2</c:v>
                </c:pt>
                <c:pt idx="3172">
                  <c:v>1.9546216130266018E-2</c:v>
                </c:pt>
                <c:pt idx="3173">
                  <c:v>2.4141133085086149E-2</c:v>
                </c:pt>
                <c:pt idx="3174">
                  <c:v>3.1888952247739168E-2</c:v>
                </c:pt>
                <c:pt idx="3175">
                  <c:v>4.5929784430250843E-2</c:v>
                </c:pt>
                <c:pt idx="3176">
                  <c:v>4.6785377405056623E-2</c:v>
                </c:pt>
                <c:pt idx="3177">
                  <c:v>3.9235208529142356E-2</c:v>
                </c:pt>
                <c:pt idx="3178">
                  <c:v>5.024592808318315E-2</c:v>
                </c:pt>
                <c:pt idx="3179">
                  <c:v>4.7353150185683875E-2</c:v>
                </c:pt>
                <c:pt idx="3180">
                  <c:v>5.1313471108030716E-2</c:v>
                </c:pt>
                <c:pt idx="3181">
                  <c:v>3.2622386670776445E-2</c:v>
                </c:pt>
                <c:pt idx="3182">
                  <c:v>4.3037516586522252E-2</c:v>
                </c:pt>
                <c:pt idx="3183">
                  <c:v>4.8632882157923121E-2</c:v>
                </c:pt>
                <c:pt idx="3184">
                  <c:v>4.1184963764986447E-2</c:v>
                </c:pt>
                <c:pt idx="3185">
                  <c:v>5.5979657413848985E-2</c:v>
                </c:pt>
                <c:pt idx="3186">
                  <c:v>4.7059809164468315E-2</c:v>
                </c:pt>
                <c:pt idx="3187">
                  <c:v>4.0516501119163467E-2</c:v>
                </c:pt>
                <c:pt idx="3188">
                  <c:v>3.7593808536431135E-2</c:v>
                </c:pt>
                <c:pt idx="3189">
                  <c:v>3.3010174615000658E-2</c:v>
                </c:pt>
                <c:pt idx="3190">
                  <c:v>3.4552659007441346E-2</c:v>
                </c:pt>
                <c:pt idx="3191">
                  <c:v>1.1599198268282516E-2</c:v>
                </c:pt>
                <c:pt idx="3192">
                  <c:v>8.1571358020668169E-3</c:v>
                </c:pt>
                <c:pt idx="3193">
                  <c:v>1.9867447855438612E-2</c:v>
                </c:pt>
                <c:pt idx="3194">
                  <c:v>3.3780293544778545E-2</c:v>
                </c:pt>
                <c:pt idx="3195">
                  <c:v>3.696167371423504E-2</c:v>
                </c:pt>
                <c:pt idx="3196">
                  <c:v>3.2175780243264909E-2</c:v>
                </c:pt>
                <c:pt idx="3197">
                  <c:v>2.4676501884787202E-2</c:v>
                </c:pt>
                <c:pt idx="3198">
                  <c:v>2.2407336470418458E-2</c:v>
                </c:pt>
                <c:pt idx="3199">
                  <c:v>2.2855856240657581E-2</c:v>
                </c:pt>
                <c:pt idx="3200">
                  <c:v>2.2941961898214149E-2</c:v>
                </c:pt>
                <c:pt idx="3201">
                  <c:v>2.1901784491172693E-2</c:v>
                </c:pt>
                <c:pt idx="3202">
                  <c:v>2.7900180555713416E-2</c:v>
                </c:pt>
                <c:pt idx="3203">
                  <c:v>2.8575319101233284E-2</c:v>
                </c:pt>
                <c:pt idx="3204">
                  <c:v>3.2257235510387484E-2</c:v>
                </c:pt>
                <c:pt idx="3205">
                  <c:v>3.6200377056131279E-2</c:v>
                </c:pt>
                <c:pt idx="3206">
                  <c:v>3.5350877556952133E-2</c:v>
                </c:pt>
                <c:pt idx="3207">
                  <c:v>3.8651948122731948E-2</c:v>
                </c:pt>
                <c:pt idx="3208">
                  <c:v>3.9936940810788538E-2</c:v>
                </c:pt>
                <c:pt idx="3209">
                  <c:v>3.5715437978497959E-2</c:v>
                </c:pt>
                <c:pt idx="3210">
                  <c:v>3.2116090447761196E-2</c:v>
                </c:pt>
                <c:pt idx="3211">
                  <c:v>3.8647577661888734E-2</c:v>
                </c:pt>
                <c:pt idx="3212">
                  <c:v>8.5776048937135554E-3</c:v>
                </c:pt>
                <c:pt idx="3213">
                  <c:v>3.1954799088988093E-3</c:v>
                </c:pt>
                <c:pt idx="3214">
                  <c:v>5.4748060643482399E-3</c:v>
                </c:pt>
                <c:pt idx="3215">
                  <c:v>4.7451415802742154E-3</c:v>
                </c:pt>
                <c:pt idx="3216">
                  <c:v>3.1838397632205865E-3</c:v>
                </c:pt>
                <c:pt idx="3217">
                  <c:v>4.3424430038519826E-3</c:v>
                </c:pt>
                <c:pt idx="3218">
                  <c:v>3.5027531317583936E-3</c:v>
                </c:pt>
                <c:pt idx="3219">
                  <c:v>5.6055868531723852E-3</c:v>
                </c:pt>
                <c:pt idx="3220">
                  <c:v>4.556517124920262E-3</c:v>
                </c:pt>
                <c:pt idx="3221">
                  <c:v>2.9863408567849378E-3</c:v>
                </c:pt>
                <c:pt idx="3222">
                  <c:v>3.2066886432125033E-3</c:v>
                </c:pt>
                <c:pt idx="3223">
                  <c:v>5.4752349181760212E-3</c:v>
                </c:pt>
                <c:pt idx="3224">
                  <c:v>3.209275233126288E-3</c:v>
                </c:pt>
                <c:pt idx="3225">
                  <c:v>3.9058002940038136E-3</c:v>
                </c:pt>
                <c:pt idx="3226">
                  <c:v>4.0620096453569806E-3</c:v>
                </c:pt>
                <c:pt idx="3227">
                  <c:v>5.3963186832646677E-3</c:v>
                </c:pt>
                <c:pt idx="3228">
                  <c:v>3.854148479497417E-3</c:v>
                </c:pt>
                <c:pt idx="3229">
                  <c:v>3.7917276730730122E-3</c:v>
                </c:pt>
                <c:pt idx="3230">
                  <c:v>5.5266943032834725E-3</c:v>
                </c:pt>
                <c:pt idx="3231">
                  <c:v>3.3019512067264949E-3</c:v>
                </c:pt>
                <c:pt idx="3232">
                  <c:v>3.5126615525046066E-3</c:v>
                </c:pt>
                <c:pt idx="3233">
                  <c:v>2.7995398278982172E-3</c:v>
                </c:pt>
                <c:pt idx="3234">
                  <c:v>1.0408516690846756E-2</c:v>
                </c:pt>
                <c:pt idx="3235">
                  <c:v>7.4968556690813747E-3</c:v>
                </c:pt>
                <c:pt idx="3236">
                  <c:v>2.2464312087518944E-3</c:v>
                </c:pt>
                <c:pt idx="3237">
                  <c:v>3.5230005331412691E-3</c:v>
                </c:pt>
                <c:pt idx="3238">
                  <c:v>4.6192578132780455E-3</c:v>
                </c:pt>
                <c:pt idx="3239">
                  <c:v>2.1405651131339506E-3</c:v>
                </c:pt>
                <c:pt idx="3240">
                  <c:v>2.4554949440968514E-3</c:v>
                </c:pt>
                <c:pt idx="3241">
                  <c:v>2.902657028121502E-3</c:v>
                </c:pt>
                <c:pt idx="3242">
                  <c:v>2.4611089047142454E-3</c:v>
                </c:pt>
                <c:pt idx="3243">
                  <c:v>2.1699509434090019E-3</c:v>
                </c:pt>
                <c:pt idx="3244">
                  <c:v>2.2593926308536929E-3</c:v>
                </c:pt>
                <c:pt idx="3245">
                  <c:v>4.1459005672336621E-3</c:v>
                </c:pt>
                <c:pt idx="3246">
                  <c:v>3.1592650977560299E-3</c:v>
                </c:pt>
                <c:pt idx="3247">
                  <c:v>4.3385732235233709E-3</c:v>
                </c:pt>
                <c:pt idx="3248">
                  <c:v>2.8228404159080815E-3</c:v>
                </c:pt>
                <c:pt idx="3249">
                  <c:v>5.4765214771186734E-3</c:v>
                </c:pt>
                <c:pt idx="3250">
                  <c:v>2.5656016936945439E-3</c:v>
                </c:pt>
                <c:pt idx="3251">
                  <c:v>2.3228980081141629E-3</c:v>
                </c:pt>
                <c:pt idx="3252">
                  <c:v>3.7202555953811454E-3</c:v>
                </c:pt>
                <c:pt idx="3253">
                  <c:v>2.8245663356611015E-3</c:v>
                </c:pt>
                <c:pt idx="3254">
                  <c:v>3.6858070199620439E-3</c:v>
                </c:pt>
                <c:pt idx="3255">
                  <c:v>2.4010789497855237E-3</c:v>
                </c:pt>
                <c:pt idx="3256">
                  <c:v>5.7316136911505907E-3</c:v>
                </c:pt>
                <c:pt idx="3257">
                  <c:v>1.841840403709059E-3</c:v>
                </c:pt>
                <c:pt idx="3258">
                  <c:v>2.3825068514737578E-3</c:v>
                </c:pt>
                <c:pt idx="3259">
                  <c:v>2.142293746427151E-3</c:v>
                </c:pt>
                <c:pt idx="3260">
                  <c:v>2.4140357573503237E-3</c:v>
                </c:pt>
                <c:pt idx="3261">
                  <c:v>1.4091684058763338E-3</c:v>
                </c:pt>
                <c:pt idx="3262">
                  <c:v>2.6506454458616983E-3</c:v>
                </c:pt>
                <c:pt idx="3263">
                  <c:v>2.2256921287476346E-3</c:v>
                </c:pt>
                <c:pt idx="3264">
                  <c:v>2.3976237358156686E-3</c:v>
                </c:pt>
                <c:pt idx="3265">
                  <c:v>2.7399882006130436E-3</c:v>
                </c:pt>
                <c:pt idx="3266">
                  <c:v>2.1863715708087179E-3</c:v>
                </c:pt>
                <c:pt idx="3267">
                  <c:v>1.9728549721009093E-3</c:v>
                </c:pt>
                <c:pt idx="3268">
                  <c:v>3.473888182840694E-3</c:v>
                </c:pt>
                <c:pt idx="3269">
                  <c:v>2.9121477574945405E-3</c:v>
                </c:pt>
                <c:pt idx="3270">
                  <c:v>2.3358571483162094E-3</c:v>
                </c:pt>
                <c:pt idx="3271">
                  <c:v>1.9724226457845011E-3</c:v>
                </c:pt>
                <c:pt idx="3272">
                  <c:v>1.8699491692541698E-3</c:v>
                </c:pt>
                <c:pt idx="3273">
                  <c:v>1.5355531927508067E-3</c:v>
                </c:pt>
                <c:pt idx="3274">
                  <c:v>2.879792146551723E-3</c:v>
                </c:pt>
                <c:pt idx="3275">
                  <c:v>2.4477216480512662E-3</c:v>
                </c:pt>
                <c:pt idx="3276">
                  <c:v>2.3259218420825455E-3</c:v>
                </c:pt>
                <c:pt idx="3277">
                  <c:v>2.7343778438289725E-3</c:v>
                </c:pt>
                <c:pt idx="3278">
                  <c:v>6.0370983998611315E-3</c:v>
                </c:pt>
                <c:pt idx="3279">
                  <c:v>4.9633109579160081E-3</c:v>
                </c:pt>
                <c:pt idx="3280">
                  <c:v>2.6329473569904672E-3</c:v>
                </c:pt>
                <c:pt idx="3281">
                  <c:v>8.306284904158346E-3</c:v>
                </c:pt>
                <c:pt idx="3282">
                  <c:v>2.17600072047397E-3</c:v>
                </c:pt>
                <c:pt idx="3283">
                  <c:v>5.4602247822254134E-3</c:v>
                </c:pt>
                <c:pt idx="3284">
                  <c:v>2.8409622312348393E-3</c:v>
                </c:pt>
                <c:pt idx="3285">
                  <c:v>1.0012735351363483E-2</c:v>
                </c:pt>
                <c:pt idx="3286">
                  <c:v>8.0100672547117752E-3</c:v>
                </c:pt>
                <c:pt idx="3287">
                  <c:v>2.7123672826820503E-3</c:v>
                </c:pt>
                <c:pt idx="3288">
                  <c:v>4.0172611934818107E-3</c:v>
                </c:pt>
                <c:pt idx="3289">
                  <c:v>5.109268632832736E-3</c:v>
                </c:pt>
                <c:pt idx="3290">
                  <c:v>3.0471524913347919E-3</c:v>
                </c:pt>
                <c:pt idx="3291">
                  <c:v>2.9030884294106237E-3</c:v>
                </c:pt>
                <c:pt idx="3292">
                  <c:v>3.0040245505428575E-3</c:v>
                </c:pt>
                <c:pt idx="3293">
                  <c:v>5.3937450863348847E-3</c:v>
                </c:pt>
                <c:pt idx="3294">
                  <c:v>2.1578511364506209E-3</c:v>
                </c:pt>
                <c:pt idx="3295">
                  <c:v>3.8464001774526279E-3</c:v>
                </c:pt>
                <c:pt idx="3296">
                  <c:v>2.5224259032373894E-3</c:v>
                </c:pt>
                <c:pt idx="3297">
                  <c:v>4.384148447907626E-3</c:v>
                </c:pt>
                <c:pt idx="3298">
                  <c:v>2.3008665822677916E-3</c:v>
                </c:pt>
                <c:pt idx="3299">
                  <c:v>2.3626381460709247E-3</c:v>
                </c:pt>
                <c:pt idx="3300">
                  <c:v>2.5194034371504369E-3</c:v>
                </c:pt>
                <c:pt idx="3301">
                  <c:v>4.7777880660551404E-3</c:v>
                </c:pt>
                <c:pt idx="3302">
                  <c:v>4.2241841432871033E-3</c:v>
                </c:pt>
                <c:pt idx="3303">
                  <c:v>2.2714896091512379E-3</c:v>
                </c:pt>
                <c:pt idx="3304">
                  <c:v>2.9820276515162649E-3</c:v>
                </c:pt>
                <c:pt idx="3305">
                  <c:v>2.6851762257665236E-3</c:v>
                </c:pt>
                <c:pt idx="3306">
                  <c:v>2.4023746479371237E-3</c:v>
                </c:pt>
                <c:pt idx="3307">
                  <c:v>5.4456430105247157E-3</c:v>
                </c:pt>
                <c:pt idx="3308">
                  <c:v>4.1661180070937864E-3</c:v>
                </c:pt>
                <c:pt idx="3309">
                  <c:v>2.7930672204771415E-3</c:v>
                </c:pt>
                <c:pt idx="3310">
                  <c:v>2.605751327005051E-3</c:v>
                </c:pt>
                <c:pt idx="3311">
                  <c:v>2.6679111790071548E-3</c:v>
                </c:pt>
                <c:pt idx="3312">
                  <c:v>4.9551530522274874E-3</c:v>
                </c:pt>
                <c:pt idx="3313">
                  <c:v>5.4293451568686747E-3</c:v>
                </c:pt>
                <c:pt idx="3314">
                  <c:v>3.4424361290916017E-3</c:v>
                </c:pt>
                <c:pt idx="3315">
                  <c:v>3.4588087152858009E-3</c:v>
                </c:pt>
                <c:pt idx="3316">
                  <c:v>9.3238184512584865E-3</c:v>
                </c:pt>
                <c:pt idx="3317">
                  <c:v>2.8646920364640612E-3</c:v>
                </c:pt>
                <c:pt idx="3318">
                  <c:v>3.1894443167509506E-3</c:v>
                </c:pt>
                <c:pt idx="3319">
                  <c:v>3.9385099328008806E-3</c:v>
                </c:pt>
                <c:pt idx="3320">
                  <c:v>3.8270288175260188E-3</c:v>
                </c:pt>
                <c:pt idx="3321">
                  <c:v>2.2287166395983733E-3</c:v>
                </c:pt>
                <c:pt idx="3322">
                  <c:v>2.4995409938384024E-3</c:v>
                </c:pt>
                <c:pt idx="3323">
                  <c:v>2.4494490591963174E-3</c:v>
                </c:pt>
                <c:pt idx="3324">
                  <c:v>4.7150702773669723E-3</c:v>
                </c:pt>
                <c:pt idx="3325">
                  <c:v>4.67855232434567E-3</c:v>
                </c:pt>
                <c:pt idx="3326">
                  <c:v>2.1682224201970586E-3</c:v>
                </c:pt>
                <c:pt idx="3327">
                  <c:v>2.568623838283721E-3</c:v>
                </c:pt>
                <c:pt idx="3328">
                  <c:v>3.0467212331262454E-3</c:v>
                </c:pt>
                <c:pt idx="3329">
                  <c:v>3.0902761496993327E-3</c:v>
                </c:pt>
                <c:pt idx="3330">
                  <c:v>2.8961859573602838E-3</c:v>
                </c:pt>
                <c:pt idx="3331">
                  <c:v>4.8336250506527973E-3</c:v>
                </c:pt>
                <c:pt idx="3332">
                  <c:v>3.4911212189454414E-3</c:v>
                </c:pt>
                <c:pt idx="3333">
                  <c:v>3.3579782493054736E-3</c:v>
                </c:pt>
                <c:pt idx="3334">
                  <c:v>2.6092048855308565E-3</c:v>
                </c:pt>
                <c:pt idx="3335">
                  <c:v>4.2370866748635463E-3</c:v>
                </c:pt>
                <c:pt idx="3336">
                  <c:v>2.9168930444060976E-3</c:v>
                </c:pt>
                <c:pt idx="3337">
                  <c:v>2.7887520952703496E-3</c:v>
                </c:pt>
                <c:pt idx="3338">
                  <c:v>2.8470026683099811E-3</c:v>
                </c:pt>
                <c:pt idx="3339">
                  <c:v>4.1970875791940325E-3</c:v>
                </c:pt>
                <c:pt idx="3340">
                  <c:v>7.0962022282280685E-2</c:v>
                </c:pt>
                <c:pt idx="3341">
                  <c:v>2.4019427489828066E-3</c:v>
                </c:pt>
                <c:pt idx="3342">
                  <c:v>3.6143175072902169E-3</c:v>
                </c:pt>
                <c:pt idx="3343">
                  <c:v>4.0073642786129134E-3</c:v>
                </c:pt>
                <c:pt idx="3344">
                  <c:v>2.0593115861432653E-3</c:v>
                </c:pt>
                <c:pt idx="3345">
                  <c:v>2.8241348563658956E-3</c:v>
                </c:pt>
                <c:pt idx="3346">
                  <c:v>3.1739238374848457E-3</c:v>
                </c:pt>
                <c:pt idx="3347">
                  <c:v>3.4893979461064106E-3</c:v>
                </c:pt>
                <c:pt idx="3348">
                  <c:v>4.1773017184419973E-3</c:v>
                </c:pt>
                <c:pt idx="3349">
                  <c:v>3.2247944491056299E-3</c:v>
                </c:pt>
                <c:pt idx="3350">
                  <c:v>4.2998735236266187E-3</c:v>
                </c:pt>
                <c:pt idx="3351">
                  <c:v>2.5962538994500398E-3</c:v>
                </c:pt>
                <c:pt idx="3352">
                  <c:v>4.5659717812608523E-3</c:v>
                </c:pt>
                <c:pt idx="3353">
                  <c:v>3.0859639765478454E-3</c:v>
                </c:pt>
                <c:pt idx="3354">
                  <c:v>5.931724026223043E-3</c:v>
                </c:pt>
                <c:pt idx="3355">
                  <c:v>4.2564397535249914E-3</c:v>
                </c:pt>
                <c:pt idx="3356">
                  <c:v>6.3151645462577483E-2</c:v>
                </c:pt>
                <c:pt idx="3357">
                  <c:v>5.9171353635744849E-2</c:v>
                </c:pt>
                <c:pt idx="3358">
                  <c:v>4.5083463902679033E-2</c:v>
                </c:pt>
                <c:pt idx="3359">
                  <c:v>5.6408557859256143E-2</c:v>
                </c:pt>
                <c:pt idx="3360">
                  <c:v>4.9633505724817166E-2</c:v>
                </c:pt>
                <c:pt idx="3361">
                  <c:v>6.6372893727502297E-2</c:v>
                </c:pt>
                <c:pt idx="3362">
                  <c:v>5.9572883676094014E-2</c:v>
                </c:pt>
                <c:pt idx="3363">
                  <c:v>4.1848849525709123E-2</c:v>
                </c:pt>
                <c:pt idx="3364">
                  <c:v>6.2070305868859366E-2</c:v>
                </c:pt>
                <c:pt idx="3365">
                  <c:v>6.6690356110182578E-2</c:v>
                </c:pt>
                <c:pt idx="3366">
                  <c:v>5.1917750330901305E-2</c:v>
                </c:pt>
                <c:pt idx="3367">
                  <c:v>6.2282198790658591E-2</c:v>
                </c:pt>
                <c:pt idx="3368">
                  <c:v>4.9204062980338491E-2</c:v>
                </c:pt>
                <c:pt idx="3369">
                  <c:v>2.6500578854439395E-2</c:v>
                </c:pt>
                <c:pt idx="3370">
                  <c:v>2.9955290192450496E-2</c:v>
                </c:pt>
                <c:pt idx="3371">
                  <c:v>3.5155866203273003E-2</c:v>
                </c:pt>
                <c:pt idx="3372">
                  <c:v>2.7213385138770415E-2</c:v>
                </c:pt>
                <c:pt idx="3373">
                  <c:v>1.8839001542651949E-2</c:v>
                </c:pt>
                <c:pt idx="3374">
                  <c:v>3.2823370897042681E-2</c:v>
                </c:pt>
                <c:pt idx="3375">
                  <c:v>2.2161443464921902E-2</c:v>
                </c:pt>
                <c:pt idx="3376">
                  <c:v>2.5787828493356448E-2</c:v>
                </c:pt>
                <c:pt idx="3377">
                  <c:v>3.2372940241889102E-2</c:v>
                </c:pt>
                <c:pt idx="3378">
                  <c:v>2.3161886411512948E-2</c:v>
                </c:pt>
                <c:pt idx="3379">
                  <c:v>3.4565894465447257E-2</c:v>
                </c:pt>
                <c:pt idx="3380">
                  <c:v>5.0819628812815376E-2</c:v>
                </c:pt>
                <c:pt idx="3381">
                  <c:v>5.1174526143708779E-2</c:v>
                </c:pt>
                <c:pt idx="3382">
                  <c:v>5.3081902452244333E-2</c:v>
                </c:pt>
                <c:pt idx="3383">
                  <c:v>5.9252068255130873E-2</c:v>
                </c:pt>
                <c:pt idx="3384">
                  <c:v>7.0342320422880245E-2</c:v>
                </c:pt>
                <c:pt idx="3385">
                  <c:v>5.2991960308102576E-2</c:v>
                </c:pt>
                <c:pt idx="3386">
                  <c:v>6.208536384025292E-2</c:v>
                </c:pt>
                <c:pt idx="3387">
                  <c:v>6.088662300466223E-2</c:v>
                </c:pt>
                <c:pt idx="3388">
                  <c:v>5.5047514629178354E-2</c:v>
                </c:pt>
                <c:pt idx="3389">
                  <c:v>4.2206815967456929E-2</c:v>
                </c:pt>
                <c:pt idx="3390">
                  <c:v>4.9415736752775344E-2</c:v>
                </c:pt>
                <c:pt idx="3391">
                  <c:v>5.6360880784114539E-2</c:v>
                </c:pt>
                <c:pt idx="3392">
                  <c:v>5.4537601783300131E-2</c:v>
                </c:pt>
                <c:pt idx="3393">
                  <c:v>5.332741884975805E-2</c:v>
                </c:pt>
                <c:pt idx="3394">
                  <c:v>4.9639316568052275E-2</c:v>
                </c:pt>
                <c:pt idx="3395">
                  <c:v>4.5464590473258064E-2</c:v>
                </c:pt>
                <c:pt idx="3396">
                  <c:v>3.3447882287983843E-2</c:v>
                </c:pt>
                <c:pt idx="3397">
                  <c:v>3.4622040408293274E-2</c:v>
                </c:pt>
                <c:pt idx="3398">
                  <c:v>3.8716307998538979E-2</c:v>
                </c:pt>
                <c:pt idx="3399">
                  <c:v>4.8719461244958975E-2</c:v>
                </c:pt>
                <c:pt idx="3400">
                  <c:v>3.9098694966627073E-2</c:v>
                </c:pt>
                <c:pt idx="3401">
                  <c:v>4.4475081759167472E-2</c:v>
                </c:pt>
                <c:pt idx="3402">
                  <c:v>5.1499047670150247E-2</c:v>
                </c:pt>
                <c:pt idx="3403">
                  <c:v>3.7887243098070948E-2</c:v>
                </c:pt>
                <c:pt idx="3404">
                  <c:v>4.9157527439900907E-2</c:v>
                </c:pt>
                <c:pt idx="3405">
                  <c:v>3.5738237846306538E-2</c:v>
                </c:pt>
                <c:pt idx="3406">
                  <c:v>3.4909874870158723E-2</c:v>
                </c:pt>
                <c:pt idx="3407">
                  <c:v>4.2524323310538556E-2</c:v>
                </c:pt>
                <c:pt idx="3408">
                  <c:v>2.2961323020444086E-2</c:v>
                </c:pt>
                <c:pt idx="3409">
                  <c:v>3.6101674082234171E-2</c:v>
                </c:pt>
                <c:pt idx="3410">
                  <c:v>4.2341962230206497E-2</c:v>
                </c:pt>
                <c:pt idx="3411">
                  <c:v>3.7651953792248991E-2</c:v>
                </c:pt>
                <c:pt idx="3412">
                  <c:v>4.9912338536536031E-2</c:v>
                </c:pt>
                <c:pt idx="3413">
                  <c:v>3.3776677378972254E-2</c:v>
                </c:pt>
                <c:pt idx="3414">
                  <c:v>4.0781083932368477E-2</c:v>
                </c:pt>
                <c:pt idx="3415">
                  <c:v>5.6831319818052346E-2</c:v>
                </c:pt>
                <c:pt idx="3416">
                  <c:v>4.7184103986343075E-2</c:v>
                </c:pt>
                <c:pt idx="3417">
                  <c:v>3.4622040408293274E-2</c:v>
                </c:pt>
                <c:pt idx="3418">
                  <c:v>3.7092081999515233E-2</c:v>
                </c:pt>
                <c:pt idx="3419">
                  <c:v>4.3002509634067564E-2</c:v>
                </c:pt>
                <c:pt idx="3420">
                  <c:v>3.6046518521888019E-2</c:v>
                </c:pt>
                <c:pt idx="3421">
                  <c:v>4.3474276182478309E-2</c:v>
                </c:pt>
                <c:pt idx="3422">
                  <c:v>3.9521985322154583E-2</c:v>
                </c:pt>
                <c:pt idx="3423">
                  <c:v>4.7669253557995027E-2</c:v>
                </c:pt>
                <c:pt idx="3424">
                  <c:v>4.2356538177362978E-2</c:v>
                </c:pt>
                <c:pt idx="3425">
                  <c:v>4.2843172687296698E-2</c:v>
                </c:pt>
                <c:pt idx="3426">
                  <c:v>4.4895124976549461E-2</c:v>
                </c:pt>
                <c:pt idx="3427">
                  <c:v>4.7716337941202572E-2</c:v>
                </c:pt>
                <c:pt idx="3428">
                  <c:v>2.0760169624229375E-2</c:v>
                </c:pt>
                <c:pt idx="3429">
                  <c:v>3.2340691150536928E-2</c:v>
                </c:pt>
                <c:pt idx="3430">
                  <c:v>3.5556205535156427E-2</c:v>
                </c:pt>
                <c:pt idx="3431">
                  <c:v>3.9039552224601634E-2</c:v>
                </c:pt>
                <c:pt idx="3432">
                  <c:v>3.646840028566993E-2</c:v>
                </c:pt>
                <c:pt idx="3433">
                  <c:v>4.6454581462776506E-2</c:v>
                </c:pt>
                <c:pt idx="3434">
                  <c:v>3.6510326364530069E-2</c:v>
                </c:pt>
                <c:pt idx="3435">
                  <c:v>4.5889148689224363E-2</c:v>
                </c:pt>
                <c:pt idx="3436">
                  <c:v>4.5649945932381378E-2</c:v>
                </c:pt>
                <c:pt idx="3437">
                  <c:v>3.4516961367265779E-2</c:v>
                </c:pt>
                <c:pt idx="3438">
                  <c:v>3.2684020980710819E-2</c:v>
                </c:pt>
                <c:pt idx="3439">
                  <c:v>3.9362556039774031E-2</c:v>
                </c:pt>
                <c:pt idx="3440">
                  <c:v>3.7501795685255281E-2</c:v>
                </c:pt>
                <c:pt idx="3441">
                  <c:v>3.0472207663728466E-2</c:v>
                </c:pt>
                <c:pt idx="3442">
                  <c:v>4.2787292555370102E-2</c:v>
                </c:pt>
                <c:pt idx="3443">
                  <c:v>4.2636931432582646E-2</c:v>
                </c:pt>
                <c:pt idx="3444">
                  <c:v>3.8615791168970612E-2</c:v>
                </c:pt>
                <c:pt idx="3445">
                  <c:v>4.6402286401589762E-2</c:v>
                </c:pt>
                <c:pt idx="3446">
                  <c:v>2.434813302080013E-2</c:v>
                </c:pt>
                <c:pt idx="3447">
                  <c:v>2.6310544684180245E-2</c:v>
                </c:pt>
                <c:pt idx="3448">
                  <c:v>4.0766850395032701E-2</c:v>
                </c:pt>
                <c:pt idx="3449">
                  <c:v>4.8869671888789219E-2</c:v>
                </c:pt>
                <c:pt idx="3450">
                  <c:v>4.9951825378442317E-2</c:v>
                </c:pt>
                <c:pt idx="3451">
                  <c:v>4.935526905880884E-2</c:v>
                </c:pt>
                <c:pt idx="3452">
                  <c:v>5.5187138555753981E-2</c:v>
                </c:pt>
                <c:pt idx="3453">
                  <c:v>4.4536232715324552E-2</c:v>
                </c:pt>
                <c:pt idx="3454">
                  <c:v>4.945798162004076E-2</c:v>
                </c:pt>
                <c:pt idx="3455">
                  <c:v>4.9450230576065249E-2</c:v>
                </c:pt>
                <c:pt idx="3456">
                  <c:v>3.9906833219178491E-2</c:v>
                </c:pt>
                <c:pt idx="3457">
                  <c:v>3.7329268843397136E-2</c:v>
                </c:pt>
                <c:pt idx="3458">
                  <c:v>5.4578585373020849E-2</c:v>
                </c:pt>
                <c:pt idx="3459">
                  <c:v>5.1758182006795835E-2</c:v>
                </c:pt>
                <c:pt idx="3460">
                  <c:v>2.5562678601663672E-2</c:v>
                </c:pt>
                <c:pt idx="3461">
                  <c:v>4.7717116152587245E-2</c:v>
                </c:pt>
                <c:pt idx="3462">
                  <c:v>5.3765852380714844E-2</c:v>
                </c:pt>
                <c:pt idx="3463">
                  <c:v>2.9484019140991448E-2</c:v>
                </c:pt>
                <c:pt idx="3464">
                  <c:v>4.6591923574431413E-2</c:v>
                </c:pt>
                <c:pt idx="3465">
                  <c:v>5.7676371696516439E-2</c:v>
                </c:pt>
                <c:pt idx="3466">
                  <c:v>5.6376519441598473E-2</c:v>
                </c:pt>
                <c:pt idx="3467">
                  <c:v>5.889878359070029E-2</c:v>
                </c:pt>
                <c:pt idx="3468">
                  <c:v>4.8048507438100629E-2</c:v>
                </c:pt>
                <c:pt idx="3469">
                  <c:v>6.4804537726596056E-2</c:v>
                </c:pt>
                <c:pt idx="3470">
                  <c:v>5.0881824383966233E-2</c:v>
                </c:pt>
                <c:pt idx="3471">
                  <c:v>5.9219481059502851E-2</c:v>
                </c:pt>
                <c:pt idx="3472">
                  <c:v>4.7131896701293155E-2</c:v>
                </c:pt>
                <c:pt idx="3473">
                  <c:v>7.3551197268405963E-2</c:v>
                </c:pt>
                <c:pt idx="3474">
                  <c:v>4.3755519639823735E-2</c:v>
                </c:pt>
                <c:pt idx="3475">
                  <c:v>5.4797992454089596E-2</c:v>
                </c:pt>
                <c:pt idx="3476">
                  <c:v>4.9676116769817071E-2</c:v>
                </c:pt>
                <c:pt idx="3477">
                  <c:v>4.7287720752630824E-2</c:v>
                </c:pt>
                <c:pt idx="3478">
                  <c:v>4.6730782229496684E-2</c:v>
                </c:pt>
                <c:pt idx="3479">
                  <c:v>4.1687115952063959E-2</c:v>
                </c:pt>
                <c:pt idx="3480">
                  <c:v>4.7580129469464764E-2</c:v>
                </c:pt>
                <c:pt idx="3481">
                  <c:v>6.2657556172840467E-2</c:v>
                </c:pt>
                <c:pt idx="3482">
                  <c:v>4.3056788872815652E-2</c:v>
                </c:pt>
                <c:pt idx="3483">
                  <c:v>5.9238427401018208E-2</c:v>
                </c:pt>
                <c:pt idx="3484">
                  <c:v>3.5375698181937462E-2</c:v>
                </c:pt>
                <c:pt idx="3485">
                  <c:v>4.555493181352057E-2</c:v>
                </c:pt>
                <c:pt idx="3486">
                  <c:v>4.5265460303286591E-2</c:v>
                </c:pt>
                <c:pt idx="3487">
                  <c:v>6.1349925226992237E-2</c:v>
                </c:pt>
                <c:pt idx="3488">
                  <c:v>5.3722873215988051E-2</c:v>
                </c:pt>
                <c:pt idx="3489">
                  <c:v>4.7168909976223292E-2</c:v>
                </c:pt>
                <c:pt idx="3490">
                  <c:v>6.0256524069070443E-2</c:v>
                </c:pt>
                <c:pt idx="3491">
                  <c:v>4.5672230185297827E-2</c:v>
                </c:pt>
                <c:pt idx="3492">
                  <c:v>5.8885510862272901E-2</c:v>
                </c:pt>
                <c:pt idx="3493">
                  <c:v>5.8675747899272455E-2</c:v>
                </c:pt>
                <c:pt idx="3494">
                  <c:v>4.7759915631393333E-2</c:v>
                </c:pt>
                <c:pt idx="3495">
                  <c:v>5.9008362905297276E-2</c:v>
                </c:pt>
                <c:pt idx="3496">
                  <c:v>5.3976465535033928E-2</c:v>
                </c:pt>
                <c:pt idx="3497">
                  <c:v>5.6831700842463806E-2</c:v>
                </c:pt>
                <c:pt idx="3498">
                  <c:v>5.2325654883836323E-2</c:v>
                </c:pt>
                <c:pt idx="3499">
                  <c:v>5.2125409681886503E-2</c:v>
                </c:pt>
                <c:pt idx="3500">
                  <c:v>0</c:v>
                </c:pt>
                <c:pt idx="3501">
                  <c:v>2.4041022394594319E-3</c:v>
                </c:pt>
                <c:pt idx="3502">
                  <c:v>5.1976779543429609E-3</c:v>
                </c:pt>
                <c:pt idx="3503">
                  <c:v>2.3958961185222018E-3</c:v>
                </c:pt>
                <c:pt idx="3504">
                  <c:v>3.4592395644821661E-3</c:v>
                </c:pt>
                <c:pt idx="3505">
                  <c:v>3.0665586674982945E-3</c:v>
                </c:pt>
                <c:pt idx="3506">
                  <c:v>4.267191091256067E-3</c:v>
                </c:pt>
                <c:pt idx="3507">
                  <c:v>4.201388733993101E-3</c:v>
                </c:pt>
                <c:pt idx="3508">
                  <c:v>3.3786633303993941E-3</c:v>
                </c:pt>
                <c:pt idx="3509">
                  <c:v>3.335568299612345E-3</c:v>
                </c:pt>
                <c:pt idx="3510">
                  <c:v>5.9492881974354626E-3</c:v>
                </c:pt>
                <c:pt idx="3511">
                  <c:v>3.9118259388950761E-3</c:v>
                </c:pt>
                <c:pt idx="3512">
                  <c:v>3.1208913479569083E-3</c:v>
                </c:pt>
                <c:pt idx="3513">
                  <c:v>2.5811439275489965E-3</c:v>
                </c:pt>
                <c:pt idx="3514">
                  <c:v>4.7404162277071031E-3</c:v>
                </c:pt>
                <c:pt idx="3515">
                  <c:v>1.8894080181857799E-3</c:v>
                </c:pt>
                <c:pt idx="3516">
                  <c:v>2.6143851718267771E-3</c:v>
                </c:pt>
                <c:pt idx="3517">
                  <c:v>3.126927892885792E-3</c:v>
                </c:pt>
                <c:pt idx="3518">
                  <c:v>2.7637235235434248E-3</c:v>
                </c:pt>
                <c:pt idx="3519">
                  <c:v>2.9324227117937095E-3</c:v>
                </c:pt>
                <c:pt idx="3520">
                  <c:v>3.0557775655746379E-3</c:v>
                </c:pt>
                <c:pt idx="3521">
                  <c:v>2.6260405900753372E-3</c:v>
                </c:pt>
                <c:pt idx="3522">
                  <c:v>4.425419996040094E-3</c:v>
                </c:pt>
                <c:pt idx="3523">
                  <c:v>3.0165320942982599E-3</c:v>
                </c:pt>
                <c:pt idx="3524">
                  <c:v>3.6199165083100255E-3</c:v>
                </c:pt>
                <c:pt idx="3525">
                  <c:v>3.5518622181486799E-3</c:v>
                </c:pt>
                <c:pt idx="3526">
                  <c:v>4.1046024462065732E-3</c:v>
                </c:pt>
                <c:pt idx="3527">
                  <c:v>2.580712206341291E-3</c:v>
                </c:pt>
                <c:pt idx="3528">
                  <c:v>1.0733186734277997E-2</c:v>
                </c:pt>
                <c:pt idx="3529">
                  <c:v>4.6317189258907312E-3</c:v>
                </c:pt>
                <c:pt idx="3530">
                  <c:v>3.2674694337761871E-3</c:v>
                </c:pt>
                <c:pt idx="3531">
                  <c:v>2.6899239933005324E-3</c:v>
                </c:pt>
                <c:pt idx="3532">
                  <c:v>5.6673188535507736E-3</c:v>
                </c:pt>
                <c:pt idx="3533">
                  <c:v>3.5342008177494848E-3</c:v>
                </c:pt>
                <c:pt idx="3534">
                  <c:v>3.5936436474291256E-3</c:v>
                </c:pt>
                <c:pt idx="3535">
                  <c:v>4.3445928669129602E-3</c:v>
                </c:pt>
                <c:pt idx="3536">
                  <c:v>7.7307130492886601E-3</c:v>
                </c:pt>
                <c:pt idx="3537">
                  <c:v>3.2088441358771687E-3</c:v>
                </c:pt>
                <c:pt idx="3538">
                  <c:v>3.0609525278988466E-3</c:v>
                </c:pt>
                <c:pt idx="3539">
                  <c:v>1.8145947869743124E-3</c:v>
                </c:pt>
                <c:pt idx="3540">
                  <c:v>4.0465203184042323E-3</c:v>
                </c:pt>
                <c:pt idx="3541">
                  <c:v>2.5129266532744362E-3</c:v>
                </c:pt>
                <c:pt idx="3542">
                  <c:v>3.2273809311867351E-3</c:v>
                </c:pt>
                <c:pt idx="3543">
                  <c:v>3.1256343546073842E-3</c:v>
                </c:pt>
                <c:pt idx="3544">
                  <c:v>3.1372760604153941E-3</c:v>
                </c:pt>
                <c:pt idx="3545">
                  <c:v>2.8612405090113857E-3</c:v>
                </c:pt>
                <c:pt idx="3546">
                  <c:v>3.3226389564498353E-3</c:v>
                </c:pt>
                <c:pt idx="3547">
                  <c:v>5.8327516374486891E-3</c:v>
                </c:pt>
                <c:pt idx="3548">
                  <c:v>3.3614258312394223E-3</c:v>
                </c:pt>
                <c:pt idx="3549">
                  <c:v>3.2648831904357584E-3</c:v>
                </c:pt>
                <c:pt idx="3550">
                  <c:v>2.4554949440968514E-3</c:v>
                </c:pt>
                <c:pt idx="3551">
                  <c:v>2.3401767757862228E-3</c:v>
                </c:pt>
                <c:pt idx="3552">
                  <c:v>2.142293746427151E-3</c:v>
                </c:pt>
                <c:pt idx="3553">
                  <c:v>3.5647847390274582E-3</c:v>
                </c:pt>
                <c:pt idx="3554">
                  <c:v>3.4557927589435886E-3</c:v>
                </c:pt>
                <c:pt idx="3555">
                  <c:v>3.7193944142970949E-3</c:v>
                </c:pt>
                <c:pt idx="3556">
                  <c:v>3.2515206878215817E-3</c:v>
                </c:pt>
                <c:pt idx="3557">
                  <c:v>3.0281767250316233E-3</c:v>
                </c:pt>
                <c:pt idx="3558">
                  <c:v>4.3037436488027724E-3</c:v>
                </c:pt>
                <c:pt idx="3559">
                  <c:v>2.8560631663991391E-3</c:v>
                </c:pt>
                <c:pt idx="3560">
                  <c:v>3.9669136732181304E-3</c:v>
                </c:pt>
                <c:pt idx="3561">
                  <c:v>2.2300128520865029E-3</c:v>
                </c:pt>
                <c:pt idx="3562">
                  <c:v>4.0555558262626553E-3</c:v>
                </c:pt>
                <c:pt idx="3563">
                  <c:v>2.6407173384777089E-3</c:v>
                </c:pt>
                <c:pt idx="3564">
                  <c:v>2.5181080881023785E-3</c:v>
                </c:pt>
                <c:pt idx="3565">
                  <c:v>2.7171147529705822E-3</c:v>
                </c:pt>
                <c:pt idx="3566">
                  <c:v>5.4816676747760727E-3</c:v>
                </c:pt>
                <c:pt idx="3567">
                  <c:v>2.0956182322761658E-3</c:v>
                </c:pt>
                <c:pt idx="3568">
                  <c:v>2.7719226972825269E-3</c:v>
                </c:pt>
                <c:pt idx="3569">
                  <c:v>4.6416016230450769E-3</c:v>
                </c:pt>
                <c:pt idx="3570">
                  <c:v>3.6121640261389601E-3</c:v>
                </c:pt>
                <c:pt idx="3571">
                  <c:v>2.1094485372283255E-3</c:v>
                </c:pt>
                <c:pt idx="3572">
                  <c:v>2.869006407205736E-3</c:v>
                </c:pt>
                <c:pt idx="3573">
                  <c:v>2.1772970903094313E-3</c:v>
                </c:pt>
                <c:pt idx="3574">
                  <c:v>3.9492691439453271E-3</c:v>
                </c:pt>
                <c:pt idx="3575">
                  <c:v>2.4222415355441818E-3</c:v>
                </c:pt>
                <c:pt idx="3576">
                  <c:v>3.1847020069329392E-3</c:v>
                </c:pt>
                <c:pt idx="3577">
                  <c:v>5.5176893510346095E-3</c:v>
                </c:pt>
                <c:pt idx="3578">
                  <c:v>3.2066886432125033E-3</c:v>
                </c:pt>
                <c:pt idx="3579">
                  <c:v>3.2079819400950612E-3</c:v>
                </c:pt>
                <c:pt idx="3580">
                  <c:v>2.9406187012595815E-3</c:v>
                </c:pt>
                <c:pt idx="3581">
                  <c:v>4.1979478135616855E-3</c:v>
                </c:pt>
                <c:pt idx="3582">
                  <c:v>3.888583705058147E-3</c:v>
                </c:pt>
                <c:pt idx="3583">
                  <c:v>3.4312334776274347E-3</c:v>
                </c:pt>
                <c:pt idx="3584">
                  <c:v>2.7542295500343605E-3</c:v>
                </c:pt>
                <c:pt idx="3585">
                  <c:v>3.5540159983308123E-3</c:v>
                </c:pt>
                <c:pt idx="3586">
                  <c:v>2.716683166907056E-3</c:v>
                </c:pt>
                <c:pt idx="3587">
                  <c:v>2.6674795440441118E-3</c:v>
                </c:pt>
                <c:pt idx="3588">
                  <c:v>3.7374788584620231E-3</c:v>
                </c:pt>
                <c:pt idx="3589">
                  <c:v>3.1967732391605308E-3</c:v>
                </c:pt>
                <c:pt idx="3590">
                  <c:v>2.0070073912041896E-3</c:v>
                </c:pt>
                <c:pt idx="3591">
                  <c:v>1.7272242971553605E-3</c:v>
                </c:pt>
                <c:pt idx="3592">
                  <c:v>1.5792599190458973E-3</c:v>
                </c:pt>
                <c:pt idx="3593">
                  <c:v>2.8595147349983981E-3</c:v>
                </c:pt>
                <c:pt idx="3594">
                  <c:v>4.3166438169833831E-3</c:v>
                </c:pt>
                <c:pt idx="3595">
                  <c:v>3.273072908179746E-3</c:v>
                </c:pt>
                <c:pt idx="3596">
                  <c:v>3.4605321095064891E-3</c:v>
                </c:pt>
                <c:pt idx="3597">
                  <c:v>4.0004793352478524E-3</c:v>
                </c:pt>
                <c:pt idx="3598">
                  <c:v>2.2943865384317044E-3</c:v>
                </c:pt>
                <c:pt idx="3599">
                  <c:v>3.8713664335740228E-3</c:v>
                </c:pt>
                <c:pt idx="3600">
                  <c:v>4.97061000679883E-3</c:v>
                </c:pt>
                <c:pt idx="3601">
                  <c:v>3.0967443291471655E-3</c:v>
                </c:pt>
                <c:pt idx="3602">
                  <c:v>3.9884304217147667E-3</c:v>
                </c:pt>
                <c:pt idx="3603">
                  <c:v>2.2330373328472383E-3</c:v>
                </c:pt>
                <c:pt idx="3604">
                  <c:v>4.507091707364891E-3</c:v>
                </c:pt>
                <c:pt idx="3605">
                  <c:v>4.2065500635236151E-3</c:v>
                </c:pt>
                <c:pt idx="3606">
                  <c:v>2.3907132254066044E-3</c:v>
                </c:pt>
                <c:pt idx="3607">
                  <c:v>3.0143756469358193E-3</c:v>
                </c:pt>
                <c:pt idx="3608">
                  <c:v>5.1285828850897502E-3</c:v>
                </c:pt>
                <c:pt idx="3609">
                  <c:v>2.7766695165919583E-3</c:v>
                </c:pt>
                <c:pt idx="3610">
                  <c:v>5.8087549339759488E-3</c:v>
                </c:pt>
                <c:pt idx="3611">
                  <c:v>2.5457413631941304E-3</c:v>
                </c:pt>
                <c:pt idx="3612">
                  <c:v>4.9942237362916048E-3</c:v>
                </c:pt>
                <c:pt idx="3613">
                  <c:v>3.0143756469358193E-3</c:v>
                </c:pt>
                <c:pt idx="3614">
                  <c:v>3.4019328690533487E-3</c:v>
                </c:pt>
                <c:pt idx="3615">
                  <c:v>2.5137902300387282E-3</c:v>
                </c:pt>
                <c:pt idx="3616">
                  <c:v>5.515545287264282E-3</c:v>
                </c:pt>
                <c:pt idx="3617">
                  <c:v>4.1046024462065732E-3</c:v>
                </c:pt>
                <c:pt idx="3618">
                  <c:v>2.9975549900120857E-3</c:v>
                </c:pt>
                <c:pt idx="3619">
                  <c:v>3.7245614751868742E-3</c:v>
                </c:pt>
                <c:pt idx="3620">
                  <c:v>4.7743517094314377E-3</c:v>
                </c:pt>
                <c:pt idx="3621">
                  <c:v>2.312098429212958E-3</c:v>
                </c:pt>
                <c:pt idx="3622">
                  <c:v>2.2900664554915272E-3</c:v>
                </c:pt>
                <c:pt idx="3623">
                  <c:v>4.449063386749743E-3</c:v>
                </c:pt>
                <c:pt idx="3624">
                  <c:v>2.9375991441885942E-3</c:v>
                </c:pt>
                <c:pt idx="3625">
                  <c:v>4.543194305255455E-3</c:v>
                </c:pt>
                <c:pt idx="3626">
                  <c:v>2.8124847533494931E-3</c:v>
                </c:pt>
                <c:pt idx="3627">
                  <c:v>4.1003003327464236E-3</c:v>
                </c:pt>
                <c:pt idx="3628">
                  <c:v>2.302162579432557E-3</c:v>
                </c:pt>
                <c:pt idx="3629">
                  <c:v>2.9604609825987132E-3</c:v>
                </c:pt>
                <c:pt idx="3630">
                  <c:v>3.743937406025041E-3</c:v>
                </c:pt>
                <c:pt idx="3631">
                  <c:v>5.1294412763652287E-3</c:v>
                </c:pt>
                <c:pt idx="3632">
                  <c:v>3.633267680991615E-3</c:v>
                </c:pt>
                <c:pt idx="3633">
                  <c:v>2.7788271445814985E-3</c:v>
                </c:pt>
                <c:pt idx="3634">
                  <c:v>4.1063232796581164E-3</c:v>
                </c:pt>
                <c:pt idx="3635">
                  <c:v>4.8602524690228698E-3</c:v>
                </c:pt>
                <c:pt idx="3636">
                  <c:v>3.4157216369840437E-3</c:v>
                </c:pt>
                <c:pt idx="3637">
                  <c:v>3.4842280865612506E-3</c:v>
                </c:pt>
                <c:pt idx="3638">
                  <c:v>5.4289162577235072E-3</c:v>
                </c:pt>
                <c:pt idx="3639">
                  <c:v>2.3505437064230083E-3</c:v>
                </c:pt>
                <c:pt idx="3640">
                  <c:v>2.8974801792261465E-3</c:v>
                </c:pt>
                <c:pt idx="3641">
                  <c:v>2.4995409938384024E-3</c:v>
                </c:pt>
                <c:pt idx="3642">
                  <c:v>4.9435599752669862E-3</c:v>
                </c:pt>
                <c:pt idx="3643">
                  <c:v>3.3713374768532364E-3</c:v>
                </c:pt>
                <c:pt idx="3644">
                  <c:v>5.4304649613665983E-2</c:v>
                </c:pt>
                <c:pt idx="3645">
                  <c:v>5.2313334767897825E-2</c:v>
                </c:pt>
                <c:pt idx="3646">
                  <c:v>4.6846203945821285E-2</c:v>
                </c:pt>
                <c:pt idx="3647">
                  <c:v>4.7934571589614047E-2</c:v>
                </c:pt>
                <c:pt idx="3648">
                  <c:v>5.3945397885426363E-2</c:v>
                </c:pt>
                <c:pt idx="3649">
                  <c:v>4.9891819446275999E-2</c:v>
                </c:pt>
                <c:pt idx="3650">
                  <c:v>5.616439601166328E-2</c:v>
                </c:pt>
                <c:pt idx="3651">
                  <c:v>4.994950272241655E-2</c:v>
                </c:pt>
                <c:pt idx="3652">
                  <c:v>4.5095599369116474E-2</c:v>
                </c:pt>
                <c:pt idx="3653">
                  <c:v>4.6909360953160201E-2</c:v>
                </c:pt>
                <c:pt idx="3654">
                  <c:v>2.727293681712287E-2</c:v>
                </c:pt>
                <c:pt idx="3655">
                  <c:v>3.5565809145830907E-2</c:v>
                </c:pt>
                <c:pt idx="3656">
                  <c:v>4.9045821794212123E-2</c:v>
                </c:pt>
                <c:pt idx="3657">
                  <c:v>4.5420390677348349E-2</c:v>
                </c:pt>
                <c:pt idx="3658">
                  <c:v>5.3362755636153961E-2</c:v>
                </c:pt>
                <c:pt idx="3659">
                  <c:v>4.5225545041658544E-2</c:v>
                </c:pt>
                <c:pt idx="3660">
                  <c:v>4.6579439722528239E-2</c:v>
                </c:pt>
                <c:pt idx="3661">
                  <c:v>3.847232567671572E-2</c:v>
                </c:pt>
                <c:pt idx="3662">
                  <c:v>4.3996552714458716E-2</c:v>
                </c:pt>
                <c:pt idx="3663">
                  <c:v>3.747550271818046E-2</c:v>
                </c:pt>
                <c:pt idx="3664">
                  <c:v>3.2862026535034755E-2</c:v>
                </c:pt>
                <c:pt idx="3665">
                  <c:v>3.8207923013346613E-2</c:v>
                </c:pt>
                <c:pt idx="3666">
                  <c:v>5.0348043485183805E-2</c:v>
                </c:pt>
                <c:pt idx="3667">
                  <c:v>4.2451860688999525E-2</c:v>
                </c:pt>
                <c:pt idx="3668">
                  <c:v>4.3588209584389082E-2</c:v>
                </c:pt>
                <c:pt idx="3669">
                  <c:v>3.5466961830578014E-2</c:v>
                </c:pt>
                <c:pt idx="3670">
                  <c:v>3.5825426299333503E-2</c:v>
                </c:pt>
                <c:pt idx="3671">
                  <c:v>3.2509972170572575E-2</c:v>
                </c:pt>
                <c:pt idx="3672">
                  <c:v>3.680369564192245E-2</c:v>
                </c:pt>
                <c:pt idx="3673">
                  <c:v>3.2408008410779419E-2</c:v>
                </c:pt>
                <c:pt idx="3674">
                  <c:v>3.6136842086647719E-2</c:v>
                </c:pt>
                <c:pt idx="3675">
                  <c:v>4.3837187521717468E-2</c:v>
                </c:pt>
                <c:pt idx="3676">
                  <c:v>4.0345563747135792E-2</c:v>
                </c:pt>
                <c:pt idx="3677">
                  <c:v>4.2376628545922855E-2</c:v>
                </c:pt>
                <c:pt idx="3678">
                  <c:v>4.4890033601566015E-2</c:v>
                </c:pt>
                <c:pt idx="3679">
                  <c:v>2.5872536502256082E-2</c:v>
                </c:pt>
                <c:pt idx="3680">
                  <c:v>4.2762498363068287E-2</c:v>
                </c:pt>
                <c:pt idx="3681">
                  <c:v>4.6284404289746492E-2</c:v>
                </c:pt>
                <c:pt idx="3682">
                  <c:v>3.6958881671420869E-2</c:v>
                </c:pt>
                <c:pt idx="3683">
                  <c:v>3.85069047976552E-2</c:v>
                </c:pt>
                <c:pt idx="3684">
                  <c:v>4.6129000831707609E-2</c:v>
                </c:pt>
                <c:pt idx="3685">
                  <c:v>4.3310395400376206E-2</c:v>
                </c:pt>
                <c:pt idx="3686">
                  <c:v>3.762646641922833E-2</c:v>
                </c:pt>
                <c:pt idx="3687">
                  <c:v>4.1822818432167119E-2</c:v>
                </c:pt>
                <c:pt idx="3688">
                  <c:v>3.816695601952963E-2</c:v>
                </c:pt>
                <c:pt idx="3689">
                  <c:v>4.8607642852135431E-2</c:v>
                </c:pt>
                <c:pt idx="3690">
                  <c:v>4.2869929641343438E-2</c:v>
                </c:pt>
                <c:pt idx="3691">
                  <c:v>3.6497150033019121E-2</c:v>
                </c:pt>
                <c:pt idx="3692">
                  <c:v>5.1941256650831179E-2</c:v>
                </c:pt>
                <c:pt idx="3693">
                  <c:v>3.4628055614533297E-2</c:v>
                </c:pt>
                <c:pt idx="3694">
                  <c:v>2.2168046438341284E-2</c:v>
                </c:pt>
                <c:pt idx="3695">
                  <c:v>3.1304625157945624E-2</c:v>
                </c:pt>
                <c:pt idx="3696">
                  <c:v>3.7886845085061939E-2</c:v>
                </c:pt>
                <c:pt idx="3697">
                  <c:v>3.2969519439712817E-2</c:v>
                </c:pt>
                <c:pt idx="3698">
                  <c:v>3.5652232086773872E-2</c:v>
                </c:pt>
                <c:pt idx="3699">
                  <c:v>3.6430863028728111E-2</c:v>
                </c:pt>
                <c:pt idx="3700">
                  <c:v>2.8451276503900801E-2</c:v>
                </c:pt>
                <c:pt idx="3701">
                  <c:v>2.3538464647066142E-2</c:v>
                </c:pt>
                <c:pt idx="3702">
                  <c:v>3.847590295483734E-2</c:v>
                </c:pt>
                <c:pt idx="3703">
                  <c:v>3.0101191293484191E-2</c:v>
                </c:pt>
                <c:pt idx="3704">
                  <c:v>3.870995189205987E-2</c:v>
                </c:pt>
                <c:pt idx="3705">
                  <c:v>3.1515913593031727E-2</c:v>
                </c:pt>
                <c:pt idx="3706">
                  <c:v>2.2201059799657016E-2</c:v>
                </c:pt>
                <c:pt idx="3707">
                  <c:v>3.0136038193373099E-2</c:v>
                </c:pt>
                <c:pt idx="3708">
                  <c:v>2.4131273483869918E-2</c:v>
                </c:pt>
                <c:pt idx="3709">
                  <c:v>2.1362155230789968E-2</c:v>
                </c:pt>
                <c:pt idx="3710">
                  <c:v>2.9279859283851638E-2</c:v>
                </c:pt>
                <c:pt idx="3711">
                  <c:v>2.4408078862264215E-2</c:v>
                </c:pt>
                <c:pt idx="3712">
                  <c:v>2.7699756686686696E-2</c:v>
                </c:pt>
                <c:pt idx="3713">
                  <c:v>2.7981220043387291E-2</c:v>
                </c:pt>
                <c:pt idx="3714">
                  <c:v>2.6144963273638529E-2</c:v>
                </c:pt>
                <c:pt idx="3715">
                  <c:v>3.6429265626674902E-2</c:v>
                </c:pt>
                <c:pt idx="3716">
                  <c:v>3.419956458313847E-2</c:v>
                </c:pt>
                <c:pt idx="3717">
                  <c:v>2.000267592480845E-2</c:v>
                </c:pt>
                <c:pt idx="3718">
                  <c:v>1.6258853289619016E-2</c:v>
                </c:pt>
                <c:pt idx="3719">
                  <c:v>1.9587317163443019E-2</c:v>
                </c:pt>
                <c:pt idx="3720">
                  <c:v>1.6421973773942604E-2</c:v>
                </c:pt>
                <c:pt idx="3721">
                  <c:v>1.5787551077349582E-2</c:v>
                </c:pt>
                <c:pt idx="3722">
                  <c:v>1.9987744831769159E-2</c:v>
                </c:pt>
                <c:pt idx="3723">
                  <c:v>1.5002866914086166E-2</c:v>
                </c:pt>
                <c:pt idx="3724">
                  <c:v>2.2502190848912931E-2</c:v>
                </c:pt>
                <c:pt idx="3725">
                  <c:v>2.6988565145663987E-2</c:v>
                </c:pt>
                <c:pt idx="3726">
                  <c:v>4.1107536461972252E-2</c:v>
                </c:pt>
                <c:pt idx="3727">
                  <c:v>3.3778284567492323E-2</c:v>
                </c:pt>
                <c:pt idx="3728">
                  <c:v>3.7969623939330725E-2</c:v>
                </c:pt>
                <c:pt idx="3729">
                  <c:v>3.2876118880559066E-2</c:v>
                </c:pt>
                <c:pt idx="3730">
                  <c:v>4.3230200974986623E-2</c:v>
                </c:pt>
                <c:pt idx="3731">
                  <c:v>3.4231274564219816E-2</c:v>
                </c:pt>
                <c:pt idx="3732">
                  <c:v>3.8283880708154167E-2</c:v>
                </c:pt>
                <c:pt idx="3733">
                  <c:v>3.5211134985655201E-2</c:v>
                </c:pt>
                <c:pt idx="3734">
                  <c:v>4.4522121720426792E-2</c:v>
                </c:pt>
                <c:pt idx="3735">
                  <c:v>3.8085408268264578E-2</c:v>
                </c:pt>
                <c:pt idx="3736">
                  <c:v>2.7199923696385919E-2</c:v>
                </c:pt>
                <c:pt idx="3737">
                  <c:v>3.2584112599014614E-2</c:v>
                </c:pt>
                <c:pt idx="3738">
                  <c:v>3.5406521822123553E-2</c:v>
                </c:pt>
                <c:pt idx="3739">
                  <c:v>4.0112394848373006E-2</c:v>
                </c:pt>
                <c:pt idx="3740">
                  <c:v>4.2915176621417452E-2</c:v>
                </c:pt>
                <c:pt idx="3741">
                  <c:v>3.3816855307771669E-2</c:v>
                </c:pt>
                <c:pt idx="3742">
                  <c:v>3.8086999590380928E-2</c:v>
                </c:pt>
                <c:pt idx="3743">
                  <c:v>2.8194945142784526E-2</c:v>
                </c:pt>
                <c:pt idx="3744">
                  <c:v>4.5703895314713534E-2</c:v>
                </c:pt>
                <c:pt idx="3745">
                  <c:v>5.298773180016271E-2</c:v>
                </c:pt>
                <c:pt idx="3746">
                  <c:v>3.88517504043367E-2</c:v>
                </c:pt>
                <c:pt idx="3747">
                  <c:v>4.0897702293228144E-2</c:v>
                </c:pt>
                <c:pt idx="3748">
                  <c:v>3.6194783155249231E-2</c:v>
                </c:pt>
                <c:pt idx="3749">
                  <c:v>4.2618821607048975E-2</c:v>
                </c:pt>
                <c:pt idx="3750">
                  <c:v>3.7825546727817294E-2</c:v>
                </c:pt>
                <c:pt idx="3751">
                  <c:v>3.989851364817483E-2</c:v>
                </c:pt>
                <c:pt idx="3752">
                  <c:v>3.3670991679963118E-2</c:v>
                </c:pt>
                <c:pt idx="3753">
                  <c:v>4.5247068432596127E-2</c:v>
                </c:pt>
                <c:pt idx="3754">
                  <c:v>4.4985193281051758E-2</c:v>
                </c:pt>
                <c:pt idx="3755">
                  <c:v>3.5668234447988667E-2</c:v>
                </c:pt>
                <c:pt idx="3756">
                  <c:v>3.8873194888227242E-2</c:v>
                </c:pt>
                <c:pt idx="3757">
                  <c:v>4.0789781975545329E-2</c:v>
                </c:pt>
                <c:pt idx="3758">
                  <c:v>3.8896623762055341E-2</c:v>
                </c:pt>
                <c:pt idx="3759">
                  <c:v>4.4844600228238739E-2</c:v>
                </c:pt>
                <c:pt idx="3760">
                  <c:v>4.9126888820316274E-2</c:v>
                </c:pt>
                <c:pt idx="3761">
                  <c:v>3.7273471827054719E-2</c:v>
                </c:pt>
                <c:pt idx="3762">
                  <c:v>3.565023175016261E-2</c:v>
                </c:pt>
                <c:pt idx="3763">
                  <c:v>4.2399869185417417E-2</c:v>
                </c:pt>
                <c:pt idx="3764">
                  <c:v>3.9398650878029566E-2</c:v>
                </c:pt>
                <c:pt idx="3765">
                  <c:v>4.2541255767379695E-2</c:v>
                </c:pt>
                <c:pt idx="3766">
                  <c:v>4.1668177350732576E-2</c:v>
                </c:pt>
                <c:pt idx="3767">
                  <c:v>3.450693341235448E-2</c:v>
                </c:pt>
                <c:pt idx="3768">
                  <c:v>3.5745437555892622E-2</c:v>
                </c:pt>
                <c:pt idx="3769">
                  <c:v>3.7577876970695541E-2</c:v>
                </c:pt>
                <c:pt idx="3770">
                  <c:v>3.4956359479250104E-2</c:v>
                </c:pt>
                <c:pt idx="3771">
                  <c:v>4.2872290469910215E-2</c:v>
                </c:pt>
                <c:pt idx="3772">
                  <c:v>3.9601281576415188E-2</c:v>
                </c:pt>
                <c:pt idx="3773">
                  <c:v>3.9091947544027415E-2</c:v>
                </c:pt>
                <c:pt idx="3774">
                  <c:v>3.4445156103302482E-2</c:v>
                </c:pt>
                <c:pt idx="3775">
                  <c:v>4.4296675607128258E-2</c:v>
                </c:pt>
                <c:pt idx="3776">
                  <c:v>4.0857383554299569E-2</c:v>
                </c:pt>
                <c:pt idx="3777">
                  <c:v>4.7343803727311271E-2</c:v>
                </c:pt>
                <c:pt idx="3778">
                  <c:v>4.4633429334774322E-2</c:v>
                </c:pt>
                <c:pt idx="3779">
                  <c:v>4.5536552197789668E-2</c:v>
                </c:pt>
                <c:pt idx="3780">
                  <c:v>4.9074138790967781E-2</c:v>
                </c:pt>
                <c:pt idx="3781">
                  <c:v>4.8757115820542658E-2</c:v>
                </c:pt>
                <c:pt idx="3782">
                  <c:v>4.8265019820267534E-2</c:v>
                </c:pt>
                <c:pt idx="3783">
                  <c:v>5.479186740795762E-2</c:v>
                </c:pt>
                <c:pt idx="3784">
                  <c:v>4.6335542512821022E-2</c:v>
                </c:pt>
                <c:pt idx="3785">
                  <c:v>5.2545048411205518E-2</c:v>
                </c:pt>
                <c:pt idx="3786">
                  <c:v>5.1040942688060705E-2</c:v>
                </c:pt>
                <c:pt idx="3787">
                  <c:v>4.8950374431851627E-3</c:v>
                </c:pt>
                <c:pt idx="3788">
                  <c:v>3.8253068770497246E-3</c:v>
                </c:pt>
                <c:pt idx="3789">
                  <c:v>2.5388332092552996E-3</c:v>
                </c:pt>
                <c:pt idx="3790">
                  <c:v>3.5230005331412691E-3</c:v>
                </c:pt>
                <c:pt idx="3791">
                  <c:v>3.622500638281183E-3</c:v>
                </c:pt>
                <c:pt idx="3792">
                  <c:v>5.8991641714315618E-3</c:v>
                </c:pt>
                <c:pt idx="3793">
                  <c:v>2.374300322471371E-3</c:v>
                </c:pt>
                <c:pt idx="3794">
                  <c:v>2.8094643052559111E-3</c:v>
                </c:pt>
                <c:pt idx="3795">
                  <c:v>2.4900412432989258E-3</c:v>
                </c:pt>
                <c:pt idx="3796">
                  <c:v>2.9652057416515928E-3</c:v>
                </c:pt>
                <c:pt idx="3797">
                  <c:v>4.8550989025555403E-3</c:v>
                </c:pt>
                <c:pt idx="3798">
                  <c:v>3.037233444192424E-3</c:v>
                </c:pt>
                <c:pt idx="3799">
                  <c:v>3.3528068250887446E-3</c:v>
                </c:pt>
                <c:pt idx="3800">
                  <c:v>3.874379505356902E-3</c:v>
                </c:pt>
                <c:pt idx="3801">
                  <c:v>4.148051403445166E-3</c:v>
                </c:pt>
                <c:pt idx="3802">
                  <c:v>2.7844369271881977E-3</c:v>
                </c:pt>
                <c:pt idx="3803">
                  <c:v>3.6212085752176087E-3</c:v>
                </c:pt>
                <c:pt idx="3804">
                  <c:v>3.4071037083310903E-3</c:v>
                </c:pt>
                <c:pt idx="3805">
                  <c:v>2.2628489447503041E-3</c:v>
                </c:pt>
                <c:pt idx="3806">
                  <c:v>2.5310614047246195E-3</c:v>
                </c:pt>
                <c:pt idx="3807">
                  <c:v>7.5045391164197863E-3</c:v>
                </c:pt>
                <c:pt idx="3808">
                  <c:v>2.3626381460709247E-3</c:v>
                </c:pt>
                <c:pt idx="3809">
                  <c:v>2.5496271514957804E-3</c:v>
                </c:pt>
                <c:pt idx="3810">
                  <c:v>2.2105692585363984E-3</c:v>
                </c:pt>
                <c:pt idx="3811">
                  <c:v>3.5221389608224023E-3</c:v>
                </c:pt>
                <c:pt idx="3812">
                  <c:v>2.188100021787296E-3</c:v>
                </c:pt>
                <c:pt idx="3813">
                  <c:v>1.8111349038103393E-3</c:v>
                </c:pt>
                <c:pt idx="3814">
                  <c:v>1.8249742710867091E-3</c:v>
                </c:pt>
                <c:pt idx="3815">
                  <c:v>4.099870119056416E-3</c:v>
                </c:pt>
                <c:pt idx="3816">
                  <c:v>3.9737991487217104E-3</c:v>
                </c:pt>
                <c:pt idx="3817">
                  <c:v>2.8754778829570039E-3</c:v>
                </c:pt>
                <c:pt idx="3818">
                  <c:v>2.8944603222062601E-3</c:v>
                </c:pt>
                <c:pt idx="3819">
                  <c:v>4.3058937034430086E-3</c:v>
                </c:pt>
                <c:pt idx="3820">
                  <c:v>2.0152208635287987E-3</c:v>
                </c:pt>
                <c:pt idx="3821">
                  <c:v>2.0277569165495241E-3</c:v>
                </c:pt>
                <c:pt idx="3822">
                  <c:v>3.5833063484328139E-3</c:v>
                </c:pt>
                <c:pt idx="3823">
                  <c:v>2.0640662006112952E-3</c:v>
                </c:pt>
                <c:pt idx="3824">
                  <c:v>2.5314931752916377E-3</c:v>
                </c:pt>
                <c:pt idx="3825">
                  <c:v>2.8810864172729087E-3</c:v>
                </c:pt>
                <c:pt idx="3826">
                  <c:v>7.0407276485037126E-3</c:v>
                </c:pt>
                <c:pt idx="3827">
                  <c:v>3.033352016250174E-3</c:v>
                </c:pt>
                <c:pt idx="3828">
                  <c:v>3.3933146667756305E-3</c:v>
                </c:pt>
                <c:pt idx="3829">
                  <c:v>3.191599895004235E-3</c:v>
                </c:pt>
                <c:pt idx="3830">
                  <c:v>6.1107596064933862E-3</c:v>
                </c:pt>
                <c:pt idx="3831">
                  <c:v>2.3518395553527929E-3</c:v>
                </c:pt>
                <c:pt idx="3832">
                  <c:v>2.7291989886224677E-3</c:v>
                </c:pt>
                <c:pt idx="3833">
                  <c:v>3.7353259879303177E-3</c:v>
                </c:pt>
                <c:pt idx="3834">
                  <c:v>4.0779286557468064E-3</c:v>
                </c:pt>
                <c:pt idx="3835">
                  <c:v>2.2628489447503041E-3</c:v>
                </c:pt>
                <c:pt idx="3836">
                  <c:v>2.5932319471260634E-3</c:v>
                </c:pt>
                <c:pt idx="3837">
                  <c:v>4.7193663052653902E-3</c:v>
                </c:pt>
                <c:pt idx="3838">
                  <c:v>2.7542295500343605E-3</c:v>
                </c:pt>
                <c:pt idx="3839">
                  <c:v>3.7271449825785927E-3</c:v>
                </c:pt>
                <c:pt idx="3840">
                  <c:v>3.7168108607985731E-3</c:v>
                </c:pt>
                <c:pt idx="3841">
                  <c:v>5.6943238447035452E-3</c:v>
                </c:pt>
                <c:pt idx="3842">
                  <c:v>2.0666596047451947E-3</c:v>
                </c:pt>
                <c:pt idx="3843">
                  <c:v>2.7542295500343605E-3</c:v>
                </c:pt>
                <c:pt idx="3844">
                  <c:v>3.3385850909655201E-3</c:v>
                </c:pt>
                <c:pt idx="3845">
                  <c:v>5.5995846628646168E-3</c:v>
                </c:pt>
                <c:pt idx="3846">
                  <c:v>3.2717798051190459E-3</c:v>
                </c:pt>
                <c:pt idx="3847">
                  <c:v>3.7736454877872775E-3</c:v>
                </c:pt>
                <c:pt idx="3848">
                  <c:v>3.4618246506839577E-3</c:v>
                </c:pt>
                <c:pt idx="3849">
                  <c:v>2.2088408969810269E-3</c:v>
                </c:pt>
                <c:pt idx="3850">
                  <c:v>2.1371078259057484E-3</c:v>
                </c:pt>
                <c:pt idx="3851">
                  <c:v>3.2303984741456817E-3</c:v>
                </c:pt>
                <c:pt idx="3852">
                  <c:v>3.5462623396865628E-3</c:v>
                </c:pt>
                <c:pt idx="3853">
                  <c:v>2.2153222173472891E-3</c:v>
                </c:pt>
                <c:pt idx="3854">
                  <c:v>2.2447029899107978E-3</c:v>
                </c:pt>
                <c:pt idx="3855">
                  <c:v>2.6083414984740421E-3</c:v>
                </c:pt>
                <c:pt idx="3856">
                  <c:v>6.531074583138413E-3</c:v>
                </c:pt>
                <c:pt idx="3857">
                  <c:v>3.3463424582206055E-3</c:v>
                </c:pt>
                <c:pt idx="3858">
                  <c:v>1.9425910905721206E-3</c:v>
                </c:pt>
                <c:pt idx="3859">
                  <c:v>1.8440026810341724E-3</c:v>
                </c:pt>
                <c:pt idx="3860">
                  <c:v>2.7753749346529424E-3</c:v>
                </c:pt>
                <c:pt idx="3861">
                  <c:v>2.8642605970326312E-3</c:v>
                </c:pt>
                <c:pt idx="3862">
                  <c:v>2.4481535014816186E-3</c:v>
                </c:pt>
                <c:pt idx="3863">
                  <c:v>3.1989287810378218E-3</c:v>
                </c:pt>
                <c:pt idx="3864">
                  <c:v>2.903951230703384E-3</c:v>
                </c:pt>
                <c:pt idx="3865">
                  <c:v>3.2657452732605115E-3</c:v>
                </c:pt>
                <c:pt idx="3866">
                  <c:v>2.6359690329763054E-3</c:v>
                </c:pt>
                <c:pt idx="3867">
                  <c:v>3.2010843122165246E-3</c:v>
                </c:pt>
                <c:pt idx="3868">
                  <c:v>6.2905775100455608E-3</c:v>
                </c:pt>
                <c:pt idx="3869">
                  <c:v>3.5699536397174247E-3</c:v>
                </c:pt>
                <c:pt idx="3870">
                  <c:v>5.7680432077515612E-3</c:v>
                </c:pt>
                <c:pt idx="3871">
                  <c:v>4.9804849953276617E-3</c:v>
                </c:pt>
                <c:pt idx="3872">
                  <c:v>3.1070932158931519E-3</c:v>
                </c:pt>
                <c:pt idx="3873">
                  <c:v>5.11828205744523E-3</c:v>
                </c:pt>
                <c:pt idx="3874">
                  <c:v>3.511369162618586E-3</c:v>
                </c:pt>
                <c:pt idx="3875">
                  <c:v>6.1912587298297234E-3</c:v>
                </c:pt>
                <c:pt idx="3876">
                  <c:v>5.6325956830539431E-3</c:v>
                </c:pt>
                <c:pt idx="3877">
                  <c:v>3.2256566115108926E-3</c:v>
                </c:pt>
                <c:pt idx="3878">
                  <c:v>3.9217250311530194E-3</c:v>
                </c:pt>
                <c:pt idx="3879">
                  <c:v>3.8773925562356733E-3</c:v>
                </c:pt>
                <c:pt idx="3880">
                  <c:v>4.0697541016752525E-3</c:v>
                </c:pt>
                <c:pt idx="3881">
                  <c:v>4.159665734924569E-3</c:v>
                </c:pt>
                <c:pt idx="3882">
                  <c:v>2.4649954503232173E-3</c:v>
                </c:pt>
                <c:pt idx="3883">
                  <c:v>2.676543788181641E-3</c:v>
                </c:pt>
                <c:pt idx="3884">
                  <c:v>1.9590203165112266E-3</c:v>
                </c:pt>
                <c:pt idx="3885">
                  <c:v>2.1129060446499078E-3</c:v>
                </c:pt>
                <c:pt idx="3886">
                  <c:v>4.8834427613633239E-3</c:v>
                </c:pt>
                <c:pt idx="3887">
                  <c:v>4.8632586878872815E-3</c:v>
                </c:pt>
                <c:pt idx="3888">
                  <c:v>6.5481867368211337E-3</c:v>
                </c:pt>
                <c:pt idx="3889">
                  <c:v>3.4510533566607378E-3</c:v>
                </c:pt>
                <c:pt idx="3890">
                  <c:v>2.6985561649347637E-3</c:v>
                </c:pt>
                <c:pt idx="3891">
                  <c:v>7.8386375768086693E-3</c:v>
                </c:pt>
                <c:pt idx="3892">
                  <c:v>5.4310607492133629E-3</c:v>
                </c:pt>
                <c:pt idx="3893">
                  <c:v>3.4467447642489405E-3</c:v>
                </c:pt>
                <c:pt idx="3894">
                  <c:v>4.6751151824259872E-3</c:v>
                </c:pt>
                <c:pt idx="3895">
                  <c:v>6.7171330598972652E-3</c:v>
                </c:pt>
                <c:pt idx="3896">
                  <c:v>3.4402817954831849E-3</c:v>
                </c:pt>
                <c:pt idx="3897">
                  <c:v>4.5367476328834616E-3</c:v>
                </c:pt>
                <c:pt idx="3898">
                  <c:v>5.8760280542664274E-3</c:v>
                </c:pt>
                <c:pt idx="3899">
                  <c:v>4.7167886936259227E-3</c:v>
                </c:pt>
                <c:pt idx="3900">
                  <c:v>1.0163369906619053E-2</c:v>
                </c:pt>
                <c:pt idx="3901">
                  <c:v>4.3734000052036565E-3</c:v>
                </c:pt>
                <c:pt idx="3902">
                  <c:v>5.5867225471504653E-3</c:v>
                </c:pt>
                <c:pt idx="3903">
                  <c:v>3.9544334706181645E-3</c:v>
                </c:pt>
                <c:pt idx="3904">
                  <c:v>3.3683209130040618E-3</c:v>
                </c:pt>
                <c:pt idx="3905">
                  <c:v>7.0616653592035844E-3</c:v>
                </c:pt>
                <c:pt idx="3906">
                  <c:v>6.5439087616115457E-3</c:v>
                </c:pt>
                <c:pt idx="3907">
                  <c:v>3.3127261993435467E-3</c:v>
                </c:pt>
                <c:pt idx="3908">
                  <c:v>2.8944603222062601E-3</c:v>
                </c:pt>
                <c:pt idx="3909">
                  <c:v>3.0126504813362239E-3</c:v>
                </c:pt>
                <c:pt idx="3910">
                  <c:v>6.3984325256381753E-3</c:v>
                </c:pt>
                <c:pt idx="3911">
                  <c:v>3.2066886432125033E-3</c:v>
                </c:pt>
                <c:pt idx="3912">
                  <c:v>5.7474716210129005E-3</c:v>
                </c:pt>
                <c:pt idx="3913">
                  <c:v>6.1355960340161962E-3</c:v>
                </c:pt>
                <c:pt idx="3914">
                  <c:v>4.5040830220661552E-3</c:v>
                </c:pt>
                <c:pt idx="3915">
                  <c:v>2.4611089047142454E-3</c:v>
                </c:pt>
                <c:pt idx="3916">
                  <c:v>3.3334134358155242E-3</c:v>
                </c:pt>
                <c:pt idx="3917">
                  <c:v>6.9749168425431943E-3</c:v>
                </c:pt>
                <c:pt idx="3918">
                  <c:v>4.3136338120146247E-3</c:v>
                </c:pt>
                <c:pt idx="3919">
                  <c:v>3.4893979461064106E-3</c:v>
                </c:pt>
                <c:pt idx="3920">
                  <c:v>4.3132038096018403E-3</c:v>
                </c:pt>
                <c:pt idx="3921">
                  <c:v>6.646140839131497E-3</c:v>
                </c:pt>
                <c:pt idx="3922">
                  <c:v>4.8331955627843133E-3</c:v>
                </c:pt>
                <c:pt idx="3923">
                  <c:v>4.8439326320766068E-3</c:v>
                </c:pt>
                <c:pt idx="3924">
                  <c:v>0.12606286323261495</c:v>
                </c:pt>
                <c:pt idx="3925">
                  <c:v>6.8090635704571674E-3</c:v>
                </c:pt>
                <c:pt idx="3926">
                  <c:v>3.273934974747923E-3</c:v>
                </c:pt>
                <c:pt idx="3927">
                  <c:v>5.8606032913904637E-3</c:v>
                </c:pt>
                <c:pt idx="3928">
                  <c:v>5.0779347965733213E-3</c:v>
                </c:pt>
                <c:pt idx="3929">
                  <c:v>6.4318107932430845E-3</c:v>
                </c:pt>
                <c:pt idx="3930">
                  <c:v>4.3497524948388827E-3</c:v>
                </c:pt>
                <c:pt idx="3931">
                  <c:v>4.6751061238739476E-2</c:v>
                </c:pt>
                <c:pt idx="3932">
                  <c:v>5.1085346372429903E-2</c:v>
                </c:pt>
                <c:pt idx="3933">
                  <c:v>5.8164761793616682E-2</c:v>
                </c:pt>
                <c:pt idx="3934">
                  <c:v>5.7041975312322066E-2</c:v>
                </c:pt>
                <c:pt idx="3935">
                  <c:v>4.9259899047643711E-2</c:v>
                </c:pt>
                <c:pt idx="3936">
                  <c:v>4.460246986936682E-2</c:v>
                </c:pt>
                <c:pt idx="3937">
                  <c:v>4.6539254887611264E-2</c:v>
                </c:pt>
                <c:pt idx="3938">
                  <c:v>5.2652780089930976E-2</c:v>
                </c:pt>
                <c:pt idx="3939">
                  <c:v>3.7117600752252199E-2</c:v>
                </c:pt>
                <c:pt idx="3940">
                  <c:v>4.4593847853191947E-2</c:v>
                </c:pt>
                <c:pt idx="3941">
                  <c:v>5.2963513188795011E-2</c:v>
                </c:pt>
                <c:pt idx="3942">
                  <c:v>4.3972612415816584E-2</c:v>
                </c:pt>
                <c:pt idx="3943">
                  <c:v>3.7927440533209178E-2</c:v>
                </c:pt>
                <c:pt idx="3944">
                  <c:v>3.7536452164442624E-2</c:v>
                </c:pt>
                <c:pt idx="3945">
                  <c:v>4.6982252994088536E-2</c:v>
                </c:pt>
                <c:pt idx="3946">
                  <c:v>5.5324423520659631E-2</c:v>
                </c:pt>
                <c:pt idx="3947">
                  <c:v>5.407732418808843E-2</c:v>
                </c:pt>
                <c:pt idx="3948">
                  <c:v>4.9737701710295575E-2</c:v>
                </c:pt>
                <c:pt idx="3949">
                  <c:v>3.9948824811884824E-2</c:v>
                </c:pt>
                <c:pt idx="3950">
                  <c:v>4.8089719188713423E-2</c:v>
                </c:pt>
                <c:pt idx="3951">
                  <c:v>4.6267226741688795E-2</c:v>
                </c:pt>
                <c:pt idx="3952">
                  <c:v>3.8099729957405834E-2</c:v>
                </c:pt>
                <c:pt idx="3953">
                  <c:v>4.8919730560334128E-2</c:v>
                </c:pt>
                <c:pt idx="3954">
                  <c:v>4.4685937812257943E-2</c:v>
                </c:pt>
                <c:pt idx="3955">
                  <c:v>4.9038839237272161E-2</c:v>
                </c:pt>
                <c:pt idx="3956">
                  <c:v>4.2670786906946388E-2</c:v>
                </c:pt>
                <c:pt idx="3957">
                  <c:v>3.3665767004916761E-2</c:v>
                </c:pt>
                <c:pt idx="3958">
                  <c:v>4.1352807197734071E-2</c:v>
                </c:pt>
                <c:pt idx="3959">
                  <c:v>3.9828385216315078E-2</c:v>
                </c:pt>
                <c:pt idx="3960">
                  <c:v>3.5741037747550559E-2</c:v>
                </c:pt>
                <c:pt idx="3961">
                  <c:v>3.1729117772413225E-2</c:v>
                </c:pt>
                <c:pt idx="3962">
                  <c:v>2.7049371870320988E-2</c:v>
                </c:pt>
                <c:pt idx="3963">
                  <c:v>2.6098343784635786E-2</c:v>
                </c:pt>
                <c:pt idx="3964">
                  <c:v>3.2622789537803003E-2</c:v>
                </c:pt>
                <c:pt idx="3965">
                  <c:v>3.3073766167451155E-2</c:v>
                </c:pt>
                <c:pt idx="3966">
                  <c:v>3.5547001875645114E-2</c:v>
                </c:pt>
                <c:pt idx="3967">
                  <c:v>3.4630060664765948E-2</c:v>
                </c:pt>
                <c:pt idx="3968">
                  <c:v>3.1544589186087539E-2</c:v>
                </c:pt>
                <c:pt idx="3969">
                  <c:v>4.1347279270676947E-2</c:v>
                </c:pt>
                <c:pt idx="3970">
                  <c:v>3.2835853822950074E-2</c:v>
                </c:pt>
                <c:pt idx="3971">
                  <c:v>3.4575519999743703E-2</c:v>
                </c:pt>
                <c:pt idx="3972">
                  <c:v>3.5525392517176665E-2</c:v>
                </c:pt>
                <c:pt idx="3973">
                  <c:v>3.1170041846630806E-2</c:v>
                </c:pt>
                <c:pt idx="3974">
                  <c:v>3.7849430233453003E-2</c:v>
                </c:pt>
                <c:pt idx="3975">
                  <c:v>3.6853568664762158E-2</c:v>
                </c:pt>
                <c:pt idx="3976">
                  <c:v>3.1444822267701754E-2</c:v>
                </c:pt>
                <c:pt idx="3977">
                  <c:v>3.4704641956960949E-2</c:v>
                </c:pt>
                <c:pt idx="3978">
                  <c:v>2.7358171243492529E-2</c:v>
                </c:pt>
                <c:pt idx="3979">
                  <c:v>2.9006548879756681E-2</c:v>
                </c:pt>
                <c:pt idx="3980">
                  <c:v>3.4334416336159197E-2</c:v>
                </c:pt>
                <c:pt idx="3981">
                  <c:v>3.3664561301749218E-2</c:v>
                </c:pt>
                <c:pt idx="3982">
                  <c:v>2.1463025120618748E-2</c:v>
                </c:pt>
                <c:pt idx="3983">
                  <c:v>0.12575736968667106</c:v>
                </c:pt>
                <c:pt idx="3984">
                  <c:v>0.14525329278932234</c:v>
                </c:pt>
                <c:pt idx="3985">
                  <c:v>0.15016429093989375</c:v>
                </c:pt>
                <c:pt idx="3986">
                  <c:v>0.17472775243210706</c:v>
                </c:pt>
                <c:pt idx="3987">
                  <c:v>0.15530779222014215</c:v>
                </c:pt>
                <c:pt idx="3988">
                  <c:v>0.16051805047235126</c:v>
                </c:pt>
                <c:pt idx="3989">
                  <c:v>3.3577741875762783E-2</c:v>
                </c:pt>
                <c:pt idx="3990">
                  <c:v>2.8425243395589488E-2</c:v>
                </c:pt>
                <c:pt idx="3991">
                  <c:v>2.8737944235608787E-2</c:v>
                </c:pt>
                <c:pt idx="3992">
                  <c:v>2.8045959320474975E-2</c:v>
                </c:pt>
                <c:pt idx="3993">
                  <c:v>2.8835896489271502E-2</c:v>
                </c:pt>
                <c:pt idx="3994">
                  <c:v>3.3985562031017921E-2</c:v>
                </c:pt>
                <c:pt idx="3995">
                  <c:v>3.6791326245902103E-2</c:v>
                </c:pt>
                <c:pt idx="3996">
                  <c:v>3.2881353063861023E-2</c:v>
                </c:pt>
                <c:pt idx="3997">
                  <c:v>3.1222586840898965E-2</c:v>
                </c:pt>
                <c:pt idx="3998">
                  <c:v>3.5742237699700877E-2</c:v>
                </c:pt>
                <c:pt idx="3999">
                  <c:v>3.4823304061902385E-2</c:v>
                </c:pt>
                <c:pt idx="4000">
                  <c:v>3.82146841844875E-2</c:v>
                </c:pt>
                <c:pt idx="4001">
                  <c:v>3.3432200019776197E-2</c:v>
                </c:pt>
                <c:pt idx="4002">
                  <c:v>2.8722497465358893E-2</c:v>
                </c:pt>
                <c:pt idx="4003">
                  <c:v>3.1761815973717217E-2</c:v>
                </c:pt>
                <c:pt idx="4004">
                  <c:v>3.1534896239707497E-2</c:v>
                </c:pt>
                <c:pt idx="4005">
                  <c:v>3.5948180364137966E-2</c:v>
                </c:pt>
                <c:pt idx="4006">
                  <c:v>2.6231645861195526E-2</c:v>
                </c:pt>
                <c:pt idx="4007">
                  <c:v>1.9015289651690213E-2</c:v>
                </c:pt>
                <c:pt idx="4008">
                  <c:v>1.550938516081893E-2</c:v>
                </c:pt>
                <c:pt idx="4009">
                  <c:v>1.7104323941466229E-2</c:v>
                </c:pt>
                <c:pt idx="4010">
                  <c:v>1.3962401664714826E-2</c:v>
                </c:pt>
                <c:pt idx="4011">
                  <c:v>1.6374716963146924E-2</c:v>
                </c:pt>
                <c:pt idx="4012">
                  <c:v>2.6975913012155881E-2</c:v>
                </c:pt>
                <c:pt idx="4013">
                  <c:v>3.8700814826018219E-2</c:v>
                </c:pt>
                <c:pt idx="4014">
                  <c:v>3.5709037800447374E-2</c:v>
                </c:pt>
                <c:pt idx="4015">
                  <c:v>3.0791934670288575E-2</c:v>
                </c:pt>
                <c:pt idx="4016">
                  <c:v>3.6282279496731129E-2</c:v>
                </c:pt>
                <c:pt idx="4017">
                  <c:v>4.1549003036180081E-2</c:v>
                </c:pt>
                <c:pt idx="4018">
                  <c:v>4.0080715390344718E-2</c:v>
                </c:pt>
                <c:pt idx="4019">
                  <c:v>3.8269167427767266E-2</c:v>
                </c:pt>
                <c:pt idx="4020">
                  <c:v>3.2832632457064637E-2</c:v>
                </c:pt>
                <c:pt idx="4021">
                  <c:v>3.8335572065577958E-2</c:v>
                </c:pt>
                <c:pt idx="4022">
                  <c:v>3.5936586187144369E-2</c:v>
                </c:pt>
                <c:pt idx="4023">
                  <c:v>4.4721201136556837E-2</c:v>
                </c:pt>
                <c:pt idx="4024">
                  <c:v>3.9888609189174952E-2</c:v>
                </c:pt>
                <c:pt idx="4025">
                  <c:v>3.7254738364175179E-2</c:v>
                </c:pt>
                <c:pt idx="4026">
                  <c:v>4.4035403833056201E-2</c:v>
                </c:pt>
                <c:pt idx="4027">
                  <c:v>4.2403808153598795E-2</c:v>
                </c:pt>
                <c:pt idx="4028">
                  <c:v>4.1199578594857386E-2</c:v>
                </c:pt>
                <c:pt idx="4029">
                  <c:v>3.0639790158274859E-2</c:v>
                </c:pt>
                <c:pt idx="4030">
                  <c:v>4.2417200378193465E-2</c:v>
                </c:pt>
                <c:pt idx="4031">
                  <c:v>3.3927325450108327E-2</c:v>
                </c:pt>
                <c:pt idx="4032">
                  <c:v>4.0405716050072385E-2</c:v>
                </c:pt>
                <c:pt idx="4033">
                  <c:v>4.9659072853510594E-2</c:v>
                </c:pt>
                <c:pt idx="4034">
                  <c:v>4.9253307663402794E-2</c:v>
                </c:pt>
                <c:pt idx="4035">
                  <c:v>6.0968906558274319E-2</c:v>
                </c:pt>
                <c:pt idx="4036">
                  <c:v>4.6195776467629762E-2</c:v>
                </c:pt>
                <c:pt idx="4037">
                  <c:v>4.1628719278560371E-2</c:v>
                </c:pt>
                <c:pt idx="4038">
                  <c:v>4.266448841387005E-2</c:v>
                </c:pt>
                <c:pt idx="4039">
                  <c:v>4.4179397361200051E-2</c:v>
                </c:pt>
                <c:pt idx="4040">
                  <c:v>5.2150830535319735E-2</c:v>
                </c:pt>
                <c:pt idx="4041">
                  <c:v>4.772762186979803E-2</c:v>
                </c:pt>
                <c:pt idx="4042">
                  <c:v>5.109654310652316E-2</c:v>
                </c:pt>
                <c:pt idx="4043">
                  <c:v>4.0242652332003213E-2</c:v>
                </c:pt>
                <c:pt idx="4044">
                  <c:v>2.7479672746962648E-2</c:v>
                </c:pt>
                <c:pt idx="4045">
                  <c:v>4.8173042130569971E-3</c:v>
                </c:pt>
                <c:pt idx="4046">
                  <c:v>5.4649423094258499E-3</c:v>
                </c:pt>
                <c:pt idx="4047">
                  <c:v>5.1174236441130384E-3</c:v>
                </c:pt>
                <c:pt idx="4048">
                  <c:v>4.7782176087213593E-3</c:v>
                </c:pt>
                <c:pt idx="4049">
                  <c:v>4.2628905881026882E-3</c:v>
                </c:pt>
                <c:pt idx="4050">
                  <c:v>4.6012100507570649E-3</c:v>
                </c:pt>
                <c:pt idx="4051">
                  <c:v>3.7516875363201745E-3</c:v>
                </c:pt>
                <c:pt idx="4052">
                  <c:v>4.7674789146125007E-3</c:v>
                </c:pt>
                <c:pt idx="4053">
                  <c:v>4.7636129197298187E-3</c:v>
                </c:pt>
                <c:pt idx="4054">
                  <c:v>6.5819812596345445E-3</c:v>
                </c:pt>
                <c:pt idx="4055">
                  <c:v>2.9302658467526654E-3</c:v>
                </c:pt>
                <c:pt idx="4056">
                  <c:v>6.1963964651819805E-3</c:v>
                </c:pt>
                <c:pt idx="4057">
                  <c:v>4.7650184876179169E-2</c:v>
                </c:pt>
                <c:pt idx="4058">
                  <c:v>4.5272923403003283E-3</c:v>
                </c:pt>
                <c:pt idx="4059">
                  <c:v>4.8130091538529669E-3</c:v>
                </c:pt>
                <c:pt idx="4060">
                  <c:v>4.8830133227583854E-3</c:v>
                </c:pt>
                <c:pt idx="4061">
                  <c:v>3.1614208258057539E-3</c:v>
                </c:pt>
                <c:pt idx="4062">
                  <c:v>5.9034485023197764E-3</c:v>
                </c:pt>
                <c:pt idx="4063">
                  <c:v>2.9186185904279331E-3</c:v>
                </c:pt>
                <c:pt idx="4064">
                  <c:v>4.3226637643363677E-3</c:v>
                </c:pt>
                <c:pt idx="4065">
                  <c:v>4.2259045029784262E-3</c:v>
                </c:pt>
                <c:pt idx="4066">
                  <c:v>6.8586552070562263E-3</c:v>
                </c:pt>
                <c:pt idx="4067">
                  <c:v>4.4052146239812861E-3</c:v>
                </c:pt>
                <c:pt idx="4068">
                  <c:v>2.6467605613058457E-3</c:v>
                </c:pt>
                <c:pt idx="4069">
                  <c:v>4.3557719832786499E-3</c:v>
                </c:pt>
                <c:pt idx="4070">
                  <c:v>4.9693219482628507E-3</c:v>
                </c:pt>
                <c:pt idx="4071">
                  <c:v>3.681070127145632E-3</c:v>
                </c:pt>
                <c:pt idx="4072">
                  <c:v>2.887557713022394E-3</c:v>
                </c:pt>
                <c:pt idx="4073">
                  <c:v>4.3308335594194995E-3</c:v>
                </c:pt>
                <c:pt idx="4074">
                  <c:v>2.0787619526071613E-3</c:v>
                </c:pt>
                <c:pt idx="4075">
                  <c:v>2.2326052654567351E-3</c:v>
                </c:pt>
                <c:pt idx="4076">
                  <c:v>6.1848364751665571E-3</c:v>
                </c:pt>
                <c:pt idx="4077">
                  <c:v>5.7153265658407013E-3</c:v>
                </c:pt>
                <c:pt idx="4078">
                  <c:v>2.6545302956665884E-3</c:v>
                </c:pt>
                <c:pt idx="4079">
                  <c:v>4.7069077072812117E-3</c:v>
                </c:pt>
                <c:pt idx="4080">
                  <c:v>4.4598099570315334E-3</c:v>
                </c:pt>
                <c:pt idx="4081">
                  <c:v>3.268762549670976E-3</c:v>
                </c:pt>
                <c:pt idx="4082">
                  <c:v>2.3889855806229518E-3</c:v>
                </c:pt>
                <c:pt idx="4083">
                  <c:v>4.7275286411972081E-3</c:v>
                </c:pt>
                <c:pt idx="4084">
                  <c:v>4.6158202020492225E-3</c:v>
                </c:pt>
                <c:pt idx="4085">
                  <c:v>2.6428756419983128E-3</c:v>
                </c:pt>
                <c:pt idx="4086">
                  <c:v>3.925168140788326E-3</c:v>
                </c:pt>
                <c:pt idx="4087">
                  <c:v>3.1200289775461087E-3</c:v>
                </c:pt>
                <c:pt idx="4088">
                  <c:v>3.5673691970623659E-3</c:v>
                </c:pt>
                <c:pt idx="4089">
                  <c:v>2.9250893269497542E-3</c:v>
                </c:pt>
                <c:pt idx="4090">
                  <c:v>2.9859095381857452E-3</c:v>
                </c:pt>
                <c:pt idx="4091">
                  <c:v>3.7327425292050047E-3</c:v>
                </c:pt>
                <c:pt idx="4092">
                  <c:v>3.3756468174344803E-3</c:v>
                </c:pt>
                <c:pt idx="4093">
                  <c:v>2.5474683845094401E-3</c:v>
                </c:pt>
                <c:pt idx="4094">
                  <c:v>1.0745897333464188E-2</c:v>
                </c:pt>
                <c:pt idx="4095">
                  <c:v>9.995759168084083E-3</c:v>
                </c:pt>
                <c:pt idx="4096">
                  <c:v>0.20568306943522022</c:v>
                </c:pt>
                <c:pt idx="4097">
                  <c:v>2.6299507887319412E-2</c:v>
                </c:pt>
                <c:pt idx="4098">
                  <c:v>1.2916908323820779E-2</c:v>
                </c:pt>
                <c:pt idx="4099">
                  <c:v>5.0049365716314839E-2</c:v>
                </c:pt>
                <c:pt idx="4100">
                  <c:v>4.2934232383592744E-3</c:v>
                </c:pt>
                <c:pt idx="4101">
                  <c:v>2.3708448954453715E-3</c:v>
                </c:pt>
                <c:pt idx="4102">
                  <c:v>6.1655691413318534E-3</c:v>
                </c:pt>
                <c:pt idx="4103">
                  <c:v>3.8132531025457856E-3</c:v>
                </c:pt>
                <c:pt idx="4104">
                  <c:v>2.3552951335958677E-3</c:v>
                </c:pt>
                <c:pt idx="4105">
                  <c:v>2.638990687938382E-3</c:v>
                </c:pt>
                <c:pt idx="4106">
                  <c:v>2.8698692762108365E-3</c:v>
                </c:pt>
                <c:pt idx="4107">
                  <c:v>3.935066928938801E-3</c:v>
                </c:pt>
                <c:pt idx="4108">
                  <c:v>5.2126971670538313E-3</c:v>
                </c:pt>
                <c:pt idx="4109">
                  <c:v>1.2615804578258194E-2</c:v>
                </c:pt>
                <c:pt idx="4110">
                  <c:v>9.1864991221248856E-3</c:v>
                </c:pt>
                <c:pt idx="4111">
                  <c:v>4.2203133090649141E-3</c:v>
                </c:pt>
                <c:pt idx="4112">
                  <c:v>2.8780664462567198E-3</c:v>
                </c:pt>
                <c:pt idx="4113">
                  <c:v>2.3652297678904395E-3</c:v>
                </c:pt>
                <c:pt idx="4114">
                  <c:v>3.1420188881298877E-3</c:v>
                </c:pt>
                <c:pt idx="4115">
                  <c:v>2.4870185518222191E-3</c:v>
                </c:pt>
                <c:pt idx="4116">
                  <c:v>2.8016973422685331E-3</c:v>
                </c:pt>
                <c:pt idx="4117">
                  <c:v>1.8699491692541698E-3</c:v>
                </c:pt>
                <c:pt idx="4118">
                  <c:v>3.9247377535766631E-3</c:v>
                </c:pt>
                <c:pt idx="4119">
                  <c:v>2.2459991546863838E-3</c:v>
                </c:pt>
                <c:pt idx="4120">
                  <c:v>3.3196220543257136E-3</c:v>
                </c:pt>
                <c:pt idx="4121">
                  <c:v>5.1762210351277062E-3</c:v>
                </c:pt>
                <c:pt idx="4122">
                  <c:v>6.1925431693659041E-3</c:v>
                </c:pt>
                <c:pt idx="4123">
                  <c:v>7.2039295983031748E-3</c:v>
                </c:pt>
                <c:pt idx="4124">
                  <c:v>7.0505556792313934E-3</c:v>
                </c:pt>
                <c:pt idx="4125">
                  <c:v>3.7447985384431678E-3</c:v>
                </c:pt>
                <c:pt idx="4126">
                  <c:v>3.473888182840694E-3</c:v>
                </c:pt>
                <c:pt idx="4127">
                  <c:v>6.6576885568937734E-3</c:v>
                </c:pt>
                <c:pt idx="4128">
                  <c:v>2.5431508183442622E-3</c:v>
                </c:pt>
                <c:pt idx="4129">
                  <c:v>6.5225182534442393E-3</c:v>
                </c:pt>
                <c:pt idx="4130">
                  <c:v>3.906230699982863E-3</c:v>
                </c:pt>
                <c:pt idx="4131">
                  <c:v>3.675471914478633E-3</c:v>
                </c:pt>
                <c:pt idx="4132">
                  <c:v>6.7013104976257638E-3</c:v>
                </c:pt>
                <c:pt idx="4133">
                  <c:v>2.4282877992143543E-3</c:v>
                </c:pt>
                <c:pt idx="4134">
                  <c:v>1.61371003874685E-2</c:v>
                </c:pt>
                <c:pt idx="4135">
                  <c:v>7.0368818368068114E-3</c:v>
                </c:pt>
                <c:pt idx="4136">
                  <c:v>1.4948322275465806E-2</c:v>
                </c:pt>
                <c:pt idx="4137">
                  <c:v>3.8860011578487016E-3</c:v>
                </c:pt>
                <c:pt idx="4138">
                  <c:v>2.886263461586549E-3</c:v>
                </c:pt>
                <c:pt idx="4139">
                  <c:v>2.5375379181583643E-3</c:v>
                </c:pt>
                <c:pt idx="4140">
                  <c:v>3.1976354571953036E-3</c:v>
                </c:pt>
                <c:pt idx="4141">
                  <c:v>5.5609971728880206E-3</c:v>
                </c:pt>
                <c:pt idx="4142">
                  <c:v>2.3056185529645879E-3</c:v>
                </c:pt>
                <c:pt idx="4143">
                  <c:v>2.5651699570365069E-3</c:v>
                </c:pt>
                <c:pt idx="4144">
                  <c:v>3.0872576329889789E-3</c:v>
                </c:pt>
                <c:pt idx="4145">
                  <c:v>4.6965968731446104E-3</c:v>
                </c:pt>
                <c:pt idx="4146">
                  <c:v>5.750043122645058E-3</c:v>
                </c:pt>
                <c:pt idx="4147">
                  <c:v>5.3015144636741748E-3</c:v>
                </c:pt>
                <c:pt idx="4148">
                  <c:v>2.3051865577771056E-3</c:v>
                </c:pt>
                <c:pt idx="4149">
                  <c:v>4.2822425169469838E-3</c:v>
                </c:pt>
                <c:pt idx="4150">
                  <c:v>2.9000686113873687E-3</c:v>
                </c:pt>
                <c:pt idx="4151">
                  <c:v>9.2507002501124262E-3</c:v>
                </c:pt>
                <c:pt idx="4152">
                  <c:v>9.4517456892163829E-3</c:v>
                </c:pt>
                <c:pt idx="4153">
                  <c:v>5.8250385559317462E-3</c:v>
                </c:pt>
                <c:pt idx="4154">
                  <c:v>7.7251667956878458E-3</c:v>
                </c:pt>
                <c:pt idx="4155">
                  <c:v>6.691005917266242E-2</c:v>
                </c:pt>
                <c:pt idx="4156">
                  <c:v>7.4828138655489193E-2</c:v>
                </c:pt>
                <c:pt idx="4157">
                  <c:v>6.903802405823245E-2</c:v>
                </c:pt>
                <c:pt idx="4158">
                  <c:v>7.2508705593107778E-2</c:v>
                </c:pt>
                <c:pt idx="4159">
                  <c:v>7.5425049865528018E-2</c:v>
                </c:pt>
                <c:pt idx="4160">
                  <c:v>7.5587104405285099E-2</c:v>
                </c:pt>
                <c:pt idx="4161">
                  <c:v>6.6526437377215739E-2</c:v>
                </c:pt>
                <c:pt idx="4162">
                  <c:v>7.1224547491606172E-2</c:v>
                </c:pt>
                <c:pt idx="4163">
                  <c:v>7.2646134626400322E-2</c:v>
                </c:pt>
                <c:pt idx="4164">
                  <c:v>5.9687592466573659E-2</c:v>
                </c:pt>
                <c:pt idx="4165">
                  <c:v>6.4605848812901767E-2</c:v>
                </c:pt>
                <c:pt idx="4166">
                  <c:v>5.6413134583130777E-2</c:v>
                </c:pt>
                <c:pt idx="4167">
                  <c:v>5.9417240147210289E-2</c:v>
                </c:pt>
                <c:pt idx="4168">
                  <c:v>5.3336637419059155E-2</c:v>
                </c:pt>
                <c:pt idx="4169">
                  <c:v>5.2623926010596067E-2</c:v>
                </c:pt>
                <c:pt idx="4170">
                  <c:v>6.3247767854446552E-2</c:v>
                </c:pt>
                <c:pt idx="4171">
                  <c:v>5.830262781406606E-2</c:v>
                </c:pt>
                <c:pt idx="4172">
                  <c:v>5.3501770301007924E-2</c:v>
                </c:pt>
                <c:pt idx="4173">
                  <c:v>5.8995851786617155E-2</c:v>
                </c:pt>
                <c:pt idx="4174">
                  <c:v>4.364437953653811E-2</c:v>
                </c:pt>
                <c:pt idx="4175">
                  <c:v>5.2323729888759073E-2</c:v>
                </c:pt>
                <c:pt idx="4176">
                  <c:v>6.4202578933724705E-2</c:v>
                </c:pt>
                <c:pt idx="4177">
                  <c:v>3.7234409649827271E-2</c:v>
                </c:pt>
                <c:pt idx="4178">
                  <c:v>3.6456420662544238E-2</c:v>
                </c:pt>
                <c:pt idx="4179">
                  <c:v>3.7926644580501587E-2</c:v>
                </c:pt>
                <c:pt idx="4180">
                  <c:v>2.7457250530592812E-2</c:v>
                </c:pt>
                <c:pt idx="4181">
                  <c:v>3.527040093676153E-2</c:v>
                </c:pt>
                <c:pt idx="4182">
                  <c:v>3.9241556952943568E-2</c:v>
                </c:pt>
                <c:pt idx="4183">
                  <c:v>3.432277899646631E-2</c:v>
                </c:pt>
                <c:pt idx="4184">
                  <c:v>3.2881353063861023E-2</c:v>
                </c:pt>
                <c:pt idx="4185">
                  <c:v>2.9739996560352311E-2</c:v>
                </c:pt>
                <c:pt idx="4186">
                  <c:v>2.8971611230355698E-2</c:v>
                </c:pt>
                <c:pt idx="4187">
                  <c:v>3.775309205838067E-2</c:v>
                </c:pt>
                <c:pt idx="4188">
                  <c:v>4.6817351392434897E-2</c:v>
                </c:pt>
                <c:pt idx="4189">
                  <c:v>4.2027081155221274E-2</c:v>
                </c:pt>
                <c:pt idx="4190">
                  <c:v>3.9245127900550937E-2</c:v>
                </c:pt>
                <c:pt idx="4191">
                  <c:v>3.275249329000219E-2</c:v>
                </c:pt>
                <c:pt idx="4192">
                  <c:v>2.8048402123116645E-2</c:v>
                </c:pt>
                <c:pt idx="4193">
                  <c:v>3.6357775869645531E-2</c:v>
                </c:pt>
                <c:pt idx="4194">
                  <c:v>3.6102073734645218E-2</c:v>
                </c:pt>
                <c:pt idx="4195">
                  <c:v>4.1078300114644466E-2</c:v>
                </c:pt>
                <c:pt idx="4196">
                  <c:v>5.0047043581888565E-2</c:v>
                </c:pt>
                <c:pt idx="4197">
                  <c:v>4.6846983717958875E-2</c:v>
                </c:pt>
                <c:pt idx="4198">
                  <c:v>4.6976406490230362E-2</c:v>
                </c:pt>
                <c:pt idx="4199">
                  <c:v>4.212208184782032E-2</c:v>
                </c:pt>
                <c:pt idx="4200">
                  <c:v>3.6064105113387854E-2</c:v>
                </c:pt>
                <c:pt idx="4201">
                  <c:v>3.5243972525277785E-2</c:v>
                </c:pt>
                <c:pt idx="4202">
                  <c:v>3.2295135228462807E-2</c:v>
                </c:pt>
                <c:pt idx="4203">
                  <c:v>2.9058137710971616E-2</c:v>
                </c:pt>
                <c:pt idx="4204">
                  <c:v>4.2085818475549319E-2</c:v>
                </c:pt>
                <c:pt idx="4205">
                  <c:v>3.7260717216718982E-2</c:v>
                </c:pt>
                <c:pt idx="4206">
                  <c:v>3.2865650324701921E-2</c:v>
                </c:pt>
                <c:pt idx="4207">
                  <c:v>2.5056689036643712E-2</c:v>
                </c:pt>
                <c:pt idx="4208">
                  <c:v>3.9029231189203616E-2</c:v>
                </c:pt>
                <c:pt idx="4209">
                  <c:v>2.3832503595340612E-2</c:v>
                </c:pt>
                <c:pt idx="4210">
                  <c:v>1.571299998049018E-2</c:v>
                </c:pt>
                <c:pt idx="4211">
                  <c:v>2.0540682145176268E-2</c:v>
                </c:pt>
                <c:pt idx="4212">
                  <c:v>1.7062569674435719E-2</c:v>
                </c:pt>
                <c:pt idx="4213">
                  <c:v>2.4612489440095815E-2</c:v>
                </c:pt>
                <c:pt idx="4214">
                  <c:v>2.562900760663496E-2</c:v>
                </c:pt>
                <c:pt idx="4215">
                  <c:v>2.5143589087866767E-2</c:v>
                </c:pt>
                <c:pt idx="4216">
                  <c:v>2.9944345633683908E-2</c:v>
                </c:pt>
                <c:pt idx="4217">
                  <c:v>2.0339733150236003E-2</c:v>
                </c:pt>
                <c:pt idx="4218">
                  <c:v>2.2387950634808244E-2</c:v>
                </c:pt>
                <c:pt idx="4219">
                  <c:v>2.9040265108886919E-2</c:v>
                </c:pt>
                <c:pt idx="4220">
                  <c:v>2.958423746493271E-2</c:v>
                </c:pt>
                <c:pt idx="4221">
                  <c:v>3.7108828850126188E-2</c:v>
                </c:pt>
                <c:pt idx="4222">
                  <c:v>2.6245546175883018E-2</c:v>
                </c:pt>
                <c:pt idx="4223">
                  <c:v>2.6476880206170957E-2</c:v>
                </c:pt>
                <c:pt idx="4224">
                  <c:v>2.3193589187982408E-2</c:v>
                </c:pt>
                <c:pt idx="4225">
                  <c:v>2.24683755772827E-2</c:v>
                </c:pt>
                <c:pt idx="4226">
                  <c:v>2.0869043943309979E-2</c:v>
                </c:pt>
                <c:pt idx="4227">
                  <c:v>3.1099702442171993E-2</c:v>
                </c:pt>
                <c:pt idx="4228">
                  <c:v>3.3011784642607969E-2</c:v>
                </c:pt>
                <c:pt idx="4229">
                  <c:v>3.8675388934872476E-2</c:v>
                </c:pt>
                <c:pt idx="4230">
                  <c:v>3.0967077635668108E-2</c:v>
                </c:pt>
                <c:pt idx="4231">
                  <c:v>2.8802570816169524E-2</c:v>
                </c:pt>
                <c:pt idx="4232">
                  <c:v>2.8673308036651548E-2</c:v>
                </c:pt>
                <c:pt idx="4233">
                  <c:v>2.9359018135144629E-2</c:v>
                </c:pt>
                <c:pt idx="4234">
                  <c:v>2.8949265911191922E-2</c:v>
                </c:pt>
                <c:pt idx="4235">
                  <c:v>2.5334544142113256E-2</c:v>
                </c:pt>
                <c:pt idx="4236">
                  <c:v>2.4768400692629547E-2</c:v>
                </c:pt>
                <c:pt idx="4237">
                  <c:v>2.6211612272081023E-2</c:v>
                </c:pt>
                <c:pt idx="4238">
                  <c:v>2.4220823311810035E-2</c:v>
                </c:pt>
                <c:pt idx="4239">
                  <c:v>2.7082424303201937E-2</c:v>
                </c:pt>
                <c:pt idx="4240">
                  <c:v>1.7708059305860037E-2</c:v>
                </c:pt>
                <c:pt idx="4241">
                  <c:v>3.2326581420015314E-2</c:v>
                </c:pt>
                <c:pt idx="4242">
                  <c:v>3.6195981854360987E-2</c:v>
                </c:pt>
                <c:pt idx="4243">
                  <c:v>3.1809445985331287E-2</c:v>
                </c:pt>
                <c:pt idx="4244">
                  <c:v>1.2000718970770251E-2</c:v>
                </c:pt>
                <c:pt idx="4245">
                  <c:v>2.3471404117155391E-2</c:v>
                </c:pt>
                <c:pt idx="4246">
                  <c:v>2.0406450240204328E-2</c:v>
                </c:pt>
                <c:pt idx="4247">
                  <c:v>4.5068979192371114E-2</c:v>
                </c:pt>
                <c:pt idx="4248">
                  <c:v>3.6946915570332792E-2</c:v>
                </c:pt>
                <c:pt idx="4249">
                  <c:v>4.0558433807759475E-2</c:v>
                </c:pt>
                <c:pt idx="4250">
                  <c:v>4.1450718815916797E-2</c:v>
                </c:pt>
                <c:pt idx="4251">
                  <c:v>3.8527571463464576E-2</c:v>
                </c:pt>
                <c:pt idx="4252">
                  <c:v>4.3302926937078538E-2</c:v>
                </c:pt>
                <c:pt idx="4253">
                  <c:v>5.0459801384644114E-2</c:v>
                </c:pt>
                <c:pt idx="4254">
                  <c:v>5.7945909322566172E-2</c:v>
                </c:pt>
                <c:pt idx="4255">
                  <c:v>7.6008382167864236E-2</c:v>
                </c:pt>
                <c:pt idx="4256">
                  <c:v>5.5462429557673644E-2</c:v>
                </c:pt>
                <c:pt idx="4257">
                  <c:v>5.1690713995099308E-2</c:v>
                </c:pt>
                <c:pt idx="4258">
                  <c:v>4.5532250473268171E-2</c:v>
                </c:pt>
                <c:pt idx="4259">
                  <c:v>4.740260517977838E-2</c:v>
                </c:pt>
                <c:pt idx="4260">
                  <c:v>4.478741008798548E-2</c:v>
                </c:pt>
                <c:pt idx="4261">
                  <c:v>5.0863668833434017E-2</c:v>
                </c:pt>
                <c:pt idx="4262">
                  <c:v>4.2589293098129283E-2</c:v>
                </c:pt>
                <c:pt idx="4263">
                  <c:v>5.5597334895154532E-2</c:v>
                </c:pt>
                <c:pt idx="4264">
                  <c:v>3.3250807511485729E-2</c:v>
                </c:pt>
                <c:pt idx="4265">
                  <c:v>3.3038349236429336E-2</c:v>
                </c:pt>
                <c:pt idx="4266">
                  <c:v>3.7346006550508078E-2</c:v>
                </c:pt>
                <c:pt idx="4267">
                  <c:v>4.0720588176737849E-2</c:v>
                </c:pt>
                <c:pt idx="4268">
                  <c:v>5.3152228843890016E-2</c:v>
                </c:pt>
                <c:pt idx="4269">
                  <c:v>5.8899162805552172E-2</c:v>
                </c:pt>
                <c:pt idx="4270">
                  <c:v>5.1285685671180761E-2</c:v>
                </c:pt>
                <c:pt idx="4271">
                  <c:v>5.4428421011813201E-2</c:v>
                </c:pt>
                <c:pt idx="4272">
                  <c:v>6.8526111366524645E-2</c:v>
                </c:pt>
                <c:pt idx="4273">
                  <c:v>4.6688661261347686E-2</c:v>
                </c:pt>
                <c:pt idx="4274">
                  <c:v>4.8229654437218085E-2</c:v>
                </c:pt>
                <c:pt idx="4275">
                  <c:v>4.3188132291409907E-2</c:v>
                </c:pt>
                <c:pt idx="4276">
                  <c:v>4.3618455845962509E-2</c:v>
                </c:pt>
                <c:pt idx="4277">
                  <c:v>5.0672410015505272E-2</c:v>
                </c:pt>
                <c:pt idx="4278">
                  <c:v>4.8409560455500246E-2</c:v>
                </c:pt>
                <c:pt idx="4279">
                  <c:v>5.8337941819126916E-2</c:v>
                </c:pt>
                <c:pt idx="4280">
                  <c:v>4.4658508802566547E-2</c:v>
                </c:pt>
                <c:pt idx="4281">
                  <c:v>4.8875492961015475E-2</c:v>
                </c:pt>
                <c:pt idx="4282">
                  <c:v>4.7982404954656596E-2</c:v>
                </c:pt>
                <c:pt idx="4283">
                  <c:v>5.1452371633545595E-2</c:v>
                </c:pt>
                <c:pt idx="4284">
                  <c:v>6.3181310501638444E-2</c:v>
                </c:pt>
                <c:pt idx="4285">
                  <c:v>5.7502166736113101E-2</c:v>
                </c:pt>
                <c:pt idx="4286">
                  <c:v>5.2198972013687436E-2</c:v>
                </c:pt>
                <c:pt idx="4287">
                  <c:v>4.1475193271764056E-2</c:v>
                </c:pt>
                <c:pt idx="4288">
                  <c:v>5.1536462027555928E-2</c:v>
                </c:pt>
                <c:pt idx="4289">
                  <c:v>6.0340438915396553E-2</c:v>
                </c:pt>
                <c:pt idx="4290">
                  <c:v>5.4451408718483106E-2</c:v>
                </c:pt>
                <c:pt idx="4291">
                  <c:v>5.2766254206129994E-2</c:v>
                </c:pt>
                <c:pt idx="4292">
                  <c:v>5.054679022330924E-2</c:v>
                </c:pt>
                <c:pt idx="4293">
                  <c:v>4.8981810819728355E-2</c:v>
                </c:pt>
                <c:pt idx="4294">
                  <c:v>3.4202374421787092E-2</c:v>
                </c:pt>
                <c:pt idx="4295">
                  <c:v>4.2141788932386105E-2</c:v>
                </c:pt>
                <c:pt idx="4296">
                  <c:v>5.0139919275626228E-2</c:v>
                </c:pt>
                <c:pt idx="4297">
                  <c:v>5.7441673124271488E-2</c:v>
                </c:pt>
                <c:pt idx="4298">
                  <c:v>6.0014516605839376E-2</c:v>
                </c:pt>
                <c:pt idx="4299">
                  <c:v>5.075201482706776E-2</c:v>
                </c:pt>
                <c:pt idx="4300">
                  <c:v>8.8185414306335141E-3</c:v>
                </c:pt>
                <c:pt idx="4301">
                  <c:v>1.0571729753778273E-2</c:v>
                </c:pt>
                <c:pt idx="4302">
                  <c:v>4.8065664854014655E-3</c:v>
                </c:pt>
                <c:pt idx="4303">
                  <c:v>1.2742765924868114E-2</c:v>
                </c:pt>
                <c:pt idx="4304">
                  <c:v>9.6837036190846812E-3</c:v>
                </c:pt>
                <c:pt idx="4305">
                  <c:v>8.5891013693242015E-3</c:v>
                </c:pt>
                <c:pt idx="4306">
                  <c:v>6.2327870173325348E-3</c:v>
                </c:pt>
                <c:pt idx="4307">
                  <c:v>1.2611585956230355E-2</c:v>
                </c:pt>
                <c:pt idx="4308">
                  <c:v>1.0766657178819434E-2</c:v>
                </c:pt>
                <c:pt idx="4309">
                  <c:v>1.4218443643539918E-2</c:v>
                </c:pt>
                <c:pt idx="4310">
                  <c:v>1.0403428544610044E-2</c:v>
                </c:pt>
                <c:pt idx="4311">
                  <c:v>6.4549173219862668E-3</c:v>
                </c:pt>
                <c:pt idx="4312">
                  <c:v>5.8927375958511717E-3</c:v>
                </c:pt>
                <c:pt idx="4313">
                  <c:v>6.282444498267298E-3</c:v>
                </c:pt>
                <c:pt idx="4314">
                  <c:v>7.7281532487357826E-3</c:v>
                </c:pt>
                <c:pt idx="4315">
                  <c:v>7.5301496258469132E-3</c:v>
                </c:pt>
                <c:pt idx="4316">
                  <c:v>7.253903269655082E-3</c:v>
                </c:pt>
                <c:pt idx="4317">
                  <c:v>7.1385707348437044E-3</c:v>
                </c:pt>
                <c:pt idx="4318">
                  <c:v>7.9648709729701964E-3</c:v>
                </c:pt>
                <c:pt idx="4319">
                  <c:v>6.5871143748167625E-3</c:v>
                </c:pt>
                <c:pt idx="4320">
                  <c:v>1.4130170356594043E-2</c:v>
                </c:pt>
                <c:pt idx="4321">
                  <c:v>6.2135218107378307E-3</c:v>
                </c:pt>
                <c:pt idx="4322">
                  <c:v>6.9697883089480418E-3</c:v>
                </c:pt>
                <c:pt idx="4323">
                  <c:v>3.7577153198228423E-3</c:v>
                </c:pt>
                <c:pt idx="4324">
                  <c:v>7.5083807891143158E-3</c:v>
                </c:pt>
                <c:pt idx="4325">
                  <c:v>3.5475546257404777E-3</c:v>
                </c:pt>
                <c:pt idx="4326">
                  <c:v>7.8407702023771605E-3</c:v>
                </c:pt>
                <c:pt idx="4327">
                  <c:v>4.849086331049684E-3</c:v>
                </c:pt>
                <c:pt idx="4328">
                  <c:v>6.2623253410537981E-3</c:v>
                </c:pt>
                <c:pt idx="4329">
                  <c:v>6.3432243758309668E-3</c:v>
                </c:pt>
                <c:pt idx="4330">
                  <c:v>4.1321349632354671E-3</c:v>
                </c:pt>
                <c:pt idx="4331">
                  <c:v>8.9840546217339473E-3</c:v>
                </c:pt>
                <c:pt idx="4332">
                  <c:v>4.074916995832352E-3</c:v>
                </c:pt>
                <c:pt idx="4333">
                  <c:v>9.0631723195262175E-3</c:v>
                </c:pt>
                <c:pt idx="4334">
                  <c:v>5.1221448964433513E-3</c:v>
                </c:pt>
                <c:pt idx="4335">
                  <c:v>7.1552317713911478E-3</c:v>
                </c:pt>
                <c:pt idx="4336">
                  <c:v>3.7000173884246222E-3</c:v>
                </c:pt>
                <c:pt idx="4337">
                  <c:v>6.9274755957995935E-3</c:v>
                </c:pt>
                <c:pt idx="4338">
                  <c:v>4.698744983776963E-3</c:v>
                </c:pt>
                <c:pt idx="4339">
                  <c:v>7.8578308299302301E-3</c:v>
                </c:pt>
                <c:pt idx="4340">
                  <c:v>5.6613175163587074E-3</c:v>
                </c:pt>
                <c:pt idx="4341">
                  <c:v>1.0431412611240053E-2</c:v>
                </c:pt>
                <c:pt idx="4342">
                  <c:v>7.0706383547906888E-3</c:v>
                </c:pt>
                <c:pt idx="4343">
                  <c:v>7.5480760838828147E-3</c:v>
                </c:pt>
                <c:pt idx="4344">
                  <c:v>4.9770502421762498E-3</c:v>
                </c:pt>
                <c:pt idx="4345">
                  <c:v>9.221789658498852E-3</c:v>
                </c:pt>
                <c:pt idx="4346">
                  <c:v>8.1494638917644635E-3</c:v>
                </c:pt>
                <c:pt idx="4347">
                  <c:v>1.0625555416954643E-2</c:v>
                </c:pt>
                <c:pt idx="4348">
                  <c:v>3.1191060607230182E-2</c:v>
                </c:pt>
                <c:pt idx="4349">
                  <c:v>3.0149003767982314E-2</c:v>
                </c:pt>
                <c:pt idx="4350">
                  <c:v>2.6328938722349149E-2</c:v>
                </c:pt>
                <c:pt idx="4351">
                  <c:v>1.3232969117525405E-2</c:v>
                </c:pt>
                <c:pt idx="4352">
                  <c:v>3.4497306357794646E-2</c:v>
                </c:pt>
                <c:pt idx="4353">
                  <c:v>1.636342475162552E-2</c:v>
                </c:pt>
                <c:pt idx="4354">
                  <c:v>9.3786490246532198E-3</c:v>
                </c:pt>
                <c:pt idx="4355">
                  <c:v>7.7793463933179697E-3</c:v>
                </c:pt>
                <c:pt idx="4356">
                  <c:v>7.4161712639514111E-3</c:v>
                </c:pt>
                <c:pt idx="4357">
                  <c:v>7.38799222580158E-3</c:v>
                </c:pt>
                <c:pt idx="4358">
                  <c:v>7.0061141171592041E-3</c:v>
                </c:pt>
                <c:pt idx="4359">
                  <c:v>5.9822726481283742E-3</c:v>
                </c:pt>
                <c:pt idx="4360">
                  <c:v>8.8538618785055905E-3</c:v>
                </c:pt>
                <c:pt idx="4361">
                  <c:v>4.8095730759060472E-3</c:v>
                </c:pt>
                <c:pt idx="4362">
                  <c:v>1.0608179357232232E-2</c:v>
                </c:pt>
                <c:pt idx="4363">
                  <c:v>8.6091130268558334E-3</c:v>
                </c:pt>
                <c:pt idx="4364">
                  <c:v>1.3072860395622766E-2</c:v>
                </c:pt>
                <c:pt idx="4365">
                  <c:v>1.2841019494745583E-2</c:v>
                </c:pt>
                <c:pt idx="4366">
                  <c:v>9.7546257241039741E-3</c:v>
                </c:pt>
                <c:pt idx="4367">
                  <c:v>1.2267630422888228E-2</c:v>
                </c:pt>
                <c:pt idx="4368">
                  <c:v>9.5745373889445096E-3</c:v>
                </c:pt>
                <c:pt idx="4369">
                  <c:v>8.2751808901792862E-3</c:v>
                </c:pt>
                <c:pt idx="4370">
                  <c:v>6.8099186466517988E-3</c:v>
                </c:pt>
                <c:pt idx="4371">
                  <c:v>1.1934810513752375E-2</c:v>
                </c:pt>
                <c:pt idx="4372">
                  <c:v>7.5617338409831843E-3</c:v>
                </c:pt>
                <c:pt idx="4373">
                  <c:v>2.0744022439184395E-2</c:v>
                </c:pt>
                <c:pt idx="4374">
                  <c:v>1.1476131829403685E-2</c:v>
                </c:pt>
                <c:pt idx="4375">
                  <c:v>1.061496034130187E-2</c:v>
                </c:pt>
                <c:pt idx="4376">
                  <c:v>9.4347475627539149E-3</c:v>
                </c:pt>
                <c:pt idx="4377">
                  <c:v>2.1165722443834856E-2</c:v>
                </c:pt>
                <c:pt idx="4378">
                  <c:v>2.4194535368721383E-2</c:v>
                </c:pt>
                <c:pt idx="4379">
                  <c:v>1.6274749774684179E-2</c:v>
                </c:pt>
                <c:pt idx="4380">
                  <c:v>1.0903054338103886E-2</c:v>
                </c:pt>
                <c:pt idx="4381">
                  <c:v>1.3345431264771258E-2</c:v>
                </c:pt>
                <c:pt idx="4382">
                  <c:v>1.4620070671008725E-2</c:v>
                </c:pt>
                <c:pt idx="4383">
                  <c:v>1.9705616607335517E-2</c:v>
                </c:pt>
                <c:pt idx="4384">
                  <c:v>1.0332188237311061E-2</c:v>
                </c:pt>
                <c:pt idx="4385">
                  <c:v>1.7893975897550582E-2</c:v>
                </c:pt>
                <c:pt idx="4386">
                  <c:v>2.2375163758976878E-2</c:v>
                </c:pt>
                <c:pt idx="4387">
                  <c:v>9.1346210795042494E-3</c:v>
                </c:pt>
                <c:pt idx="4388">
                  <c:v>8.3096934277882058E-3</c:v>
                </c:pt>
                <c:pt idx="4389">
                  <c:v>4.140308343231992E-3</c:v>
                </c:pt>
                <c:pt idx="4390">
                  <c:v>8.2670849595294586E-3</c:v>
                </c:pt>
                <c:pt idx="4391">
                  <c:v>1.0203671702178896E-2</c:v>
                </c:pt>
                <c:pt idx="4392">
                  <c:v>8.3382387630312593E-3</c:v>
                </c:pt>
                <c:pt idx="4393">
                  <c:v>1.2593445414544909E-2</c:v>
                </c:pt>
                <c:pt idx="4394">
                  <c:v>7.7132207781267469E-3</c:v>
                </c:pt>
                <c:pt idx="4395">
                  <c:v>1.0933970719679484E-2</c:v>
                </c:pt>
                <c:pt idx="4396">
                  <c:v>1.8014404033093914E-2</c:v>
                </c:pt>
                <c:pt idx="4397">
                  <c:v>1.6186893500109354E-2</c:v>
                </c:pt>
                <c:pt idx="4398">
                  <c:v>1.6457517544046226E-2</c:v>
                </c:pt>
                <c:pt idx="4399">
                  <c:v>7.8032344624826885E-3</c:v>
                </c:pt>
                <c:pt idx="4400">
                  <c:v>1.1383914873765978E-2</c:v>
                </c:pt>
                <c:pt idx="4401">
                  <c:v>3.7818256172426922E-3</c:v>
                </c:pt>
                <c:pt idx="4402">
                  <c:v>1.378152572516698E-2</c:v>
                </c:pt>
                <c:pt idx="4403">
                  <c:v>1.2088581357280782E-2</c:v>
                </c:pt>
                <c:pt idx="4404">
                  <c:v>5.4267717556444666E-3</c:v>
                </c:pt>
                <c:pt idx="4405">
                  <c:v>1.3228335220866722E-2</c:v>
                </c:pt>
                <c:pt idx="4406">
                  <c:v>5.0856611579741303E-3</c:v>
                </c:pt>
                <c:pt idx="4407">
                  <c:v>2.2546311695547983E-2</c:v>
                </c:pt>
                <c:pt idx="4408">
                  <c:v>6.2529075429553684E-3</c:v>
                </c:pt>
                <c:pt idx="4409">
                  <c:v>6.1308857862145795E-3</c:v>
                </c:pt>
                <c:pt idx="4410">
                  <c:v>3.6147482022391452E-3</c:v>
                </c:pt>
                <c:pt idx="4411">
                  <c:v>8.6695681784792027E-3</c:v>
                </c:pt>
                <c:pt idx="4412">
                  <c:v>3.6143175072902169E-3</c:v>
                </c:pt>
                <c:pt idx="4413">
                  <c:v>1.3308368306253858E-2</c:v>
                </c:pt>
                <c:pt idx="4414">
                  <c:v>4.5573766476383667E-3</c:v>
                </c:pt>
                <c:pt idx="4415">
                  <c:v>9.6000261238151155E-3</c:v>
                </c:pt>
                <c:pt idx="4416">
                  <c:v>1.1192227088865771E-2</c:v>
                </c:pt>
                <c:pt idx="4417">
                  <c:v>1.5585228174019559E-2</c:v>
                </c:pt>
                <c:pt idx="4418">
                  <c:v>5.0182654872241109E-3</c:v>
                </c:pt>
                <c:pt idx="4419">
                  <c:v>8.7151168533009474E-3</c:v>
                </c:pt>
                <c:pt idx="4420">
                  <c:v>6.9086686221684875E-3</c:v>
                </c:pt>
                <c:pt idx="4421">
                  <c:v>1.0126458665401215E-2</c:v>
                </c:pt>
                <c:pt idx="4422">
                  <c:v>1.0660729214638698E-2</c:v>
                </c:pt>
                <c:pt idx="4423">
                  <c:v>8.3518716939603634E-3</c:v>
                </c:pt>
                <c:pt idx="4424">
                  <c:v>1.5651841773305704E-2</c:v>
                </c:pt>
                <c:pt idx="4425">
                  <c:v>1.290341794558136E-2</c:v>
                </c:pt>
                <c:pt idx="4426">
                  <c:v>1.0410212726345203E-2</c:v>
                </c:pt>
                <c:pt idx="4427">
                  <c:v>9.2128609985977494E-3</c:v>
                </c:pt>
                <c:pt idx="4428">
                  <c:v>1.633247422225767E-2</c:v>
                </c:pt>
                <c:pt idx="4429">
                  <c:v>5.725184635705551E-3</c:v>
                </c:pt>
                <c:pt idx="4430">
                  <c:v>9.8285082937835111E-3</c:v>
                </c:pt>
                <c:pt idx="4431">
                  <c:v>4.727958233575697E-3</c:v>
                </c:pt>
                <c:pt idx="4432">
                  <c:v>9.2621789218388303E-3</c:v>
                </c:pt>
                <c:pt idx="4433">
                  <c:v>6.4527778802290015E-3</c:v>
                </c:pt>
                <c:pt idx="4434">
                  <c:v>9.4848901223701463E-3</c:v>
                </c:pt>
                <c:pt idx="4435">
                  <c:v>7.2731223814145691E-3</c:v>
                </c:pt>
                <c:pt idx="4436">
                  <c:v>1.1715466126307646E-2</c:v>
                </c:pt>
                <c:pt idx="4437">
                  <c:v>3.3390160594481233E-3</c:v>
                </c:pt>
                <c:pt idx="4438">
                  <c:v>6.8915706666477609E-3</c:v>
                </c:pt>
                <c:pt idx="4439">
                  <c:v>7.9520787184668568E-3</c:v>
                </c:pt>
                <c:pt idx="4440">
                  <c:v>4.9319665888320928E-3</c:v>
                </c:pt>
                <c:pt idx="4441">
                  <c:v>8.1550047294661095E-3</c:v>
                </c:pt>
                <c:pt idx="4442">
                  <c:v>6.2139499357245767E-3</c:v>
                </c:pt>
                <c:pt idx="4443">
                  <c:v>6.3743436563308789E-2</c:v>
                </c:pt>
                <c:pt idx="4444">
                  <c:v>5.7467165170348132E-2</c:v>
                </c:pt>
                <c:pt idx="4445">
                  <c:v>4.7098387226542596E-2</c:v>
                </c:pt>
                <c:pt idx="4446">
                  <c:v>5.8843793931962873E-2</c:v>
                </c:pt>
                <c:pt idx="4447">
                  <c:v>6.4523502849362618E-2</c:v>
                </c:pt>
                <c:pt idx="4448">
                  <c:v>4.8400625198375048E-2</c:v>
                </c:pt>
                <c:pt idx="4449">
                  <c:v>5.5852126672436234E-2</c:v>
                </c:pt>
                <c:pt idx="4450">
                  <c:v>6.3035218766938031E-2</c:v>
                </c:pt>
                <c:pt idx="4451">
                  <c:v>5.4657094533222012E-2</c:v>
                </c:pt>
                <c:pt idx="4452">
                  <c:v>6.8232629402922601E-2</c:v>
                </c:pt>
                <c:pt idx="4453">
                  <c:v>6.7666625246729034E-2</c:v>
                </c:pt>
                <c:pt idx="4454">
                  <c:v>5.7392967741554994E-2</c:v>
                </c:pt>
                <c:pt idx="4455">
                  <c:v>6.3347997844867429E-2</c:v>
                </c:pt>
                <c:pt idx="4456">
                  <c:v>6.1972416326702931E-2</c:v>
                </c:pt>
                <c:pt idx="4457">
                  <c:v>6.1799926448684823E-2</c:v>
                </c:pt>
                <c:pt idx="4458">
                  <c:v>6.3035594387107846E-2</c:v>
                </c:pt>
                <c:pt idx="4459">
                  <c:v>5.430120036983882E-2</c:v>
                </c:pt>
                <c:pt idx="4460">
                  <c:v>5.8585059485075822E-2</c:v>
                </c:pt>
                <c:pt idx="4461">
                  <c:v>6.0269754963863706E-2</c:v>
                </c:pt>
                <c:pt idx="4462">
                  <c:v>7.1355750610373414E-2</c:v>
                </c:pt>
                <c:pt idx="4463">
                  <c:v>6.6535752599548845E-2</c:v>
                </c:pt>
                <c:pt idx="4464">
                  <c:v>7.3028061781941309E-2</c:v>
                </c:pt>
                <c:pt idx="4465">
                  <c:v>4.8653849081173713E-2</c:v>
                </c:pt>
                <c:pt idx="4466">
                  <c:v>4.5498617339970168E-2</c:v>
                </c:pt>
                <c:pt idx="4467">
                  <c:v>5.1578501119589074E-2</c:v>
                </c:pt>
                <c:pt idx="4468">
                  <c:v>4.2697160854610845E-2</c:v>
                </c:pt>
                <c:pt idx="4469">
                  <c:v>2.9596408156125346E-2</c:v>
                </c:pt>
                <c:pt idx="4470">
                  <c:v>5.4715297041748413E-2</c:v>
                </c:pt>
                <c:pt idx="4471">
                  <c:v>5.4436849978872853E-2</c:v>
                </c:pt>
                <c:pt idx="4472">
                  <c:v>5.0415720388357281E-2</c:v>
                </c:pt>
                <c:pt idx="4473">
                  <c:v>2.4947629465006095E-2</c:v>
                </c:pt>
                <c:pt idx="4474">
                  <c:v>4.8141034015307581E-2</c:v>
                </c:pt>
                <c:pt idx="4475">
                  <c:v>5.1521805240631623E-2</c:v>
                </c:pt>
                <c:pt idx="4476">
                  <c:v>6.353713300822629E-2</c:v>
                </c:pt>
                <c:pt idx="4477">
                  <c:v>4.5261938516000202E-2</c:v>
                </c:pt>
                <c:pt idx="4478">
                  <c:v>4.7717505257756608E-2</c:v>
                </c:pt>
                <c:pt idx="4479">
                  <c:v>5.871672222650965E-2</c:v>
                </c:pt>
                <c:pt idx="4480">
                  <c:v>4.7145923155627149E-2</c:v>
                </c:pt>
                <c:pt idx="4481">
                  <c:v>6.0684622494324408E-2</c:v>
                </c:pt>
                <c:pt idx="4482">
                  <c:v>6.0303775413986294E-2</c:v>
                </c:pt>
                <c:pt idx="4483">
                  <c:v>3.8461991152176009E-2</c:v>
                </c:pt>
                <c:pt idx="4484">
                  <c:v>4.0397406030532233E-2</c:v>
                </c:pt>
                <c:pt idx="4485">
                  <c:v>5.7836441716062378E-2</c:v>
                </c:pt>
                <c:pt idx="4486">
                  <c:v>4.7475025166331529E-2</c:v>
                </c:pt>
                <c:pt idx="4487">
                  <c:v>4.0489994406751786E-2</c:v>
                </c:pt>
                <c:pt idx="4488">
                  <c:v>4.338546597623693E-2</c:v>
                </c:pt>
                <c:pt idx="4489">
                  <c:v>4.0737986512202951E-2</c:v>
                </c:pt>
                <c:pt idx="4490">
                  <c:v>3.2739202450814582E-2</c:v>
                </c:pt>
                <c:pt idx="4491">
                  <c:v>2.7114658203720107E-2</c:v>
                </c:pt>
                <c:pt idx="4492">
                  <c:v>3.3797972144185576E-2</c:v>
                </c:pt>
                <c:pt idx="4493">
                  <c:v>4.5717967964516548E-2</c:v>
                </c:pt>
                <c:pt idx="4494">
                  <c:v>3.3289022875545228E-2</c:v>
                </c:pt>
                <c:pt idx="4495">
                  <c:v>2.6618235751440015E-2</c:v>
                </c:pt>
                <c:pt idx="4496">
                  <c:v>1.924385870082973E-2</c:v>
                </c:pt>
                <c:pt idx="4497">
                  <c:v>2.3044524826991535E-2</c:v>
                </c:pt>
                <c:pt idx="4498">
                  <c:v>2.6715033670646576E-2</c:v>
                </c:pt>
                <c:pt idx="4499">
                  <c:v>3.3790740076862981E-2</c:v>
                </c:pt>
                <c:pt idx="4500">
                  <c:v>3.6257510631754183E-2</c:v>
                </c:pt>
                <c:pt idx="4501">
                  <c:v>4.768754313961044E-2</c:v>
                </c:pt>
                <c:pt idx="4502">
                  <c:v>4.2823103889877742E-2</c:v>
                </c:pt>
                <c:pt idx="4503">
                  <c:v>3.3023054668737992E-2</c:v>
                </c:pt>
                <c:pt idx="4504">
                  <c:v>3.0053778811817627E-2</c:v>
                </c:pt>
                <c:pt idx="4505">
                  <c:v>2.7425449765868366E-2</c:v>
                </c:pt>
                <c:pt idx="4506">
                  <c:v>2.6339566033760944E-2</c:v>
                </c:pt>
                <c:pt idx="4507">
                  <c:v>2.5725207605093413E-2</c:v>
                </c:pt>
                <c:pt idx="4508">
                  <c:v>3.5678235624331742E-2</c:v>
                </c:pt>
                <c:pt idx="4509">
                  <c:v>3.2177393367128028E-2</c:v>
                </c:pt>
                <c:pt idx="4510">
                  <c:v>2.0991132859225207E-2</c:v>
                </c:pt>
                <c:pt idx="4511">
                  <c:v>2.0139105748102751E-2</c:v>
                </c:pt>
                <c:pt idx="4512">
                  <c:v>3.0921781838838279E-2</c:v>
                </c:pt>
                <c:pt idx="4513">
                  <c:v>4.0910350538047001E-2</c:v>
                </c:pt>
                <c:pt idx="4514">
                  <c:v>3.6550651440665154E-2</c:v>
                </c:pt>
                <c:pt idx="4515">
                  <c:v>3.4619233283535923E-2</c:v>
                </c:pt>
                <c:pt idx="4516">
                  <c:v>2.8250699916254531E-2</c:v>
                </c:pt>
                <c:pt idx="4517">
                  <c:v>3.3185230156391445E-2</c:v>
                </c:pt>
                <c:pt idx="4518">
                  <c:v>2.1230658479702524E-2</c:v>
                </c:pt>
                <c:pt idx="4519">
                  <c:v>1.8129383819667898E-2</c:v>
                </c:pt>
                <c:pt idx="4520">
                  <c:v>1.5757815938114612E-2</c:v>
                </c:pt>
                <c:pt idx="4521">
                  <c:v>1.9339821840830902E-2</c:v>
                </c:pt>
                <c:pt idx="4522">
                  <c:v>2.3864979604923953E-2</c:v>
                </c:pt>
                <c:pt idx="4523">
                  <c:v>2.2287295365845401E-2</c:v>
                </c:pt>
                <c:pt idx="4524">
                  <c:v>2.751880693292013E-2</c:v>
                </c:pt>
                <c:pt idx="4525">
                  <c:v>2.3173826689904628E-2</c:v>
                </c:pt>
                <c:pt idx="4526">
                  <c:v>2.8170117721432041E-2</c:v>
                </c:pt>
                <c:pt idx="4527">
                  <c:v>2.8556613305965522E-2</c:v>
                </c:pt>
                <c:pt idx="4528">
                  <c:v>2.776657492069088E-2</c:v>
                </c:pt>
                <c:pt idx="4529">
                  <c:v>2.3002514025859667E-2</c:v>
                </c:pt>
                <c:pt idx="4530">
                  <c:v>3.6982812884537711E-2</c:v>
                </c:pt>
                <c:pt idx="4531">
                  <c:v>3.6001749438792439E-2</c:v>
                </c:pt>
                <c:pt idx="4532">
                  <c:v>2.5324711597510853E-2</c:v>
                </c:pt>
                <c:pt idx="4533">
                  <c:v>3.0813376286854162E-2</c:v>
                </c:pt>
                <c:pt idx="4534">
                  <c:v>4.6027450947533591E-2</c:v>
                </c:pt>
                <c:pt idx="4535">
                  <c:v>3.3192472313886306E-2</c:v>
                </c:pt>
                <c:pt idx="4536">
                  <c:v>4.087635754476858E-2</c:v>
                </c:pt>
                <c:pt idx="4537">
                  <c:v>5.6947135845892866E-2</c:v>
                </c:pt>
                <c:pt idx="4538">
                  <c:v>3.3701534676316466E-2</c:v>
                </c:pt>
                <c:pt idx="4539">
                  <c:v>3.7150693151601064E-2</c:v>
                </c:pt>
                <c:pt idx="4540">
                  <c:v>3.590699964315891E-2</c:v>
                </c:pt>
                <c:pt idx="4541">
                  <c:v>4.1769962623844491E-2</c:v>
                </c:pt>
                <c:pt idx="4542">
                  <c:v>4.6541205693623341E-2</c:v>
                </c:pt>
                <c:pt idx="4543">
                  <c:v>4.7083190217230661E-2</c:v>
                </c:pt>
                <c:pt idx="4544">
                  <c:v>3.8665456541825446E-2</c:v>
                </c:pt>
                <c:pt idx="4545">
                  <c:v>3.0007171755261398E-2</c:v>
                </c:pt>
                <c:pt idx="4546">
                  <c:v>4.3438518504730135E-2</c:v>
                </c:pt>
                <c:pt idx="4547">
                  <c:v>2.6607206771312657E-2</c:v>
                </c:pt>
                <c:pt idx="4548">
                  <c:v>2.3885121732418833E-2</c:v>
                </c:pt>
                <c:pt idx="4549">
                  <c:v>3.2243929505805763E-2</c:v>
                </c:pt>
                <c:pt idx="4550">
                  <c:v>4.3207004728229532E-2</c:v>
                </c:pt>
                <c:pt idx="4551">
                  <c:v>4.3694258648516685E-2</c:v>
                </c:pt>
                <c:pt idx="4552">
                  <c:v>3.3953030834766348E-2</c:v>
                </c:pt>
                <c:pt idx="4553">
                  <c:v>4.9230430906690568E-2</c:v>
                </c:pt>
                <c:pt idx="4554">
                  <c:v>4.2490456416218209E-2</c:v>
                </c:pt>
                <c:pt idx="4555">
                  <c:v>3.3573722037503313E-2</c:v>
                </c:pt>
                <c:pt idx="4556">
                  <c:v>3.7977980542971614E-2</c:v>
                </c:pt>
                <c:pt idx="4557">
                  <c:v>4.0359019590923778E-2</c:v>
                </c:pt>
                <c:pt idx="4558">
                  <c:v>3.5472164881786436E-2</c:v>
                </c:pt>
                <c:pt idx="4559">
                  <c:v>3.7765832216774702E-2</c:v>
                </c:pt>
                <c:pt idx="4560">
                  <c:v>3.7127169897962463E-2</c:v>
                </c:pt>
                <c:pt idx="4561">
                  <c:v>4.9142790145847014E-2</c:v>
                </c:pt>
                <c:pt idx="4562">
                  <c:v>3.8136327684109919E-2</c:v>
                </c:pt>
                <c:pt idx="4563">
                  <c:v>3.8528763741102243E-2</c:v>
                </c:pt>
                <c:pt idx="4564">
                  <c:v>2.4799166037745957E-2</c:v>
                </c:pt>
                <c:pt idx="4565">
                  <c:v>2.5151376451048132E-2</c:v>
                </c:pt>
                <c:pt idx="4566">
                  <c:v>4.3848965276004015E-2</c:v>
                </c:pt>
                <c:pt idx="4567">
                  <c:v>4.5571355492892658E-2</c:v>
                </c:pt>
                <c:pt idx="4568">
                  <c:v>4.4429997014745717E-2</c:v>
                </c:pt>
                <c:pt idx="4569">
                  <c:v>4.8572693699348232E-2</c:v>
                </c:pt>
                <c:pt idx="4570">
                  <c:v>4.6454971700756291E-2</c:v>
                </c:pt>
                <c:pt idx="4571">
                  <c:v>3.3314766067246121E-2</c:v>
                </c:pt>
                <c:pt idx="4572">
                  <c:v>3.4822502399706939E-2</c:v>
                </c:pt>
                <c:pt idx="4573">
                  <c:v>3.5719038037202971E-2</c:v>
                </c:pt>
                <c:pt idx="4574">
                  <c:v>3.4150188737593713E-2</c:v>
                </c:pt>
                <c:pt idx="4575">
                  <c:v>4.3004083040807856E-2</c:v>
                </c:pt>
                <c:pt idx="4576">
                  <c:v>4.5123000787961526E-2</c:v>
                </c:pt>
                <c:pt idx="4577">
                  <c:v>4.4183712506675105E-2</c:v>
                </c:pt>
                <c:pt idx="4578">
                  <c:v>4.5417261317742812E-2</c:v>
                </c:pt>
                <c:pt idx="4579">
                  <c:v>4.2206421893538446E-2</c:v>
                </c:pt>
                <c:pt idx="4580">
                  <c:v>4.7895678791796167E-2</c:v>
                </c:pt>
                <c:pt idx="4581">
                  <c:v>4.3551282721095236E-2</c:v>
                </c:pt>
                <c:pt idx="4582">
                  <c:v>4.3473490331091845E-2</c:v>
                </c:pt>
                <c:pt idx="4583">
                  <c:v>2.6087710568733991E-2</c:v>
                </c:pt>
                <c:pt idx="4584">
                  <c:v>3.5343270952417384E-2</c:v>
                </c:pt>
                <c:pt idx="4585">
                  <c:v>3.5940184413128497E-2</c:v>
                </c:pt>
                <c:pt idx="4586">
                  <c:v>1.2505685118365048E-2</c:v>
                </c:pt>
                <c:pt idx="4587">
                  <c:v>4.6016397681047008E-3</c:v>
                </c:pt>
                <c:pt idx="4588">
                  <c:v>1.3863980845290849E-2</c:v>
                </c:pt>
                <c:pt idx="4589">
                  <c:v>6.6020856142361478E-3</c:v>
                </c:pt>
                <c:pt idx="4590">
                  <c:v>9.1903259454131428E-3</c:v>
                </c:pt>
                <c:pt idx="4591">
                  <c:v>4.0912657557603373E-3</c:v>
                </c:pt>
                <c:pt idx="4592">
                  <c:v>8.1452016608128969E-3</c:v>
                </c:pt>
                <c:pt idx="4593">
                  <c:v>1.6142540248976971E-2</c:v>
                </c:pt>
                <c:pt idx="4594">
                  <c:v>4.5651122755533376E-3</c:v>
                </c:pt>
                <c:pt idx="4595">
                  <c:v>1.1321297706020667E-2</c:v>
                </c:pt>
                <c:pt idx="4596">
                  <c:v>8.8947108623759642E-3</c:v>
                </c:pt>
                <c:pt idx="4597">
                  <c:v>1.3810555078506349E-2</c:v>
                </c:pt>
                <c:pt idx="4598">
                  <c:v>1.3056959447500648E-3</c:v>
                </c:pt>
                <c:pt idx="4599">
                  <c:v>1.1899317201207215E-2</c:v>
                </c:pt>
                <c:pt idx="4600">
                  <c:v>7.4165982050138895E-3</c:v>
                </c:pt>
                <c:pt idx="4601">
                  <c:v>7.3909809983436492E-3</c:v>
                </c:pt>
                <c:pt idx="4602">
                  <c:v>3.8890141281000606E-3</c:v>
                </c:pt>
                <c:pt idx="4603">
                  <c:v>9.4844652097464573E-3</c:v>
                </c:pt>
                <c:pt idx="4604">
                  <c:v>5.3688661963776415E-3</c:v>
                </c:pt>
                <c:pt idx="4605">
                  <c:v>8.9912864076666984E-3</c:v>
                </c:pt>
                <c:pt idx="4606">
                  <c:v>3.3028132159736469E-3</c:v>
                </c:pt>
                <c:pt idx="4607">
                  <c:v>1.2267208224187929E-2</c:v>
                </c:pt>
                <c:pt idx="4608">
                  <c:v>5.5850075696070988E-3</c:v>
                </c:pt>
                <c:pt idx="4609">
                  <c:v>7.3854304043944946E-3</c:v>
                </c:pt>
                <c:pt idx="4610">
                  <c:v>4.1498719241239625E-4</c:v>
                </c:pt>
                <c:pt idx="4611">
                  <c:v>1.0534429318162201E-2</c:v>
                </c:pt>
                <c:pt idx="4612">
                  <c:v>3.179097392202521E-3</c:v>
                </c:pt>
                <c:pt idx="4613">
                  <c:v>3.334275382617206E-3</c:v>
                </c:pt>
                <c:pt idx="4614">
                  <c:v>8.5307642546502086E-3</c:v>
                </c:pt>
                <c:pt idx="4615">
                  <c:v>4.7610355706889382E-3</c:v>
                </c:pt>
                <c:pt idx="4616">
                  <c:v>3.6074263300186521E-3</c:v>
                </c:pt>
                <c:pt idx="4617">
                  <c:v>2.6286306405405202E-3</c:v>
                </c:pt>
                <c:pt idx="4618">
                  <c:v>9.5936540803397974E-3</c:v>
                </c:pt>
                <c:pt idx="4619">
                  <c:v>7.7635624838630129E-3</c:v>
                </c:pt>
                <c:pt idx="4620">
                  <c:v>1.2047609283124455E-2</c:v>
                </c:pt>
                <c:pt idx="4621">
                  <c:v>4.9542943163986526E-3</c:v>
                </c:pt>
                <c:pt idx="4622">
                  <c:v>1.1351761239656488E-2</c:v>
                </c:pt>
                <c:pt idx="4623">
                  <c:v>5.1513296806612431E-3</c:v>
                </c:pt>
                <c:pt idx="4624">
                  <c:v>1.0842485732106012E-2</c:v>
                </c:pt>
                <c:pt idx="4625">
                  <c:v>1.4488196475235188E-2</c:v>
                </c:pt>
                <c:pt idx="4626">
                  <c:v>1.509893273381349E-2</c:v>
                </c:pt>
                <c:pt idx="4627">
                  <c:v>3.541523924589683E-3</c:v>
                </c:pt>
                <c:pt idx="4628">
                  <c:v>7.6487919470857564E-3</c:v>
                </c:pt>
                <c:pt idx="4629">
                  <c:v>7.057819732912831E-3</c:v>
                </c:pt>
                <c:pt idx="4630">
                  <c:v>8.3071370375737922E-3</c:v>
                </c:pt>
                <c:pt idx="4631">
                  <c:v>7.7443650640926067E-3</c:v>
                </c:pt>
                <c:pt idx="4632">
                  <c:v>4.9405543122046265E-3</c:v>
                </c:pt>
                <c:pt idx="4633">
                  <c:v>8.9074753819276334E-3</c:v>
                </c:pt>
                <c:pt idx="4634">
                  <c:v>8.1349721358588579E-3</c:v>
                </c:pt>
                <c:pt idx="4635">
                  <c:v>2.3773711729847675E-2</c:v>
                </c:pt>
                <c:pt idx="4636">
                  <c:v>3.8517635689191372E-2</c:v>
                </c:pt>
                <c:pt idx="4637">
                  <c:v>2.7206858430935135E-2</c:v>
                </c:pt>
                <c:pt idx="4638">
                  <c:v>1.6735494914879769E-2</c:v>
                </c:pt>
                <c:pt idx="4639">
                  <c:v>9.6488753513709977E-3</c:v>
                </c:pt>
                <c:pt idx="4640">
                  <c:v>1.0715391270427199E-2</c:v>
                </c:pt>
                <c:pt idx="4641">
                  <c:v>1.3079181595883697E-2</c:v>
                </c:pt>
                <c:pt idx="4642">
                  <c:v>1.153280593049164E-2</c:v>
                </c:pt>
                <c:pt idx="4643">
                  <c:v>1.7544169951450844E-2</c:v>
                </c:pt>
                <c:pt idx="4644">
                  <c:v>2.5983000385376452E-2</c:v>
                </c:pt>
                <c:pt idx="4645">
                  <c:v>3.0198836592350883E-2</c:v>
                </c:pt>
                <c:pt idx="4646">
                  <c:v>1.8661809790882763E-2</c:v>
                </c:pt>
                <c:pt idx="4647">
                  <c:v>1.7966070108162199E-2</c:v>
                </c:pt>
                <c:pt idx="4648">
                  <c:v>1.6587959158493679E-2</c:v>
                </c:pt>
                <c:pt idx="4649">
                  <c:v>1.2029022737943139E-2</c:v>
                </c:pt>
                <c:pt idx="4650">
                  <c:v>1.1868892052960035E-2</c:v>
                </c:pt>
                <c:pt idx="4651">
                  <c:v>1.1196459520658331E-2</c:v>
                </c:pt>
                <c:pt idx="4652">
                  <c:v>1.1266288690812453E-2</c:v>
                </c:pt>
                <c:pt idx="4653">
                  <c:v>1.5436043684963751E-2</c:v>
                </c:pt>
                <c:pt idx="4654">
                  <c:v>1.3440180131213371E-2</c:v>
                </c:pt>
                <c:pt idx="4655">
                  <c:v>9.2553767826240307E-3</c:v>
                </c:pt>
                <c:pt idx="4656">
                  <c:v>1.6783130318544566E-2</c:v>
                </c:pt>
                <c:pt idx="4657">
                  <c:v>2.3316261245267113E-2</c:v>
                </c:pt>
                <c:pt idx="4658">
                  <c:v>1.1149053928371809E-2</c:v>
                </c:pt>
                <c:pt idx="4659">
                  <c:v>1.931240596446954E-2</c:v>
                </c:pt>
                <c:pt idx="4660">
                  <c:v>1.9627999204020728E-2</c:v>
                </c:pt>
                <c:pt idx="4661">
                  <c:v>1.8700082675161031E-2</c:v>
                </c:pt>
                <c:pt idx="4662">
                  <c:v>7.6637266330958397E-3</c:v>
                </c:pt>
                <c:pt idx="4663">
                  <c:v>8.7644913289156925E-3</c:v>
                </c:pt>
                <c:pt idx="4664">
                  <c:v>9.9354883576076806E-3</c:v>
                </c:pt>
                <c:pt idx="4665">
                  <c:v>1.2342775253570889E-2</c:v>
                </c:pt>
                <c:pt idx="4666">
                  <c:v>1.0696323892815135E-2</c:v>
                </c:pt>
                <c:pt idx="4667">
                  <c:v>1.3613622271154391E-2</c:v>
                </c:pt>
                <c:pt idx="4668">
                  <c:v>1.3313843715154369E-2</c:v>
                </c:pt>
                <c:pt idx="4669">
                  <c:v>1.7963569931242637E-2</c:v>
                </c:pt>
                <c:pt idx="4670">
                  <c:v>1.4595294816608853E-2</c:v>
                </c:pt>
                <c:pt idx="4671">
                  <c:v>1.4020854755905249E-2</c:v>
                </c:pt>
                <c:pt idx="4672">
                  <c:v>7.0928564031397948E-3</c:v>
                </c:pt>
                <c:pt idx="4673">
                  <c:v>7.7755071167881036E-3</c:v>
                </c:pt>
                <c:pt idx="4674">
                  <c:v>1.9793593894527308E-2</c:v>
                </c:pt>
                <c:pt idx="4675">
                  <c:v>1.4997832311347268E-2</c:v>
                </c:pt>
                <c:pt idx="4676">
                  <c:v>1.1849452647841062E-2</c:v>
                </c:pt>
                <c:pt idx="4677">
                  <c:v>1.9244274171379659E-2</c:v>
                </c:pt>
                <c:pt idx="4678">
                  <c:v>1.8780777486492213E-2</c:v>
                </c:pt>
                <c:pt idx="4679">
                  <c:v>3.9669136732181304E-3</c:v>
                </c:pt>
                <c:pt idx="4680">
                  <c:v>7.5706965106651716E-3</c:v>
                </c:pt>
                <c:pt idx="4681">
                  <c:v>5.2375850046251036E-3</c:v>
                </c:pt>
                <c:pt idx="4682">
                  <c:v>1.3649817476308168E-2</c:v>
                </c:pt>
                <c:pt idx="4683">
                  <c:v>1.7242084547645732E-2</c:v>
                </c:pt>
                <c:pt idx="4684">
                  <c:v>1.2072953290152131E-2</c:v>
                </c:pt>
                <c:pt idx="4685">
                  <c:v>7.2744036252918049E-3</c:v>
                </c:pt>
                <c:pt idx="4686">
                  <c:v>8.1545785136910541E-3</c:v>
                </c:pt>
                <c:pt idx="4687">
                  <c:v>1.5221396326696052E-2</c:v>
                </c:pt>
                <c:pt idx="4688">
                  <c:v>1.3464179896085161E-2</c:v>
                </c:pt>
                <c:pt idx="4689">
                  <c:v>9.23964642762699E-3</c:v>
                </c:pt>
                <c:pt idx="4690">
                  <c:v>1.1143551158370188E-2</c:v>
                </c:pt>
                <c:pt idx="4691">
                  <c:v>6.291433607688586E-3</c:v>
                </c:pt>
                <c:pt idx="4692">
                  <c:v>1.2486274196416769E-2</c:v>
                </c:pt>
                <c:pt idx="4693">
                  <c:v>5.2084060164228506E-3</c:v>
                </c:pt>
                <c:pt idx="4694">
                  <c:v>1.5322863963602154E-2</c:v>
                </c:pt>
                <c:pt idx="4695">
                  <c:v>1.2360082052152381E-2</c:v>
                </c:pt>
                <c:pt idx="4696">
                  <c:v>9.4088241389197313E-3</c:v>
                </c:pt>
                <c:pt idx="4697">
                  <c:v>1.4528938956798285E-2</c:v>
                </c:pt>
                <c:pt idx="4698">
                  <c:v>1.2833429882440349E-2</c:v>
                </c:pt>
                <c:pt idx="4699">
                  <c:v>6.6025133563505332E-3</c:v>
                </c:pt>
                <c:pt idx="4700">
                  <c:v>6.276023591908441E-3</c:v>
                </c:pt>
                <c:pt idx="4701">
                  <c:v>7.2611639229486994E-3</c:v>
                </c:pt>
                <c:pt idx="4702">
                  <c:v>4.4580905236563956E-3</c:v>
                </c:pt>
                <c:pt idx="4703">
                  <c:v>1.1347953414809573E-2</c:v>
                </c:pt>
                <c:pt idx="4704">
                  <c:v>7.3179636682355409E-3</c:v>
                </c:pt>
                <c:pt idx="4705">
                  <c:v>9.7053636939660147E-3</c:v>
                </c:pt>
                <c:pt idx="4706">
                  <c:v>5.6283086793463234E-3</c:v>
                </c:pt>
                <c:pt idx="4707">
                  <c:v>8.2402394779923852E-3</c:v>
                </c:pt>
                <c:pt idx="4708">
                  <c:v>4.0723355564258167E-3</c:v>
                </c:pt>
                <c:pt idx="4709">
                  <c:v>6.7513420348164627E-3</c:v>
                </c:pt>
                <c:pt idx="4710">
                  <c:v>1.4844668585272672E-2</c:v>
                </c:pt>
                <c:pt idx="4711">
                  <c:v>3.6462011194458556E-2</c:v>
                </c:pt>
                <c:pt idx="4712">
                  <c:v>6.217457161143046E-2</c:v>
                </c:pt>
                <c:pt idx="4713">
                  <c:v>6.6683279079236768E-2</c:v>
                </c:pt>
                <c:pt idx="4714">
                  <c:v>4.9235471651508558E-2</c:v>
                </c:pt>
                <c:pt idx="4715">
                  <c:v>4.7493712234933934E-2</c:v>
                </c:pt>
                <c:pt idx="4716">
                  <c:v>3.9434346119328029E-2</c:v>
                </c:pt>
                <c:pt idx="4717">
                  <c:v>4.4767430935255467E-2</c:v>
                </c:pt>
                <c:pt idx="4718">
                  <c:v>6.9866332617875532E-2</c:v>
                </c:pt>
                <c:pt idx="4719">
                  <c:v>3.0778583695002696E-2</c:v>
                </c:pt>
                <c:pt idx="4720">
                  <c:v>1.2319979881066236E-2</c:v>
                </c:pt>
                <c:pt idx="4721">
                  <c:v>2.2396612498087758E-2</c:v>
                </c:pt>
                <c:pt idx="4722">
                  <c:v>1.008063344942068E-2</c:v>
                </c:pt>
                <c:pt idx="4723">
                  <c:v>4.6819894390629562E-3</c:v>
                </c:pt>
                <c:pt idx="4724">
                  <c:v>1.7264623032498157E-2</c:v>
                </c:pt>
                <c:pt idx="4725">
                  <c:v>6.1124725091643026E-3</c:v>
                </c:pt>
                <c:pt idx="4726">
                  <c:v>7.4682549759292668E-3</c:v>
                </c:pt>
                <c:pt idx="4727">
                  <c:v>4.6029289175962924E-3</c:v>
                </c:pt>
                <c:pt idx="4728">
                  <c:v>6.8954177653295246E-3</c:v>
                </c:pt>
                <c:pt idx="4729">
                  <c:v>3.3846182848883265E-2</c:v>
                </c:pt>
                <c:pt idx="4730">
                  <c:v>3.3774266585040111E-2</c:v>
                </c:pt>
                <c:pt idx="4731">
                  <c:v>3.3621555699854942E-2</c:v>
                </c:pt>
                <c:pt idx="4732">
                  <c:v>3.3328843729797421E-2</c:v>
                </c:pt>
                <c:pt idx="4733">
                  <c:v>3.9496210921822976E-2</c:v>
                </c:pt>
                <c:pt idx="4734">
                  <c:v>4.8405675583686462E-2</c:v>
                </c:pt>
                <c:pt idx="4735">
                  <c:v>4.3730387970808061E-2</c:v>
                </c:pt>
                <c:pt idx="4736">
                  <c:v>5.2085349559586235E-2</c:v>
                </c:pt>
                <c:pt idx="4737">
                  <c:v>5.4084226205351513E-2</c:v>
                </c:pt>
                <c:pt idx="4738">
                  <c:v>5.7117375048422007E-2</c:v>
                </c:pt>
                <c:pt idx="4739">
                  <c:v>5.5047514629178354E-2</c:v>
                </c:pt>
                <c:pt idx="4740">
                  <c:v>5.3094200784955421E-2</c:v>
                </c:pt>
                <c:pt idx="4741">
                  <c:v>4.6793566089475103E-2</c:v>
                </c:pt>
                <c:pt idx="4742">
                  <c:v>3.9845026885924582E-2</c:v>
                </c:pt>
                <c:pt idx="4743">
                  <c:v>4.0328545465275846E-2</c:v>
                </c:pt>
                <c:pt idx="4744">
                  <c:v>3.2009596385508113E-2</c:v>
                </c:pt>
                <c:pt idx="4745">
                  <c:v>3.04592517347122E-2</c:v>
                </c:pt>
                <c:pt idx="4746">
                  <c:v>2.2178776056037137E-2</c:v>
                </c:pt>
                <c:pt idx="4747">
                  <c:v>3.658338785764817E-2</c:v>
                </c:pt>
                <c:pt idx="4748">
                  <c:v>4.0925369850344583E-2</c:v>
                </c:pt>
                <c:pt idx="4749">
                  <c:v>3.6374950460654601E-2</c:v>
                </c:pt>
                <c:pt idx="4750">
                  <c:v>3.2335853580284846E-2</c:v>
                </c:pt>
                <c:pt idx="4751">
                  <c:v>3.4761972630120069E-2</c:v>
                </c:pt>
                <c:pt idx="4752">
                  <c:v>3.8437346293502997E-2</c:v>
                </c:pt>
                <c:pt idx="4753">
                  <c:v>3.3654111734079395E-2</c:v>
                </c:pt>
                <c:pt idx="4754">
                  <c:v>2.7529405168117704E-2</c:v>
                </c:pt>
                <c:pt idx="4755">
                  <c:v>3.2224574589548867E-2</c:v>
                </c:pt>
                <c:pt idx="4756">
                  <c:v>2.7820755330654694E-2</c:v>
                </c:pt>
                <c:pt idx="4757">
                  <c:v>5.0334506838911185E-2</c:v>
                </c:pt>
                <c:pt idx="4758">
                  <c:v>4.4933895797349833E-2</c:v>
                </c:pt>
                <c:pt idx="4759">
                  <c:v>4.4907657337607695E-2</c:v>
                </c:pt>
                <c:pt idx="4760">
                  <c:v>4.5928221587438853E-2</c:v>
                </c:pt>
                <c:pt idx="4761">
                  <c:v>4.6941715615015742E-2</c:v>
                </c:pt>
                <c:pt idx="4762">
                  <c:v>3.4304319128352717E-2</c:v>
                </c:pt>
                <c:pt idx="4763">
                  <c:v>4.3977322087034455E-2</c:v>
                </c:pt>
                <c:pt idx="4764">
                  <c:v>3.5743437648535659E-2</c:v>
                </c:pt>
                <c:pt idx="4765">
                  <c:v>5.5485362599627643E-2</c:v>
                </c:pt>
                <c:pt idx="4766">
                  <c:v>4.2490456416218209E-2</c:v>
                </c:pt>
                <c:pt idx="4767">
                  <c:v>4.6478385337877577E-2</c:v>
                </c:pt>
                <c:pt idx="4768">
                  <c:v>4.8034510104824055E-2</c:v>
                </c:pt>
                <c:pt idx="4769">
                  <c:v>4.6970949682284845E-2</c:v>
                </c:pt>
                <c:pt idx="4770">
                  <c:v>4.4451951909714418E-2</c:v>
                </c:pt>
                <c:pt idx="4771">
                  <c:v>4.7499162478483826E-2</c:v>
                </c:pt>
                <c:pt idx="4772">
                  <c:v>3.7732388503847712E-2</c:v>
                </c:pt>
                <c:pt idx="4773">
                  <c:v>3.9974572365388761E-2</c:v>
                </c:pt>
                <c:pt idx="4774">
                  <c:v>3.5484571906197956E-2</c:v>
                </c:pt>
                <c:pt idx="4775">
                  <c:v>3.5795432246969551E-2</c:v>
                </c:pt>
                <c:pt idx="4776">
                  <c:v>3.1225416006375538E-2</c:v>
                </c:pt>
                <c:pt idx="4777">
                  <c:v>1.9686939889964339E-2</c:v>
                </c:pt>
                <c:pt idx="4778">
                  <c:v>2.4302552220386082E-2</c:v>
                </c:pt>
                <c:pt idx="4779">
                  <c:v>3.19732856221112E-2</c:v>
                </c:pt>
                <c:pt idx="4780">
                  <c:v>2.4460627314351082E-2</c:v>
                </c:pt>
                <c:pt idx="4781">
                  <c:v>4.4138597503065251E-2</c:v>
                </c:pt>
                <c:pt idx="4782">
                  <c:v>2.6381255282811197E-2</c:v>
                </c:pt>
                <c:pt idx="4783">
                  <c:v>1.6183127833997248E-2</c:v>
                </c:pt>
                <c:pt idx="4784">
                  <c:v>1.6995754496172803E-2</c:v>
                </c:pt>
                <c:pt idx="4785">
                  <c:v>2.6687262635007987E-2</c:v>
                </c:pt>
                <c:pt idx="4786">
                  <c:v>2.7960859785447545E-2</c:v>
                </c:pt>
                <c:pt idx="4787">
                  <c:v>2.788103836848406E-2</c:v>
                </c:pt>
                <c:pt idx="4788">
                  <c:v>2.5127194182622624E-2</c:v>
                </c:pt>
                <c:pt idx="4789">
                  <c:v>3.1092829590571674E-2</c:v>
                </c:pt>
                <c:pt idx="4790">
                  <c:v>3.3478843052322155E-2</c:v>
                </c:pt>
                <c:pt idx="4791">
                  <c:v>2.1080091299221556E-2</c:v>
                </c:pt>
                <c:pt idx="4792">
                  <c:v>1.7977320726187962E-2</c:v>
                </c:pt>
                <c:pt idx="4793">
                  <c:v>1.7605896357753267E-2</c:v>
                </c:pt>
                <c:pt idx="4794">
                  <c:v>2.0877736153426852E-2</c:v>
                </c:pt>
                <c:pt idx="4795">
                  <c:v>2.2691425291531803E-2</c:v>
                </c:pt>
                <c:pt idx="4796">
                  <c:v>1.937097414514239E-2</c:v>
                </c:pt>
                <c:pt idx="4797">
                  <c:v>2.1164895170553255E-2</c:v>
                </c:pt>
                <c:pt idx="4798">
                  <c:v>2.1950508181247802E-2</c:v>
                </c:pt>
                <c:pt idx="4799">
                  <c:v>2.348950736645062E-2</c:v>
                </c:pt>
                <c:pt idx="4800">
                  <c:v>1.8702162626587859E-2</c:v>
                </c:pt>
                <c:pt idx="4801">
                  <c:v>2.6523867645452698E-2</c:v>
                </c:pt>
                <c:pt idx="4802">
                  <c:v>2.0297459876060079E-2</c:v>
                </c:pt>
                <c:pt idx="4803">
                  <c:v>2.2120585334410917E-2</c:v>
                </c:pt>
                <c:pt idx="4804">
                  <c:v>2.4966901381437877E-2</c:v>
                </c:pt>
                <c:pt idx="4805">
                  <c:v>1.7432789982750968E-2</c:v>
                </c:pt>
                <c:pt idx="4806">
                  <c:v>1.7899393797474565E-2</c:v>
                </c:pt>
                <c:pt idx="4807">
                  <c:v>2.1042441346327847E-2</c:v>
                </c:pt>
                <c:pt idx="4808">
                  <c:v>2.0111740283632964E-2</c:v>
                </c:pt>
                <c:pt idx="4809">
                  <c:v>2.1999226405603849E-2</c:v>
                </c:pt>
                <c:pt idx="4810">
                  <c:v>3.00930869625308E-2</c:v>
                </c:pt>
                <c:pt idx="4811">
                  <c:v>2.9382965919064249E-2</c:v>
                </c:pt>
                <c:pt idx="4812">
                  <c:v>2.349897012826252E-2</c:v>
                </c:pt>
                <c:pt idx="4813">
                  <c:v>3.8665456541825446E-2</c:v>
                </c:pt>
                <c:pt idx="4814">
                  <c:v>3.9738033595427415E-2</c:v>
                </c:pt>
                <c:pt idx="4815">
                  <c:v>1.9951244443126705E-2</c:v>
                </c:pt>
                <c:pt idx="4816">
                  <c:v>2.2058671750889616E-2</c:v>
                </c:pt>
                <c:pt idx="4817">
                  <c:v>2.7966560753886305E-2</c:v>
                </c:pt>
                <c:pt idx="4818">
                  <c:v>2.7011011572256341E-2</c:v>
                </c:pt>
                <c:pt idx="4819">
                  <c:v>2.423109160741025E-2</c:v>
                </c:pt>
                <c:pt idx="4820">
                  <c:v>2.5120636047223841E-2</c:v>
                </c:pt>
                <c:pt idx="4821">
                  <c:v>3.4527390194753635E-2</c:v>
                </c:pt>
                <c:pt idx="4822">
                  <c:v>1.798857105276833E-2</c:v>
                </c:pt>
                <c:pt idx="4823">
                  <c:v>1.6317834689992785E-2</c:v>
                </c:pt>
                <c:pt idx="4824">
                  <c:v>2.3363591868689648E-2</c:v>
                </c:pt>
                <c:pt idx="4825">
                  <c:v>2.5423436628521902E-2</c:v>
                </c:pt>
                <c:pt idx="4826">
                  <c:v>2.8530586511328729E-2</c:v>
                </c:pt>
                <c:pt idx="4827">
                  <c:v>2.744298124468764E-2</c:v>
                </c:pt>
                <c:pt idx="4828">
                  <c:v>3.2405993075465656E-2</c:v>
                </c:pt>
                <c:pt idx="4829">
                  <c:v>3.1714584448236126E-2</c:v>
                </c:pt>
                <c:pt idx="4830">
                  <c:v>3.2603854383556966E-2</c:v>
                </c:pt>
                <c:pt idx="4831">
                  <c:v>2.9864887974752646E-2</c:v>
                </c:pt>
                <c:pt idx="4832">
                  <c:v>3.3714796098027612E-2</c:v>
                </c:pt>
                <c:pt idx="4833">
                  <c:v>3.374533601397417E-2</c:v>
                </c:pt>
                <c:pt idx="4834">
                  <c:v>3.4515758024902081E-2</c:v>
                </c:pt>
                <c:pt idx="4835">
                  <c:v>2.9544883228987538E-2</c:v>
                </c:pt>
                <c:pt idx="4836">
                  <c:v>2.7077935848812087E-2</c:v>
                </c:pt>
                <c:pt idx="4837">
                  <c:v>3.2979582956346579E-2</c:v>
                </c:pt>
                <c:pt idx="4838">
                  <c:v>2.7567719706925561E-2</c:v>
                </c:pt>
                <c:pt idx="4839">
                  <c:v>2.264154796179757E-2</c:v>
                </c:pt>
                <c:pt idx="4840">
                  <c:v>2.3986229318513831E-2</c:v>
                </c:pt>
                <c:pt idx="4841">
                  <c:v>3.146744349717797E-2</c:v>
                </c:pt>
                <c:pt idx="4842">
                  <c:v>3.8870812220084698E-2</c:v>
                </c:pt>
                <c:pt idx="4843">
                  <c:v>2.9279859283851638E-2</c:v>
                </c:pt>
                <c:pt idx="4844">
                  <c:v>3.3918890539234699E-2</c:v>
                </c:pt>
                <c:pt idx="4845">
                  <c:v>3.6436853234099363E-2</c:v>
                </c:pt>
                <c:pt idx="4846">
                  <c:v>3.728742175321606E-2</c:v>
                </c:pt>
                <c:pt idx="4847">
                  <c:v>3.6254314546277089E-2</c:v>
                </c:pt>
                <c:pt idx="4848">
                  <c:v>3.7676643258555298E-2</c:v>
                </c:pt>
                <c:pt idx="4849">
                  <c:v>4.0323796058291395E-2</c:v>
                </c:pt>
                <c:pt idx="4850">
                  <c:v>3.4479656203491603E-2</c:v>
                </c:pt>
                <c:pt idx="4851">
                  <c:v>4.3772796818694545E-2</c:v>
                </c:pt>
                <c:pt idx="4852">
                  <c:v>3.7491836415313097E-2</c:v>
                </c:pt>
                <c:pt idx="4853">
                  <c:v>3.6518711094626899E-2</c:v>
                </c:pt>
                <c:pt idx="4854">
                  <c:v>3.1797337155543011E-2</c:v>
                </c:pt>
                <c:pt idx="4855">
                  <c:v>4.3749629535380363E-2</c:v>
                </c:pt>
                <c:pt idx="4856">
                  <c:v>3.9164576054726501E-2</c:v>
                </c:pt>
                <c:pt idx="4857">
                  <c:v>4.1054593523221508E-2</c:v>
                </c:pt>
                <c:pt idx="4858">
                  <c:v>2.3883888567785429E-2</c:v>
                </c:pt>
                <c:pt idx="4859">
                  <c:v>4.5804348407337152E-2</c:v>
                </c:pt>
                <c:pt idx="4860">
                  <c:v>3.9107426769673437E-2</c:v>
                </c:pt>
                <c:pt idx="4861">
                  <c:v>4.0854221141959919E-2</c:v>
                </c:pt>
                <c:pt idx="4862">
                  <c:v>3.4955558062623654E-2</c:v>
                </c:pt>
                <c:pt idx="4863">
                  <c:v>3.9092344454141136E-2</c:v>
                </c:pt>
                <c:pt idx="4864">
                  <c:v>4.3473097404865414E-2</c:v>
                </c:pt>
                <c:pt idx="4865">
                  <c:v>3.5813029008847162E-2</c:v>
                </c:pt>
                <c:pt idx="4866">
                  <c:v>3.6352583417724002E-2</c:v>
                </c:pt>
                <c:pt idx="4867">
                  <c:v>4.9147444082206733E-2</c:v>
                </c:pt>
                <c:pt idx="4868">
                  <c:v>5.5783381997674027E-2</c:v>
                </c:pt>
                <c:pt idx="4869">
                  <c:v>4.3565818137738979E-2</c:v>
                </c:pt>
                <c:pt idx="4870">
                  <c:v>4.5642126625272741E-2</c:v>
                </c:pt>
                <c:pt idx="4871">
                  <c:v>3.9314953864163088E-2</c:v>
                </c:pt>
                <c:pt idx="4872">
                  <c:v>4.8800201071951592E-2</c:v>
                </c:pt>
                <c:pt idx="4873">
                  <c:v>1.401664976017614E-2</c:v>
                </c:pt>
                <c:pt idx="4874">
                  <c:v>3.6453264519282196E-3</c:v>
                </c:pt>
                <c:pt idx="4875">
                  <c:v>8.0416165882181475E-3</c:v>
                </c:pt>
                <c:pt idx="4876">
                  <c:v>7.1689018881123728E-3</c:v>
                </c:pt>
                <c:pt idx="4877">
                  <c:v>5.6840364270268539E-3</c:v>
                </c:pt>
                <c:pt idx="4878">
                  <c:v>4.1876248886896896E-3</c:v>
                </c:pt>
                <c:pt idx="4879">
                  <c:v>1.1543801541199076E-2</c:v>
                </c:pt>
                <c:pt idx="4880">
                  <c:v>1.0213428416686826E-2</c:v>
                </c:pt>
                <c:pt idx="4881">
                  <c:v>7.8254150645356672E-3</c:v>
                </c:pt>
                <c:pt idx="4882">
                  <c:v>1.2292961593827258E-2</c:v>
                </c:pt>
                <c:pt idx="4883">
                  <c:v>8.0322372960353102E-3</c:v>
                </c:pt>
                <c:pt idx="4884">
                  <c:v>1.0443284094768713E-2</c:v>
                </c:pt>
                <c:pt idx="4885">
                  <c:v>7.765268880108706E-3</c:v>
                </c:pt>
                <c:pt idx="4886">
                  <c:v>4.583161538203007E-3</c:v>
                </c:pt>
                <c:pt idx="4887">
                  <c:v>9.1673644998618801E-3</c:v>
                </c:pt>
                <c:pt idx="4888">
                  <c:v>9.6709618939197998E-3</c:v>
                </c:pt>
                <c:pt idx="4889">
                  <c:v>6.3089832374836436E-3</c:v>
                </c:pt>
                <c:pt idx="4890">
                  <c:v>4.5505004182616222E-3</c:v>
                </c:pt>
                <c:pt idx="4891">
                  <c:v>4.5345987208271496E-3</c:v>
                </c:pt>
                <c:pt idx="4892">
                  <c:v>8.8998167152168177E-3</c:v>
                </c:pt>
                <c:pt idx="4893">
                  <c:v>8.2381088131414093E-3</c:v>
                </c:pt>
                <c:pt idx="4894">
                  <c:v>6.522946073932662E-3</c:v>
                </c:pt>
                <c:pt idx="4895">
                  <c:v>5.2418758669572126E-3</c:v>
                </c:pt>
                <c:pt idx="4896">
                  <c:v>6.7718661264301126E-3</c:v>
                </c:pt>
                <c:pt idx="4897">
                  <c:v>5.4850984393368107E-3</c:v>
                </c:pt>
                <c:pt idx="4898">
                  <c:v>6.3415123830295001E-3</c:v>
                </c:pt>
                <c:pt idx="4899">
                  <c:v>5.7431857511231268E-3</c:v>
                </c:pt>
                <c:pt idx="4900">
                  <c:v>5.0010929437945698E-3</c:v>
                </c:pt>
                <c:pt idx="4901">
                  <c:v>6.8984099296328137E-3</c:v>
                </c:pt>
                <c:pt idx="4902">
                  <c:v>8.1272998340169694E-3</c:v>
                </c:pt>
                <c:pt idx="4903">
                  <c:v>1.2227097475943718E-2</c:v>
                </c:pt>
                <c:pt idx="4904">
                  <c:v>7.5591730442433275E-3</c:v>
                </c:pt>
                <c:pt idx="4905">
                  <c:v>1.3279726580865717E-2</c:v>
                </c:pt>
                <c:pt idx="4906">
                  <c:v>5.1963905690846921E-3</c:v>
                </c:pt>
                <c:pt idx="4907">
                  <c:v>9.0410548447168292E-3</c:v>
                </c:pt>
                <c:pt idx="4908">
                  <c:v>6.9326046290821954E-3</c:v>
                </c:pt>
                <c:pt idx="4909">
                  <c:v>9.9227540174990133E-3</c:v>
                </c:pt>
                <c:pt idx="4910">
                  <c:v>7.0766202488550776E-3</c:v>
                </c:pt>
                <c:pt idx="4911">
                  <c:v>6.4271037570336545E-3</c:v>
                </c:pt>
                <c:pt idx="4912">
                  <c:v>9.6187169120173308E-3</c:v>
                </c:pt>
                <c:pt idx="4913">
                  <c:v>6.9535475530090214E-3</c:v>
                </c:pt>
                <c:pt idx="4914">
                  <c:v>8.8827969723009187E-3</c:v>
                </c:pt>
                <c:pt idx="4915">
                  <c:v>1.0436076447041594E-2</c:v>
                </c:pt>
                <c:pt idx="4916">
                  <c:v>8.8751378703766717E-3</c:v>
                </c:pt>
                <c:pt idx="4917">
                  <c:v>3.6978643321816614E-3</c:v>
                </c:pt>
                <c:pt idx="4918">
                  <c:v>1.2876857538748988E-2</c:v>
                </c:pt>
                <c:pt idx="4919">
                  <c:v>4.9547236845253187E-3</c:v>
                </c:pt>
                <c:pt idx="4920">
                  <c:v>6.2781639045760059E-3</c:v>
                </c:pt>
                <c:pt idx="4921">
                  <c:v>1.740525345192338E-2</c:v>
                </c:pt>
                <c:pt idx="4922">
                  <c:v>6.1368806381869451E-3</c:v>
                </c:pt>
                <c:pt idx="4923">
                  <c:v>9.5872819433714829E-3</c:v>
                </c:pt>
                <c:pt idx="4924">
                  <c:v>2.1200466498749276E-2</c:v>
                </c:pt>
                <c:pt idx="4925">
                  <c:v>1.5464124456094536E-2</c:v>
                </c:pt>
                <c:pt idx="4926">
                  <c:v>1.0467450040721514E-2</c:v>
                </c:pt>
                <c:pt idx="4927">
                  <c:v>1.9553274160063524E-2</c:v>
                </c:pt>
                <c:pt idx="4928">
                  <c:v>1.0333884570918134E-2</c:v>
                </c:pt>
                <c:pt idx="4929">
                  <c:v>5.4816676747760727E-3</c:v>
                </c:pt>
                <c:pt idx="4930">
                  <c:v>5.3281132111825261E-3</c:v>
                </c:pt>
                <c:pt idx="4931">
                  <c:v>4.9448481102117329E-3</c:v>
                </c:pt>
                <c:pt idx="4932">
                  <c:v>8.5209696642185671E-3</c:v>
                </c:pt>
                <c:pt idx="4933">
                  <c:v>9.6989931958455945E-3</c:v>
                </c:pt>
                <c:pt idx="4934">
                  <c:v>1.4788005301078867E-2</c:v>
                </c:pt>
                <c:pt idx="4935">
                  <c:v>1.0639964305049319E-2</c:v>
                </c:pt>
                <c:pt idx="4936">
                  <c:v>1.2064505452141144E-2</c:v>
                </c:pt>
                <c:pt idx="4937">
                  <c:v>1.0388163748217358E-2</c:v>
                </c:pt>
                <c:pt idx="4938">
                  <c:v>8.4685861482782718E-3</c:v>
                </c:pt>
                <c:pt idx="4939">
                  <c:v>6.279448087113503E-3</c:v>
                </c:pt>
                <c:pt idx="4940">
                  <c:v>6.1304575793358039E-3</c:v>
                </c:pt>
                <c:pt idx="4941">
                  <c:v>1.501838990513067E-2</c:v>
                </c:pt>
                <c:pt idx="4942">
                  <c:v>1.2105053576022526E-2</c:v>
                </c:pt>
                <c:pt idx="4943">
                  <c:v>8.3143801040994787E-3</c:v>
                </c:pt>
                <c:pt idx="4944">
                  <c:v>1.0392828048483831E-2</c:v>
                </c:pt>
                <c:pt idx="4945">
                  <c:v>9.5762366844767775E-3</c:v>
                </c:pt>
                <c:pt idx="4946">
                  <c:v>1.4767436798748554E-2</c:v>
                </c:pt>
                <c:pt idx="4947">
                  <c:v>8.6291237623218088E-3</c:v>
                </c:pt>
                <c:pt idx="4948">
                  <c:v>7.5933157593137081E-3</c:v>
                </c:pt>
                <c:pt idx="4949">
                  <c:v>1.0358904722024335E-2</c:v>
                </c:pt>
                <c:pt idx="4950">
                  <c:v>1.2938829294747952E-2</c:v>
                </c:pt>
                <c:pt idx="4951">
                  <c:v>1.035254380330578E-2</c:v>
                </c:pt>
                <c:pt idx="4952">
                  <c:v>1.1786479904534599E-2</c:v>
                </c:pt>
                <c:pt idx="4953">
                  <c:v>1.4175570287955944E-2</c:v>
                </c:pt>
                <c:pt idx="4954">
                  <c:v>9.7584475445905514E-3</c:v>
                </c:pt>
                <c:pt idx="4955">
                  <c:v>1.4838373029879434E-2</c:v>
                </c:pt>
                <c:pt idx="4956">
                  <c:v>2.0277979629498344E-2</c:v>
                </c:pt>
                <c:pt idx="4957">
                  <c:v>9.3068153169353803E-3</c:v>
                </c:pt>
                <c:pt idx="4958">
                  <c:v>1.5943313185588188E-2</c:v>
                </c:pt>
                <c:pt idx="4959">
                  <c:v>1.4017490762579054E-2</c:v>
                </c:pt>
                <c:pt idx="4960">
                  <c:v>1.4835435072797601E-2</c:v>
                </c:pt>
                <c:pt idx="4961">
                  <c:v>9.5129334363829119E-3</c:v>
                </c:pt>
                <c:pt idx="4962">
                  <c:v>1.2295072458047857E-2</c:v>
                </c:pt>
                <c:pt idx="4963">
                  <c:v>1.0245242267432411E-2</c:v>
                </c:pt>
                <c:pt idx="4964">
                  <c:v>7.0377038245941326E-2</c:v>
                </c:pt>
                <c:pt idx="4965">
                  <c:v>1.2249897724079899E-2</c:v>
                </c:pt>
                <c:pt idx="4966">
                  <c:v>1.3164719459266828E-2</c:v>
                </c:pt>
                <c:pt idx="4967">
                  <c:v>9.2120106404620858E-3</c:v>
                </c:pt>
                <c:pt idx="4968">
                  <c:v>6.9749168425431943E-3</c:v>
                </c:pt>
                <c:pt idx="4969">
                  <c:v>1.6512709162403608E-2</c:v>
                </c:pt>
                <c:pt idx="4970">
                  <c:v>2.0336003320968282E-2</c:v>
                </c:pt>
                <c:pt idx="4971">
                  <c:v>2.1314192475209041E-2</c:v>
                </c:pt>
                <c:pt idx="4972">
                  <c:v>5.1483254551913859E-3</c:v>
                </c:pt>
                <c:pt idx="4973">
                  <c:v>8.4541050372702233E-3</c:v>
                </c:pt>
                <c:pt idx="4974">
                  <c:v>5.8370366235458351E-3</c:v>
                </c:pt>
                <c:pt idx="4975">
                  <c:v>7.546795647133453E-3</c:v>
                </c:pt>
                <c:pt idx="4976">
                  <c:v>7.2603097347438139E-3</c:v>
                </c:pt>
                <c:pt idx="4977">
                  <c:v>5.4615113856348717E-3</c:v>
                </c:pt>
                <c:pt idx="4978">
                  <c:v>9.7843501081128718E-3</c:v>
                </c:pt>
                <c:pt idx="4979">
                  <c:v>1.5825659335478238E-2</c:v>
                </c:pt>
                <c:pt idx="4980">
                  <c:v>1.2536487626784739E-2</c:v>
                </c:pt>
                <c:pt idx="4981">
                  <c:v>6.7047316410167087E-3</c:v>
                </c:pt>
                <c:pt idx="4982">
                  <c:v>6.6893362835220536E-3</c:v>
                </c:pt>
                <c:pt idx="4983">
                  <c:v>7.2902053223279925E-3</c:v>
                </c:pt>
                <c:pt idx="4984">
                  <c:v>3.6199165083100255E-3</c:v>
                </c:pt>
                <c:pt idx="4985">
                  <c:v>4.2809524151844955E-3</c:v>
                </c:pt>
                <c:pt idx="4986">
                  <c:v>9.4564200573604273E-3</c:v>
                </c:pt>
                <c:pt idx="4987">
                  <c:v>8.2704937908294578E-3</c:v>
                </c:pt>
                <c:pt idx="4988">
                  <c:v>4.5801533798530136E-3</c:v>
                </c:pt>
                <c:pt idx="4989">
                  <c:v>6.4977039440025424E-3</c:v>
                </c:pt>
                <c:pt idx="4990">
                  <c:v>2.0789150245493205E-2</c:v>
                </c:pt>
                <c:pt idx="4991">
                  <c:v>1.0578935150543306E-2</c:v>
                </c:pt>
                <c:pt idx="4992">
                  <c:v>8.6308267610647055E-3</c:v>
                </c:pt>
                <c:pt idx="4993">
                  <c:v>9.3127664896713556E-3</c:v>
                </c:pt>
                <c:pt idx="4994">
                  <c:v>1.1952133577196277E-2</c:v>
                </c:pt>
                <c:pt idx="4995">
                  <c:v>6.5024102150886744E-3</c:v>
                </c:pt>
                <c:pt idx="4996">
                  <c:v>6.7188435726416619E-3</c:v>
                </c:pt>
                <c:pt idx="4997">
                  <c:v>7.6411110514370871E-3</c:v>
                </c:pt>
                <c:pt idx="4998">
                  <c:v>6.8616476246527412E-3</c:v>
                </c:pt>
                <c:pt idx="4999">
                  <c:v>5.1753627363085144E-3</c:v>
                </c:pt>
                <c:pt idx="5000">
                  <c:v>1.7612985991362205E-2</c:v>
                </c:pt>
                <c:pt idx="5001">
                  <c:v>7.3632273191651847E-3</c:v>
                </c:pt>
                <c:pt idx="5002">
                  <c:v>6.1193240522902925E-3</c:v>
                </c:pt>
                <c:pt idx="5003">
                  <c:v>5.1753627363085144E-3</c:v>
                </c:pt>
                <c:pt idx="5004">
                  <c:v>1.1684605329464373E-2</c:v>
                </c:pt>
                <c:pt idx="5005">
                  <c:v>7.7469247690925384E-3</c:v>
                </c:pt>
                <c:pt idx="5006">
                  <c:v>1.4528518950713422E-2</c:v>
                </c:pt>
                <c:pt idx="5007">
                  <c:v>1.429073030554852E-2</c:v>
                </c:pt>
                <c:pt idx="5008">
                  <c:v>8.4962692813367515E-3</c:v>
                </c:pt>
                <c:pt idx="5009">
                  <c:v>7.0509829798700574E-3</c:v>
                </c:pt>
                <c:pt idx="5010">
                  <c:v>7.0655109514419778E-3</c:v>
                </c:pt>
                <c:pt idx="5011">
                  <c:v>8.2214892685430977E-3</c:v>
                </c:pt>
                <c:pt idx="5012">
                  <c:v>6.3059870094286964E-3</c:v>
                </c:pt>
                <c:pt idx="5013">
                  <c:v>1.7303436570300548E-2</c:v>
                </c:pt>
                <c:pt idx="5014">
                  <c:v>7.276966101706658E-3</c:v>
                </c:pt>
                <c:pt idx="5015">
                  <c:v>9.5031609719134682E-3</c:v>
                </c:pt>
                <c:pt idx="5016">
                  <c:v>5.4533628330008061E-3</c:v>
                </c:pt>
                <c:pt idx="5017">
                  <c:v>7.6312963759736455E-3</c:v>
                </c:pt>
                <c:pt idx="5018">
                  <c:v>3.1307453789044558E-2</c:v>
                </c:pt>
                <c:pt idx="5019">
                  <c:v>4.2761711222670022E-2</c:v>
                </c:pt>
                <c:pt idx="5020">
                  <c:v>3.2079385216417726E-2</c:v>
                </c:pt>
                <c:pt idx="5021">
                  <c:v>2.8150580391996156E-2</c:v>
                </c:pt>
                <c:pt idx="5022">
                  <c:v>2.3590295753043739E-2</c:v>
                </c:pt>
                <c:pt idx="5023">
                  <c:v>1.8281810081002131E-2</c:v>
                </c:pt>
                <c:pt idx="5024">
                  <c:v>2.9315584039063865E-2</c:v>
                </c:pt>
                <c:pt idx="5025">
                  <c:v>4.319599590641765E-2</c:v>
                </c:pt>
                <c:pt idx="5026">
                  <c:v>4.3450700022297471E-2</c:v>
                </c:pt>
                <c:pt idx="5027">
                  <c:v>5.3076906155099128E-2</c:v>
                </c:pt>
                <c:pt idx="5028">
                  <c:v>5.1582357713239504E-2</c:v>
                </c:pt>
                <c:pt idx="5029">
                  <c:v>4.1295155356032766E-2</c:v>
                </c:pt>
                <c:pt idx="5030">
                  <c:v>4.0242256471787523E-2</c:v>
                </c:pt>
                <c:pt idx="5031">
                  <c:v>4.3176336601922417E-2</c:v>
                </c:pt>
                <c:pt idx="5032">
                  <c:v>3.9427207305771587E-2</c:v>
                </c:pt>
                <c:pt idx="5033">
                  <c:v>4.2373083254297103E-2</c:v>
                </c:pt>
                <c:pt idx="5034">
                  <c:v>4.7707777523934791E-2</c:v>
                </c:pt>
                <c:pt idx="5035">
                  <c:v>3.8632082037220246E-2</c:v>
                </c:pt>
                <c:pt idx="5036">
                  <c:v>4.2507783994419859E-2</c:v>
                </c:pt>
                <c:pt idx="5037">
                  <c:v>5.7966431427348301E-2</c:v>
                </c:pt>
                <c:pt idx="5038">
                  <c:v>4.3479777102367993E-2</c:v>
                </c:pt>
                <c:pt idx="5039">
                  <c:v>4.5348409700916081E-2</c:v>
                </c:pt>
                <c:pt idx="5040">
                  <c:v>5.1133606097988248E-2</c:v>
                </c:pt>
                <c:pt idx="5041">
                  <c:v>2.9075603406952994E-2</c:v>
                </c:pt>
                <c:pt idx="5042">
                  <c:v>4.6605577376572838E-2</c:v>
                </c:pt>
                <c:pt idx="5043">
                  <c:v>3.5944982001400096E-2</c:v>
                </c:pt>
                <c:pt idx="5044">
                  <c:v>4.8082332464471557E-2</c:v>
                </c:pt>
                <c:pt idx="5045">
                  <c:v>5.2652780089930976E-2</c:v>
                </c:pt>
                <c:pt idx="5046">
                  <c:v>4.5357407975435075E-2</c:v>
                </c:pt>
                <c:pt idx="5047">
                  <c:v>5.1566159789762409E-2</c:v>
                </c:pt>
                <c:pt idx="5048">
                  <c:v>4.642101968466001E-2</c:v>
                </c:pt>
                <c:pt idx="5049">
                  <c:v>3.6124054050902743E-2</c:v>
                </c:pt>
                <c:pt idx="5050">
                  <c:v>3.6588577550807029E-2</c:v>
                </c:pt>
                <c:pt idx="5051">
                  <c:v>4.2620396404465341E-2</c:v>
                </c:pt>
                <c:pt idx="5052">
                  <c:v>3.3897601702334114E-2</c:v>
                </c:pt>
                <c:pt idx="5053">
                  <c:v>3.5105397258495888E-2</c:v>
                </c:pt>
                <c:pt idx="5054">
                  <c:v>3.5722238064332487E-2</c:v>
                </c:pt>
                <c:pt idx="5055">
                  <c:v>2.8208375779148819E-2</c:v>
                </c:pt>
                <c:pt idx="5056">
                  <c:v>3.534527270336979E-2</c:v>
                </c:pt>
                <c:pt idx="5057">
                  <c:v>1.9381357750025942E-2</c:v>
                </c:pt>
                <c:pt idx="5058">
                  <c:v>3.5348875831833521E-2</c:v>
                </c:pt>
                <c:pt idx="5059">
                  <c:v>3.6002548927175804E-2</c:v>
                </c:pt>
                <c:pt idx="5060">
                  <c:v>3.6006546347016069E-2</c:v>
                </c:pt>
                <c:pt idx="5061">
                  <c:v>3.2295135228462807E-2</c:v>
                </c:pt>
                <c:pt idx="5062">
                  <c:v>2.801257297389519E-2</c:v>
                </c:pt>
                <c:pt idx="5063">
                  <c:v>3.5086169451006274E-2</c:v>
                </c:pt>
                <c:pt idx="5064">
                  <c:v>3.1347860793344569E-2</c:v>
                </c:pt>
                <c:pt idx="5065">
                  <c:v>3.0186277638979488E-2</c:v>
                </c:pt>
                <c:pt idx="5066">
                  <c:v>2.0898431191604963E-2</c:v>
                </c:pt>
                <c:pt idx="5067">
                  <c:v>2.7326771032577173E-2</c:v>
                </c:pt>
                <c:pt idx="5068">
                  <c:v>3.6787336043000052E-2</c:v>
                </c:pt>
                <c:pt idx="5069">
                  <c:v>4.3151957828359566E-2</c:v>
                </c:pt>
                <c:pt idx="5070">
                  <c:v>2.6077486077153534E-2</c:v>
                </c:pt>
                <c:pt idx="5071">
                  <c:v>2.1190953521955866E-2</c:v>
                </c:pt>
                <c:pt idx="5072">
                  <c:v>1.9144134272459718E-2</c:v>
                </c:pt>
                <c:pt idx="5073">
                  <c:v>1.3833272349427425E-2</c:v>
                </c:pt>
                <c:pt idx="5074">
                  <c:v>1.514297327602171E-2</c:v>
                </c:pt>
                <c:pt idx="5075">
                  <c:v>1.9841309968095574E-2</c:v>
                </c:pt>
                <c:pt idx="5076">
                  <c:v>2.1259607723127884E-2</c:v>
                </c:pt>
                <c:pt idx="5077">
                  <c:v>2.4130451840331309E-2</c:v>
                </c:pt>
                <c:pt idx="5078">
                  <c:v>2.2814651322358874E-2</c:v>
                </c:pt>
                <c:pt idx="5079">
                  <c:v>1.8714226148427777E-2</c:v>
                </c:pt>
                <c:pt idx="5080">
                  <c:v>1.8860209794972851E-2</c:v>
                </c:pt>
                <c:pt idx="5081">
                  <c:v>1.9146627662272271E-2</c:v>
                </c:pt>
                <c:pt idx="5082">
                  <c:v>2.3172591503914961E-2</c:v>
                </c:pt>
                <c:pt idx="5083">
                  <c:v>2.5753449515659065E-2</c:v>
                </c:pt>
                <c:pt idx="5084">
                  <c:v>3.5806630268840178E-2</c:v>
                </c:pt>
                <c:pt idx="5085">
                  <c:v>2.7692829818244561E-2</c:v>
                </c:pt>
                <c:pt idx="5086">
                  <c:v>2.86533867656318E-2</c:v>
                </c:pt>
                <c:pt idx="5087">
                  <c:v>1.963464080796494E-2</c:v>
                </c:pt>
                <c:pt idx="5088">
                  <c:v>2.7815459799151062E-2</c:v>
                </c:pt>
                <c:pt idx="5089">
                  <c:v>2.670645751092984E-2</c:v>
                </c:pt>
                <c:pt idx="5090">
                  <c:v>2.3367295786804996E-2</c:v>
                </c:pt>
                <c:pt idx="5091">
                  <c:v>2.8591584355278751E-2</c:v>
                </c:pt>
                <c:pt idx="5092">
                  <c:v>2.0711726267912924E-2</c:v>
                </c:pt>
                <c:pt idx="5093">
                  <c:v>2.9874212840693991E-2</c:v>
                </c:pt>
                <c:pt idx="5094">
                  <c:v>3.0431314197496777E-2</c:v>
                </c:pt>
                <c:pt idx="5095">
                  <c:v>2.8052066301316368E-2</c:v>
                </c:pt>
                <c:pt idx="5096">
                  <c:v>2.4607565015065506E-2</c:v>
                </c:pt>
                <c:pt idx="5097">
                  <c:v>2.8600529985352497E-2</c:v>
                </c:pt>
                <c:pt idx="5098">
                  <c:v>2.4577196493460237E-2</c:v>
                </c:pt>
                <c:pt idx="5099">
                  <c:v>2.696489311167747E-2</c:v>
                </c:pt>
                <c:pt idx="5100">
                  <c:v>2.7341859728969829E-2</c:v>
                </c:pt>
                <c:pt idx="5101">
                  <c:v>2.4364557361958531E-2</c:v>
                </c:pt>
                <c:pt idx="5102">
                  <c:v>1.7392736269801794E-2</c:v>
                </c:pt>
                <c:pt idx="5103">
                  <c:v>2.3445070771015878E-2</c:v>
                </c:pt>
                <c:pt idx="5104">
                  <c:v>2.5353389230393888E-2</c:v>
                </c:pt>
                <c:pt idx="5105">
                  <c:v>2.7818311247214979E-2</c:v>
                </c:pt>
                <c:pt idx="5106">
                  <c:v>3.5682636068960688E-2</c:v>
                </c:pt>
                <c:pt idx="5107">
                  <c:v>4.1344910137541387E-2</c:v>
                </c:pt>
                <c:pt idx="5108">
                  <c:v>3.2650989301026168E-2</c:v>
                </c:pt>
                <c:pt idx="5109">
                  <c:v>3.5404520353461442E-2</c:v>
                </c:pt>
                <c:pt idx="5110">
                  <c:v>2.8602969670666265E-2</c:v>
                </c:pt>
                <c:pt idx="5111">
                  <c:v>2.8157092932799013E-2</c:v>
                </c:pt>
                <c:pt idx="5112">
                  <c:v>4.073482323032436E-2</c:v>
                </c:pt>
                <c:pt idx="5113">
                  <c:v>2.2604857674284246E-2</c:v>
                </c:pt>
                <c:pt idx="5114">
                  <c:v>1.9841724867483309E-2</c:v>
                </c:pt>
                <c:pt idx="5115">
                  <c:v>3.1317151812947551E-2</c:v>
                </c:pt>
                <c:pt idx="5116">
                  <c:v>3.1408464251624121E-2</c:v>
                </c:pt>
                <c:pt idx="5117">
                  <c:v>4.2428622831662793E-2</c:v>
                </c:pt>
                <c:pt idx="5118">
                  <c:v>2.9356582693313149E-2</c:v>
                </c:pt>
                <c:pt idx="5119">
                  <c:v>3.8541481165576853E-2</c:v>
                </c:pt>
                <c:pt idx="5120">
                  <c:v>4.855249957350756E-2</c:v>
                </c:pt>
                <c:pt idx="5121">
                  <c:v>5.4737120971644793E-2</c:v>
                </c:pt>
                <c:pt idx="5122">
                  <c:v>5.0094257874911348E-2</c:v>
                </c:pt>
                <c:pt idx="5123">
                  <c:v>4.5871955500288518E-2</c:v>
                </c:pt>
                <c:pt idx="5124">
                  <c:v>4.9101290341560765E-2</c:v>
                </c:pt>
                <c:pt idx="5125">
                  <c:v>5.440006783106089E-2</c:v>
                </c:pt>
                <c:pt idx="5126">
                  <c:v>7.1693158566779103E-2</c:v>
                </c:pt>
                <c:pt idx="5127">
                  <c:v>7.2484448895758766E-2</c:v>
                </c:pt>
                <c:pt idx="5128">
                  <c:v>5.8511052814593671E-2</c:v>
                </c:pt>
                <c:pt idx="5129">
                  <c:v>6.3852175354826471E-2</c:v>
                </c:pt>
                <c:pt idx="5130">
                  <c:v>5.8549765569118138E-2</c:v>
                </c:pt>
                <c:pt idx="5131">
                  <c:v>5.2726253155636595E-2</c:v>
                </c:pt>
                <c:pt idx="5132">
                  <c:v>5.1916208888422577E-2</c:v>
                </c:pt>
                <c:pt idx="5133">
                  <c:v>6.3043857948652596E-2</c:v>
                </c:pt>
                <c:pt idx="5134">
                  <c:v>6.4088307228998595E-2</c:v>
                </c:pt>
                <c:pt idx="5135">
                  <c:v>5.0740422801050671E-2</c:v>
                </c:pt>
                <c:pt idx="5136">
                  <c:v>4.3149205300205919E-2</c:v>
                </c:pt>
                <c:pt idx="5137">
                  <c:v>4.478741008798548E-2</c:v>
                </c:pt>
                <c:pt idx="5138">
                  <c:v>7.374253822596484E-2</c:v>
                </c:pt>
                <c:pt idx="5139">
                  <c:v>7.2434093547142003E-2</c:v>
                </c:pt>
                <c:pt idx="5140">
                  <c:v>7.2725852930439219E-2</c:v>
                </c:pt>
                <c:pt idx="5141">
                  <c:v>6.9656259081248909E-2</c:v>
                </c:pt>
                <c:pt idx="5142">
                  <c:v>8.595667528559342E-2</c:v>
                </c:pt>
                <c:pt idx="5143">
                  <c:v>7.1457811017997835E-2</c:v>
                </c:pt>
                <c:pt idx="5144">
                  <c:v>6.3997243001252369E-2</c:v>
                </c:pt>
                <c:pt idx="5145">
                  <c:v>7.0510343669932626E-2</c:v>
                </c:pt>
                <c:pt idx="5146">
                  <c:v>7.4374610135901936E-2</c:v>
                </c:pt>
                <c:pt idx="5147">
                  <c:v>6.7706016867963167E-2</c:v>
                </c:pt>
                <c:pt idx="5148">
                  <c:v>8.0478570757258103E-2</c:v>
                </c:pt>
                <c:pt idx="5149">
                  <c:v>8.3976072313638808E-2</c:v>
                </c:pt>
                <c:pt idx="5150">
                  <c:v>8.6734514975179089E-2</c:v>
                </c:pt>
                <c:pt idx="5151">
                  <c:v>7.4140345462856486E-2</c:v>
                </c:pt>
                <c:pt idx="5152">
                  <c:v>7.7536502378389174E-2</c:v>
                </c:pt>
                <c:pt idx="5153">
                  <c:v>7.6793311718952442E-2</c:v>
                </c:pt>
                <c:pt idx="5154">
                  <c:v>8.7408346259175845E-2</c:v>
                </c:pt>
                <c:pt idx="5155">
                  <c:v>5.1960523177398896E-2</c:v>
                </c:pt>
                <c:pt idx="5156">
                  <c:v>4.6152041538734166E-2</c:v>
                </c:pt>
                <c:pt idx="5157">
                  <c:v>7.5930358077544349E-2</c:v>
                </c:pt>
                <c:pt idx="5158">
                  <c:v>8.8161259324768912E-2</c:v>
                </c:pt>
                <c:pt idx="5159">
                  <c:v>5.5397828312859956E-2</c:v>
                </c:pt>
                <c:pt idx="5160">
                  <c:v>7.3011910127970772E-2</c:v>
                </c:pt>
                <c:pt idx="5161">
                  <c:v>6.1494700109445181E-2</c:v>
                </c:pt>
                <c:pt idx="5162">
                  <c:v>5.24530852629943E-3</c:v>
                </c:pt>
                <c:pt idx="5163">
                  <c:v>4.2972934210158825E-3</c:v>
                </c:pt>
                <c:pt idx="5164">
                  <c:v>6.345364357342567E-3</c:v>
                </c:pt>
                <c:pt idx="5165">
                  <c:v>7.1466877299290995E-3</c:v>
                </c:pt>
                <c:pt idx="5166">
                  <c:v>5.2869273620890752E-3</c:v>
                </c:pt>
                <c:pt idx="5167">
                  <c:v>3.3536687334012462E-3</c:v>
                </c:pt>
                <c:pt idx="5168">
                  <c:v>3.5600465260179352E-3</c:v>
                </c:pt>
                <c:pt idx="5169">
                  <c:v>9.0363760037801728E-3</c:v>
                </c:pt>
                <c:pt idx="5170">
                  <c:v>8.2947809394021896E-3</c:v>
                </c:pt>
                <c:pt idx="5171">
                  <c:v>6.9317497944082675E-3</c:v>
                </c:pt>
                <c:pt idx="5172">
                  <c:v>8.7129885169484368E-3</c:v>
                </c:pt>
                <c:pt idx="5173">
                  <c:v>8.1694958169405679E-3</c:v>
                </c:pt>
                <c:pt idx="5174">
                  <c:v>7.4785002168487984E-3</c:v>
                </c:pt>
                <c:pt idx="5175">
                  <c:v>7.8603898662592316E-3</c:v>
                </c:pt>
                <c:pt idx="5176">
                  <c:v>8.5358743880558953E-3</c:v>
                </c:pt>
                <c:pt idx="5177">
                  <c:v>8.7857716993737303E-3</c:v>
                </c:pt>
                <c:pt idx="5178">
                  <c:v>5.8696011363122049E-3</c:v>
                </c:pt>
                <c:pt idx="5179">
                  <c:v>7.7012744319608266E-3</c:v>
                </c:pt>
                <c:pt idx="5180">
                  <c:v>7.7610028769230658E-3</c:v>
                </c:pt>
                <c:pt idx="5181">
                  <c:v>1.1393222060418835E-2</c:v>
                </c:pt>
                <c:pt idx="5182">
                  <c:v>1.0782755967560464E-2</c:v>
                </c:pt>
                <c:pt idx="5183">
                  <c:v>9.866718484662463E-3</c:v>
                </c:pt>
                <c:pt idx="5184">
                  <c:v>8.3825442239446428E-3</c:v>
                </c:pt>
                <c:pt idx="5185">
                  <c:v>8.4081030109036826E-3</c:v>
                </c:pt>
                <c:pt idx="5186">
                  <c:v>5.3581420973460537E-3</c:v>
                </c:pt>
                <c:pt idx="5187">
                  <c:v>8.8061998740549732E-3</c:v>
                </c:pt>
                <c:pt idx="5188">
                  <c:v>5.9994064390508613E-3</c:v>
                </c:pt>
                <c:pt idx="5189">
                  <c:v>7.8224292802421685E-3</c:v>
                </c:pt>
                <c:pt idx="5190">
                  <c:v>9.218813458927869E-3</c:v>
                </c:pt>
                <c:pt idx="5191">
                  <c:v>1.2179804256101595E-2</c:v>
                </c:pt>
                <c:pt idx="5192">
                  <c:v>1.1176143471868186E-2</c:v>
                </c:pt>
                <c:pt idx="5193">
                  <c:v>4.8705594184961848E-3</c:v>
                </c:pt>
                <c:pt idx="5194">
                  <c:v>7.9631653608068387E-3</c:v>
                </c:pt>
                <c:pt idx="5195">
                  <c:v>7.5442347623094728E-3</c:v>
                </c:pt>
                <c:pt idx="5196">
                  <c:v>6.2781639045760059E-3</c:v>
                </c:pt>
                <c:pt idx="5197">
                  <c:v>6.3851660914840637E-3</c:v>
                </c:pt>
                <c:pt idx="5198">
                  <c:v>6.2143780602893746E-3</c:v>
                </c:pt>
                <c:pt idx="5199">
                  <c:v>6.3042748698305152E-3</c:v>
                </c:pt>
                <c:pt idx="5200">
                  <c:v>3.5566005204504909E-3</c:v>
                </c:pt>
                <c:pt idx="5201">
                  <c:v>8.2470575352713502E-3</c:v>
                </c:pt>
                <c:pt idx="5202">
                  <c:v>4.0280184538436254E-3</c:v>
                </c:pt>
                <c:pt idx="5203">
                  <c:v>5.0886658169530851E-3</c:v>
                </c:pt>
                <c:pt idx="5204">
                  <c:v>4.3003035392382392E-3</c:v>
                </c:pt>
                <c:pt idx="5205">
                  <c:v>8.1008719790475244E-3</c:v>
                </c:pt>
                <c:pt idx="5206">
                  <c:v>6.5943861841371351E-3</c:v>
                </c:pt>
                <c:pt idx="5207">
                  <c:v>4.6592180471913868E-3</c:v>
                </c:pt>
                <c:pt idx="5208">
                  <c:v>6.7098633055725151E-3</c:v>
                </c:pt>
                <c:pt idx="5209">
                  <c:v>5.9257263416507651E-3</c:v>
                </c:pt>
                <c:pt idx="5210">
                  <c:v>1.2270585802297599E-2</c:v>
                </c:pt>
                <c:pt idx="5211">
                  <c:v>1.5591093932618288E-2</c:v>
                </c:pt>
                <c:pt idx="5212">
                  <c:v>3.2350769248829729E-2</c:v>
                </c:pt>
                <c:pt idx="5213">
                  <c:v>2.2457653112094741E-2</c:v>
                </c:pt>
                <c:pt idx="5214">
                  <c:v>2.3921704023827449E-2</c:v>
                </c:pt>
                <c:pt idx="5215">
                  <c:v>1.6057586942858346E-2</c:v>
                </c:pt>
                <c:pt idx="5216">
                  <c:v>2.2682769306261591E-2</c:v>
                </c:pt>
                <c:pt idx="5217">
                  <c:v>9.7427354008383163E-3</c:v>
                </c:pt>
                <c:pt idx="5218">
                  <c:v>1.0222336529812021E-2</c:v>
                </c:pt>
                <c:pt idx="5219">
                  <c:v>8.3880820887657619E-3</c:v>
                </c:pt>
                <c:pt idx="5220">
                  <c:v>1.1743365781171614E-2</c:v>
                </c:pt>
                <c:pt idx="5221">
                  <c:v>1.4397877347745155E-2</c:v>
                </c:pt>
                <c:pt idx="5222">
                  <c:v>1.2566866043190201E-2</c:v>
                </c:pt>
                <c:pt idx="5223">
                  <c:v>1.4600334087940507E-2</c:v>
                </c:pt>
                <c:pt idx="5224">
                  <c:v>9.3165922005103447E-3</c:v>
                </c:pt>
                <c:pt idx="5225">
                  <c:v>8.37146828245104E-3</c:v>
                </c:pt>
                <c:pt idx="5226">
                  <c:v>7.2799556384148941E-3</c:v>
                </c:pt>
                <c:pt idx="5227">
                  <c:v>1.0872982869290953E-2</c:v>
                </c:pt>
                <c:pt idx="5228">
                  <c:v>1.0866205912766509E-2</c:v>
                </c:pt>
                <c:pt idx="5229">
                  <c:v>1.4134374253324776E-2</c:v>
                </c:pt>
                <c:pt idx="5230">
                  <c:v>1.2676969993142004E-2</c:v>
                </c:pt>
                <c:pt idx="5231">
                  <c:v>1.0695900163804287E-2</c:v>
                </c:pt>
                <c:pt idx="5232">
                  <c:v>9.4300729613389089E-3</c:v>
                </c:pt>
                <c:pt idx="5233">
                  <c:v>1.1843113523254971E-2</c:v>
                </c:pt>
                <c:pt idx="5234">
                  <c:v>1.0019101249016987E-2</c:v>
                </c:pt>
                <c:pt idx="5235">
                  <c:v>1.2244408884850289E-2</c:v>
                </c:pt>
                <c:pt idx="5236">
                  <c:v>1.2161645669487882E-2</c:v>
                </c:pt>
                <c:pt idx="5237">
                  <c:v>8.0778528594861333E-3</c:v>
                </c:pt>
                <c:pt idx="5238">
                  <c:v>1.1401259924743891E-2</c:v>
                </c:pt>
                <c:pt idx="5239">
                  <c:v>1.2545770146135036E-2</c:v>
                </c:pt>
                <c:pt idx="5240">
                  <c:v>1.5829009352115959E-2</c:v>
                </c:pt>
                <c:pt idx="5241">
                  <c:v>1.4679275039190497E-2</c:v>
                </c:pt>
                <c:pt idx="5242">
                  <c:v>1.7951485539889765E-2</c:v>
                </c:pt>
                <c:pt idx="5243">
                  <c:v>1.7870636479016214E-2</c:v>
                </c:pt>
                <c:pt idx="5244">
                  <c:v>1.0634455080755462E-2</c:v>
                </c:pt>
                <c:pt idx="5245">
                  <c:v>1.0595040899295555E-2</c:v>
                </c:pt>
                <c:pt idx="5246">
                  <c:v>1.1296332939567491E-2</c:v>
                </c:pt>
                <c:pt idx="5247">
                  <c:v>9.027443531106856E-3</c:v>
                </c:pt>
                <c:pt idx="5248">
                  <c:v>9.0725293736436223E-3</c:v>
                </c:pt>
                <c:pt idx="5249">
                  <c:v>1.1234972754568513E-2</c:v>
                </c:pt>
                <c:pt idx="5250">
                  <c:v>8.3808402513312931E-3</c:v>
                </c:pt>
                <c:pt idx="5251">
                  <c:v>1.1768304864571104E-2</c:v>
                </c:pt>
                <c:pt idx="5252">
                  <c:v>1.5555479178501305E-2</c:v>
                </c:pt>
                <c:pt idx="5253">
                  <c:v>1.0123912946917404E-2</c:v>
                </c:pt>
                <c:pt idx="5254">
                  <c:v>1.3183257464451753E-2</c:v>
                </c:pt>
                <c:pt idx="5255">
                  <c:v>6.1403062307322145E-3</c:v>
                </c:pt>
                <c:pt idx="5256">
                  <c:v>7.6142268468474984E-3</c:v>
                </c:pt>
                <c:pt idx="5257">
                  <c:v>8.5507786003896757E-3</c:v>
                </c:pt>
                <c:pt idx="5258">
                  <c:v>5.5164029140426334E-3</c:v>
                </c:pt>
                <c:pt idx="5259">
                  <c:v>9.7699128042608666E-3</c:v>
                </c:pt>
                <c:pt idx="5260">
                  <c:v>1.1126195811641914E-2</c:v>
                </c:pt>
                <c:pt idx="5261">
                  <c:v>4.0787891261721745E-3</c:v>
                </c:pt>
                <c:pt idx="5262">
                  <c:v>1.3350485059512645E-2</c:v>
                </c:pt>
                <c:pt idx="5263">
                  <c:v>1.0477624773582736E-2</c:v>
                </c:pt>
                <c:pt idx="5264">
                  <c:v>6.2567603032256313E-3</c:v>
                </c:pt>
                <c:pt idx="5265">
                  <c:v>4.1648275603287837E-3</c:v>
                </c:pt>
                <c:pt idx="5266">
                  <c:v>9.0193616118052367E-3</c:v>
                </c:pt>
                <c:pt idx="5267">
                  <c:v>1.3493230468673291E-2</c:v>
                </c:pt>
                <c:pt idx="5268">
                  <c:v>4.131704781079916E-3</c:v>
                </c:pt>
                <c:pt idx="5269">
                  <c:v>4.8701299671518525E-3</c:v>
                </c:pt>
                <c:pt idx="5270">
                  <c:v>5.0470279763305025E-3</c:v>
                </c:pt>
                <c:pt idx="5271">
                  <c:v>1.6158859424684452E-2</c:v>
                </c:pt>
                <c:pt idx="5272">
                  <c:v>5.3306871970702722E-3</c:v>
                </c:pt>
                <c:pt idx="5273">
                  <c:v>6.8612201376870583E-3</c:v>
                </c:pt>
                <c:pt idx="5274">
                  <c:v>9.8297820209768908E-3</c:v>
                </c:pt>
                <c:pt idx="5275">
                  <c:v>1.0571729753778273E-2</c:v>
                </c:pt>
                <c:pt idx="5276">
                  <c:v>3.8459697121746407E-3</c:v>
                </c:pt>
                <c:pt idx="5277">
                  <c:v>6.3834542640095644E-3</c:v>
                </c:pt>
                <c:pt idx="5278">
                  <c:v>6.7449280572691546E-3</c:v>
                </c:pt>
                <c:pt idx="5279">
                  <c:v>9.7389134420807141E-3</c:v>
                </c:pt>
                <c:pt idx="5280">
                  <c:v>4.8572462293489469E-3</c:v>
                </c:pt>
                <c:pt idx="5281">
                  <c:v>4.1734304663358455E-3</c:v>
                </c:pt>
                <c:pt idx="5282">
                  <c:v>1.1203231325733157E-2</c:v>
                </c:pt>
                <c:pt idx="5283">
                  <c:v>1.0052626770232147E-2</c:v>
                </c:pt>
                <c:pt idx="5284">
                  <c:v>7.8441823815043523E-3</c:v>
                </c:pt>
                <c:pt idx="5285">
                  <c:v>8.6593509973303638E-3</c:v>
                </c:pt>
                <c:pt idx="5286">
                  <c:v>8.0829683248298343E-3</c:v>
                </c:pt>
                <c:pt idx="5287">
                  <c:v>6.697034030488414E-3</c:v>
                </c:pt>
                <c:pt idx="5288">
                  <c:v>9.9910906013453687E-3</c:v>
                </c:pt>
                <c:pt idx="5289">
                  <c:v>6.4378014928172644E-3</c:v>
                </c:pt>
                <c:pt idx="5290">
                  <c:v>9.4296479950788364E-3</c:v>
                </c:pt>
                <c:pt idx="5291">
                  <c:v>9.4330477135155261E-3</c:v>
                </c:pt>
                <c:pt idx="5292">
                  <c:v>7.5847803321847365E-3</c:v>
                </c:pt>
                <c:pt idx="5293">
                  <c:v>8.161824124979589E-3</c:v>
                </c:pt>
                <c:pt idx="5294">
                  <c:v>1.3615305835960703E-2</c:v>
                </c:pt>
                <c:pt idx="5295">
                  <c:v>1.0182884927285153E-2</c:v>
                </c:pt>
                <c:pt idx="5296">
                  <c:v>1.0121367213511185E-2</c:v>
                </c:pt>
                <c:pt idx="5297">
                  <c:v>8.6648853336234091E-3</c:v>
                </c:pt>
                <c:pt idx="5298">
                  <c:v>9.226891667455531E-3</c:v>
                </c:pt>
                <c:pt idx="5299">
                  <c:v>1.0338549454173462E-2</c:v>
                </c:pt>
                <c:pt idx="5300">
                  <c:v>4.0245761595177291E-3</c:v>
                </c:pt>
                <c:pt idx="5301">
                  <c:v>5.574288806525024E-3</c:v>
                </c:pt>
                <c:pt idx="5302">
                  <c:v>1.0157006123322857E-2</c:v>
                </c:pt>
                <c:pt idx="5303">
                  <c:v>9.6828541823704446E-3</c:v>
                </c:pt>
                <c:pt idx="5304">
                  <c:v>6.8804566345781609E-3</c:v>
                </c:pt>
                <c:pt idx="5305">
                  <c:v>6.6926067085234894E-2</c:v>
                </c:pt>
                <c:pt idx="5306">
                  <c:v>7.7541225061437152E-2</c:v>
                </c:pt>
                <c:pt idx="5307">
                  <c:v>7.2371968320715296E-2</c:v>
                </c:pt>
                <c:pt idx="5308">
                  <c:v>8.1724540785532762E-2</c:v>
                </c:pt>
                <c:pt idx="5309">
                  <c:v>6.6261801614685548E-2</c:v>
                </c:pt>
                <c:pt idx="5310">
                  <c:v>6.8831997082185334E-2</c:v>
                </c:pt>
                <c:pt idx="5311">
                  <c:v>4.5688258502318127E-2</c:v>
                </c:pt>
                <c:pt idx="5312">
                  <c:v>6.3854424835475765E-2</c:v>
                </c:pt>
                <c:pt idx="5313">
                  <c:v>6.2270157913901357E-2</c:v>
                </c:pt>
                <c:pt idx="5314">
                  <c:v>5.5122878871996808E-2</c:v>
                </c:pt>
                <c:pt idx="5315">
                  <c:v>4.3967902693524429E-2</c:v>
                </c:pt>
                <c:pt idx="5316">
                  <c:v>4.7262403148439887E-2</c:v>
                </c:pt>
                <c:pt idx="5317">
                  <c:v>5.1843754919886964E-2</c:v>
                </c:pt>
                <c:pt idx="5318">
                  <c:v>4.4962090584118999E-2</c:v>
                </c:pt>
                <c:pt idx="5319">
                  <c:v>4.6904293137180815E-2</c:v>
                </c:pt>
                <c:pt idx="5320">
                  <c:v>5.2078800918969118E-2</c:v>
                </c:pt>
                <c:pt idx="5321">
                  <c:v>5.300118600070311E-2</c:v>
                </c:pt>
                <c:pt idx="5322">
                  <c:v>4.2217455828094656E-2</c:v>
                </c:pt>
                <c:pt idx="5323">
                  <c:v>5.6336849554364063E-2</c:v>
                </c:pt>
                <c:pt idx="5324">
                  <c:v>5.6667067167930331E-2</c:v>
                </c:pt>
                <c:pt idx="5325">
                  <c:v>4.8934863441486197E-2</c:v>
                </c:pt>
                <c:pt idx="5326">
                  <c:v>4.7772754652594736E-2</c:v>
                </c:pt>
                <c:pt idx="5327">
                  <c:v>5.6281534528320881E-2</c:v>
                </c:pt>
                <c:pt idx="5328">
                  <c:v>5.3347776262563436E-2</c:v>
                </c:pt>
                <c:pt idx="5329">
                  <c:v>4.4925280358504599E-2</c:v>
                </c:pt>
                <c:pt idx="5330">
                  <c:v>5.092856177744317E-2</c:v>
                </c:pt>
                <c:pt idx="5331">
                  <c:v>5.5294216904129306E-2</c:v>
                </c:pt>
                <c:pt idx="5332">
                  <c:v>4.7015381696030201E-2</c:v>
                </c:pt>
                <c:pt idx="5333">
                  <c:v>5.5161129829135812E-2</c:v>
                </c:pt>
                <c:pt idx="5334">
                  <c:v>5.0651540320803441E-2</c:v>
                </c:pt>
                <c:pt idx="5335">
                  <c:v>2.983083024162007E-2</c:v>
                </c:pt>
                <c:pt idx="5336">
                  <c:v>3.6020537026712762E-2</c:v>
                </c:pt>
                <c:pt idx="5337">
                  <c:v>6.2010445269669333E-2</c:v>
                </c:pt>
                <c:pt idx="5338">
                  <c:v>5.4795695571913265E-2</c:v>
                </c:pt>
                <c:pt idx="5339">
                  <c:v>4.3841506068708999E-2</c:v>
                </c:pt>
                <c:pt idx="5340">
                  <c:v>4.8231986309398761E-2</c:v>
                </c:pt>
                <c:pt idx="5341">
                  <c:v>4.5482190909582831E-2</c:v>
                </c:pt>
                <c:pt idx="5342">
                  <c:v>4.0134173135373062E-2</c:v>
                </c:pt>
                <c:pt idx="5343">
                  <c:v>4.6694511640110389E-2</c:v>
                </c:pt>
                <c:pt idx="5344">
                  <c:v>4.4538584503232614E-2</c:v>
                </c:pt>
                <c:pt idx="5345">
                  <c:v>4.7765751597174035E-2</c:v>
                </c:pt>
                <c:pt idx="5346">
                  <c:v>4.9652874899918618E-2</c:v>
                </c:pt>
                <c:pt idx="5347">
                  <c:v>4.6687101147033942E-2</c:v>
                </c:pt>
                <c:pt idx="5348">
                  <c:v>5.0256372806141598E-2</c:v>
                </c:pt>
                <c:pt idx="5349">
                  <c:v>4.7539647860843082E-2</c:v>
                </c:pt>
                <c:pt idx="5350">
                  <c:v>4.3685225848294873E-2</c:v>
                </c:pt>
                <c:pt idx="5351">
                  <c:v>2.838456353951907E-2</c:v>
                </c:pt>
                <c:pt idx="5352">
                  <c:v>5.1038239708509688E-2</c:v>
                </c:pt>
                <c:pt idx="5353">
                  <c:v>4.2372295407783249E-2</c:v>
                </c:pt>
                <c:pt idx="5354">
                  <c:v>5.080147066197533E-2</c:v>
                </c:pt>
                <c:pt idx="5355">
                  <c:v>4.0766850395032701E-2</c:v>
                </c:pt>
                <c:pt idx="5356">
                  <c:v>3.2144726441019178E-2</c:v>
                </c:pt>
                <c:pt idx="5357">
                  <c:v>3.4528192401879973E-2</c:v>
                </c:pt>
                <c:pt idx="5358">
                  <c:v>4.5725395012517378E-2</c:v>
                </c:pt>
                <c:pt idx="5359">
                  <c:v>4.9193205133565072E-2</c:v>
                </c:pt>
                <c:pt idx="5360">
                  <c:v>4.8226545254833865E-2</c:v>
                </c:pt>
                <c:pt idx="5361">
                  <c:v>4.3133869466842681E-2</c:v>
                </c:pt>
                <c:pt idx="5362">
                  <c:v>4.2287593571427688E-2</c:v>
                </c:pt>
                <c:pt idx="5363">
                  <c:v>4.6482287488013065E-2</c:v>
                </c:pt>
                <c:pt idx="5364">
                  <c:v>4.5427040491641403E-2</c:v>
                </c:pt>
                <c:pt idx="5365">
                  <c:v>4.2571968771755751E-2</c:v>
                </c:pt>
                <c:pt idx="5366">
                  <c:v>1.7658857294143529E-2</c:v>
                </c:pt>
                <c:pt idx="5367">
                  <c:v>4.8066781055384269E-2</c:v>
                </c:pt>
                <c:pt idx="5368">
                  <c:v>5.4821726191958596E-2</c:v>
                </c:pt>
                <c:pt idx="5369">
                  <c:v>3.6530289741494658E-2</c:v>
                </c:pt>
                <c:pt idx="5370">
                  <c:v>3.373408471585046E-2</c:v>
                </c:pt>
                <c:pt idx="5371">
                  <c:v>3.2461612897434891E-2</c:v>
                </c:pt>
                <c:pt idx="5372">
                  <c:v>3.1352709381232483E-2</c:v>
                </c:pt>
                <c:pt idx="5373">
                  <c:v>3.1763430635920853E-2</c:v>
                </c:pt>
                <c:pt idx="5374">
                  <c:v>3.6602150301263826E-2</c:v>
                </c:pt>
                <c:pt idx="5375">
                  <c:v>4.8529974248397757E-2</c:v>
                </c:pt>
                <c:pt idx="5376">
                  <c:v>4.281129828170506E-2</c:v>
                </c:pt>
                <c:pt idx="5377">
                  <c:v>4.9881365952072688E-2</c:v>
                </c:pt>
                <c:pt idx="5378">
                  <c:v>5.1991347842205576E-2</c:v>
                </c:pt>
                <c:pt idx="5379">
                  <c:v>5.6133102852131009E-2</c:v>
                </c:pt>
                <c:pt idx="5380">
                  <c:v>5.2942368852392098E-2</c:v>
                </c:pt>
                <c:pt idx="5381">
                  <c:v>1.5361851419995609E-2</c:v>
                </c:pt>
                <c:pt idx="5382">
                  <c:v>1.8177283081208837E-2</c:v>
                </c:pt>
                <c:pt idx="5383">
                  <c:v>4.4715715918607991E-2</c:v>
                </c:pt>
                <c:pt idx="5384">
                  <c:v>3.3960661827955152E-2</c:v>
                </c:pt>
                <c:pt idx="5385">
                  <c:v>5.1718859068448218E-2</c:v>
                </c:pt>
                <c:pt idx="5386">
                  <c:v>4.32203722081329E-2</c:v>
                </c:pt>
                <c:pt idx="5387">
                  <c:v>4.2341568278899178E-2</c:v>
                </c:pt>
                <c:pt idx="5388">
                  <c:v>3.4038169055849402E-2</c:v>
                </c:pt>
                <c:pt idx="5389">
                  <c:v>3.7692571201647929E-2</c:v>
                </c:pt>
                <c:pt idx="5390">
                  <c:v>4.0104079214320743E-2</c:v>
                </c:pt>
                <c:pt idx="5391">
                  <c:v>4.5583086312194758E-2</c:v>
                </c:pt>
                <c:pt idx="5392">
                  <c:v>4.2338810609741706E-2</c:v>
                </c:pt>
                <c:pt idx="5393">
                  <c:v>4.3239636381898698E-2</c:v>
                </c:pt>
                <c:pt idx="5394">
                  <c:v>4.9830643574573147E-2</c:v>
                </c:pt>
                <c:pt idx="5395">
                  <c:v>5.4720274525807432E-2</c:v>
                </c:pt>
                <c:pt idx="5396">
                  <c:v>5.8815727560413346E-2</c:v>
                </c:pt>
                <c:pt idx="5397">
                  <c:v>4.779648638953931E-2</c:v>
                </c:pt>
                <c:pt idx="5398">
                  <c:v>2.8672088393257657E-2</c:v>
                </c:pt>
                <c:pt idx="5399">
                  <c:v>4.9687737238350217E-2</c:v>
                </c:pt>
                <c:pt idx="5400">
                  <c:v>6.004288383221202E-2</c:v>
                </c:pt>
                <c:pt idx="5401">
                  <c:v>5.3970712434260354E-2</c:v>
                </c:pt>
                <c:pt idx="5402">
                  <c:v>5.419502691101525E-2</c:v>
                </c:pt>
                <c:pt idx="5403">
                  <c:v>4.6673059866007317E-2</c:v>
                </c:pt>
                <c:pt idx="5404">
                  <c:v>4.0254527970690727E-2</c:v>
                </c:pt>
                <c:pt idx="5405">
                  <c:v>5.5009253663507583E-2</c:v>
                </c:pt>
                <c:pt idx="5406">
                  <c:v>4.7005248479003926E-2</c:v>
                </c:pt>
                <c:pt idx="5407">
                  <c:v>4.8510943321873494E-2</c:v>
                </c:pt>
                <c:pt idx="5408">
                  <c:v>4.5812164794275953E-2</c:v>
                </c:pt>
                <c:pt idx="5409">
                  <c:v>4.0172975376717858E-2</c:v>
                </c:pt>
                <c:pt idx="5410">
                  <c:v>5.5857854904178744E-2</c:v>
                </c:pt>
                <c:pt idx="5411">
                  <c:v>5.484201368159243E-2</c:v>
                </c:pt>
                <c:pt idx="5412">
                  <c:v>5.9704625841891998E-2</c:v>
                </c:pt>
                <c:pt idx="5413">
                  <c:v>5.5011166791848747E-2</c:v>
                </c:pt>
                <c:pt idx="5414">
                  <c:v>6.0613239101790631E-2</c:v>
                </c:pt>
                <c:pt idx="5415">
                  <c:v>4.2214303303969754E-2</c:v>
                </c:pt>
                <c:pt idx="5416">
                  <c:v>4.6120799607105821E-2</c:v>
                </c:pt>
                <c:pt idx="5417">
                  <c:v>1.5446521796986329E-2</c:v>
                </c:pt>
                <c:pt idx="5418">
                  <c:v>3.7261912977350618E-2</c:v>
                </c:pt>
                <c:pt idx="5419">
                  <c:v>5.7578627735630022E-2</c:v>
                </c:pt>
                <c:pt idx="5420">
                  <c:v>6.2777842589897562E-2</c:v>
                </c:pt>
                <c:pt idx="5421">
                  <c:v>5.4495082009250129E-2</c:v>
                </c:pt>
                <c:pt idx="5422">
                  <c:v>5.3767003549853067E-2</c:v>
                </c:pt>
                <c:pt idx="5423">
                  <c:v>6.1704236582880684E-2</c:v>
                </c:pt>
                <c:pt idx="5424">
                  <c:v>5.4191576796431794E-2</c:v>
                </c:pt>
                <c:pt idx="5425">
                  <c:v>6.4081937101710423E-2</c:v>
                </c:pt>
                <c:pt idx="5426">
                  <c:v>5.8173498404981761E-2</c:v>
                </c:pt>
                <c:pt idx="5427">
                  <c:v>3.3792748996532958E-2</c:v>
                </c:pt>
                <c:pt idx="5428">
                  <c:v>5.054331100427898E-2</c:v>
                </c:pt>
                <c:pt idx="5429">
                  <c:v>4.9076854022415045E-2</c:v>
                </c:pt>
                <c:pt idx="5430">
                  <c:v>6.2280693699320377E-2</c:v>
                </c:pt>
                <c:pt idx="5431">
                  <c:v>4.883280328604863E-2</c:v>
                </c:pt>
                <c:pt idx="5432">
                  <c:v>5.3837602758117296E-2</c:v>
                </c:pt>
                <c:pt idx="5433">
                  <c:v>6.4747297700367579E-2</c:v>
                </c:pt>
                <c:pt idx="5434">
                  <c:v>2.5278413708237839E-2</c:v>
                </c:pt>
                <c:pt idx="5435">
                  <c:v>6.5914921913387839E-2</c:v>
                </c:pt>
                <c:pt idx="5436">
                  <c:v>5.8752381920557373E-2</c:v>
                </c:pt>
                <c:pt idx="5437">
                  <c:v>4.6756520810213704E-2</c:v>
                </c:pt>
                <c:pt idx="5438">
                  <c:v>3.2961871011108805E-2</c:v>
                </c:pt>
                <c:pt idx="5439">
                  <c:v>3.7011129783330897E-2</c:v>
                </c:pt>
                <c:pt idx="5440">
                  <c:v>4.2818775204143011E-2</c:v>
                </c:pt>
                <c:pt idx="5441">
                  <c:v>7.7113068664252951E-2</c:v>
                </c:pt>
                <c:pt idx="5442">
                  <c:v>7.0688266648891884E-2</c:v>
                </c:pt>
                <c:pt idx="5443">
                  <c:v>4.6502968298408776E-2</c:v>
                </c:pt>
                <c:pt idx="5444">
                  <c:v>5.0515862854619613E-2</c:v>
                </c:pt>
                <c:pt idx="5445">
                  <c:v>6.7256517251282219E-2</c:v>
                </c:pt>
                <c:pt idx="5446">
                  <c:v>5.0183641371706077E-2</c:v>
                </c:pt>
                <c:pt idx="5447">
                  <c:v>4.9196695185346501E-2</c:v>
                </c:pt>
                <c:pt idx="5448">
                  <c:v>1.5309448115464867E-2</c:v>
                </c:pt>
                <c:pt idx="5449">
                  <c:v>1.2850717139680064E-2</c:v>
                </c:pt>
                <c:pt idx="5450">
                  <c:v>6.0803544598114654E-3</c:v>
                </c:pt>
                <c:pt idx="5451">
                  <c:v>1.4769115896678717E-2</c:v>
                </c:pt>
                <c:pt idx="5452">
                  <c:v>2.714240192379121E-2</c:v>
                </c:pt>
                <c:pt idx="5453">
                  <c:v>1.3779842804598444E-2</c:v>
                </c:pt>
                <c:pt idx="5454">
                  <c:v>5.5172605391273812E-3</c:v>
                </c:pt>
                <c:pt idx="5455">
                  <c:v>7.9832058806872681E-3</c:v>
                </c:pt>
                <c:pt idx="5456">
                  <c:v>1.8190610631891216E-2</c:v>
                </c:pt>
                <c:pt idx="5457">
                  <c:v>1.1783098559341577E-2</c:v>
                </c:pt>
                <c:pt idx="5458">
                  <c:v>1.323170533243106E-2</c:v>
                </c:pt>
                <c:pt idx="5459">
                  <c:v>1.3493651477179232E-2</c:v>
                </c:pt>
                <c:pt idx="5460">
                  <c:v>1.4163800391091361E-2</c:v>
                </c:pt>
                <c:pt idx="5461">
                  <c:v>8.6636081853539142E-3</c:v>
                </c:pt>
                <c:pt idx="5462">
                  <c:v>1.0926347706735886E-2</c:v>
                </c:pt>
                <c:pt idx="5463">
                  <c:v>8.7342714111251461E-3</c:v>
                </c:pt>
                <c:pt idx="5464">
                  <c:v>1.830804199227198E-2</c:v>
                </c:pt>
                <c:pt idx="5465">
                  <c:v>8.6384901727686748E-3</c:v>
                </c:pt>
                <c:pt idx="5466">
                  <c:v>1.0249059772917329E-2</c:v>
                </c:pt>
                <c:pt idx="5467">
                  <c:v>1.2341508875376217E-2</c:v>
                </c:pt>
                <c:pt idx="5468">
                  <c:v>1.4094856017403214E-2</c:v>
                </c:pt>
                <c:pt idx="5469">
                  <c:v>9.6815800241839799E-3</c:v>
                </c:pt>
                <c:pt idx="5470">
                  <c:v>1.3560165695140479E-2</c:v>
                </c:pt>
                <c:pt idx="5471">
                  <c:v>1.2827105104200012E-2</c:v>
                </c:pt>
                <c:pt idx="5472">
                  <c:v>1.427728253522287E-2</c:v>
                </c:pt>
                <c:pt idx="5473">
                  <c:v>8.9023696191269548E-3</c:v>
                </c:pt>
                <c:pt idx="5474">
                  <c:v>1.2503997246548876E-2</c:v>
                </c:pt>
                <c:pt idx="5475">
                  <c:v>1.2315758384482362E-2</c:v>
                </c:pt>
                <c:pt idx="5476">
                  <c:v>1.3010907763637168E-2</c:v>
                </c:pt>
                <c:pt idx="5477">
                  <c:v>1.0461938627556651E-2</c:v>
                </c:pt>
                <c:pt idx="5478">
                  <c:v>1.4029685114413765E-2</c:v>
                </c:pt>
                <c:pt idx="5479">
                  <c:v>1.0602245909317952E-2</c:v>
                </c:pt>
                <c:pt idx="5480">
                  <c:v>8.4089549445644472E-3</c:v>
                </c:pt>
                <c:pt idx="5481">
                  <c:v>1.2311114690844862E-2</c:v>
                </c:pt>
                <c:pt idx="5482">
                  <c:v>1.3470074372303388E-2</c:v>
                </c:pt>
                <c:pt idx="5483">
                  <c:v>1.0281719281581695E-2</c:v>
                </c:pt>
                <c:pt idx="5484">
                  <c:v>9.2736572901848616E-3</c:v>
                </c:pt>
                <c:pt idx="5485">
                  <c:v>8.1209061456096118E-3</c:v>
                </c:pt>
                <c:pt idx="5486">
                  <c:v>6.5567425608229644E-3</c:v>
                </c:pt>
                <c:pt idx="5487">
                  <c:v>7.4652667351337455E-3</c:v>
                </c:pt>
                <c:pt idx="5488">
                  <c:v>1.0288929491488666E-2</c:v>
                </c:pt>
                <c:pt idx="5489">
                  <c:v>6.8693423180821323E-3</c:v>
                </c:pt>
                <c:pt idx="5490">
                  <c:v>7.6248953811723181E-3</c:v>
                </c:pt>
                <c:pt idx="5491">
                  <c:v>7.5216129571769588E-3</c:v>
                </c:pt>
                <c:pt idx="5492">
                  <c:v>1.4040197211876729E-2</c:v>
                </c:pt>
                <c:pt idx="5493">
                  <c:v>6.5558869860076483E-3</c:v>
                </c:pt>
                <c:pt idx="5494">
                  <c:v>9.3433712328031323E-3</c:v>
                </c:pt>
                <c:pt idx="5495">
                  <c:v>7.8710523553259058E-3</c:v>
                </c:pt>
                <c:pt idx="5496">
                  <c:v>7.5314301116747549E-3</c:v>
                </c:pt>
                <c:pt idx="5497">
                  <c:v>7.3645082972452272E-3</c:v>
                </c:pt>
                <c:pt idx="5498">
                  <c:v>1.2280296193044703E-2</c:v>
                </c:pt>
                <c:pt idx="5499">
                  <c:v>7.4072054046837423E-3</c:v>
                </c:pt>
                <c:pt idx="5500">
                  <c:v>7.4772195749512544E-3</c:v>
                </c:pt>
                <c:pt idx="5501">
                  <c:v>6.0996255744548179E-3</c:v>
                </c:pt>
                <c:pt idx="5502">
                  <c:v>9.3238184512584865E-3</c:v>
                </c:pt>
                <c:pt idx="5503">
                  <c:v>9.3051149668894554E-3</c:v>
                </c:pt>
                <c:pt idx="5504">
                  <c:v>7.6159338299509509E-3</c:v>
                </c:pt>
                <c:pt idx="5505">
                  <c:v>7.7784932236889398E-3</c:v>
                </c:pt>
                <c:pt idx="5506">
                  <c:v>8.0092145382128551E-3</c:v>
                </c:pt>
                <c:pt idx="5507">
                  <c:v>7.1197729005917122E-3</c:v>
                </c:pt>
                <c:pt idx="5508">
                  <c:v>1.21037865044541E-2</c:v>
                </c:pt>
                <c:pt idx="5509">
                  <c:v>7.9554900231771433E-3</c:v>
                </c:pt>
                <c:pt idx="5510">
                  <c:v>6.2323589109147867E-3</c:v>
                </c:pt>
                <c:pt idx="5511">
                  <c:v>1.0469569796392077E-2</c:v>
                </c:pt>
                <c:pt idx="5512">
                  <c:v>1.8398800507598873E-2</c:v>
                </c:pt>
                <c:pt idx="5513">
                  <c:v>1.2921545544560138E-2</c:v>
                </c:pt>
                <c:pt idx="5514">
                  <c:v>8.4562346427017772E-3</c:v>
                </c:pt>
                <c:pt idx="5515">
                  <c:v>7.2359646646263983E-3</c:v>
                </c:pt>
                <c:pt idx="5516">
                  <c:v>8.5431136407872789E-3</c:v>
                </c:pt>
                <c:pt idx="5517">
                  <c:v>9.3399708122910777E-3</c:v>
                </c:pt>
                <c:pt idx="5518">
                  <c:v>7.6415377714258896E-3</c:v>
                </c:pt>
                <c:pt idx="5519">
                  <c:v>1.8202271903245235E-2</c:v>
                </c:pt>
                <c:pt idx="5520">
                  <c:v>2.9798391822024897E-2</c:v>
                </c:pt>
                <c:pt idx="5521">
                  <c:v>2.1396883575038488E-2</c:v>
                </c:pt>
                <c:pt idx="5522">
                  <c:v>1.1082169381961215E-2</c:v>
                </c:pt>
                <c:pt idx="5523">
                  <c:v>1.6724629968263086E-2</c:v>
                </c:pt>
                <c:pt idx="5524">
                  <c:v>1.3820651790064803E-2</c:v>
                </c:pt>
                <c:pt idx="5525">
                  <c:v>4.0551255682463681E-3</c:v>
                </c:pt>
                <c:pt idx="5526">
                  <c:v>4.050822964638697E-3</c:v>
                </c:pt>
                <c:pt idx="5527">
                  <c:v>1.006578164751031E-2</c:v>
                </c:pt>
                <c:pt idx="5528">
                  <c:v>7.9247873161151523E-3</c:v>
                </c:pt>
                <c:pt idx="5529">
                  <c:v>8.0718847404297415E-3</c:v>
                </c:pt>
                <c:pt idx="5530">
                  <c:v>9.4929633832307615E-3</c:v>
                </c:pt>
                <c:pt idx="5531">
                  <c:v>1.0016554901152892E-2</c:v>
                </c:pt>
                <c:pt idx="5532">
                  <c:v>8.076573983735463E-3</c:v>
                </c:pt>
                <c:pt idx="5533">
                  <c:v>5.6368826444442429E-3</c:v>
                </c:pt>
                <c:pt idx="5534">
                  <c:v>5.8558900601265711E-3</c:v>
                </c:pt>
                <c:pt idx="5535">
                  <c:v>9.7945408571727226E-3</c:v>
                </c:pt>
                <c:pt idx="5536">
                  <c:v>7.1411340128390592E-3</c:v>
                </c:pt>
                <c:pt idx="5537">
                  <c:v>5.6934665692044747E-3</c:v>
                </c:pt>
                <c:pt idx="5538">
                  <c:v>1.3299523269126009E-2</c:v>
                </c:pt>
                <c:pt idx="5539">
                  <c:v>9.7885962826149697E-3</c:v>
                </c:pt>
                <c:pt idx="5540">
                  <c:v>1.0183733386552764E-2</c:v>
                </c:pt>
                <c:pt idx="5541">
                  <c:v>1.2162912572261365E-2</c:v>
                </c:pt>
                <c:pt idx="5542">
                  <c:v>4.5466324913925405E-3</c:v>
                </c:pt>
                <c:pt idx="5543">
                  <c:v>8.844074572227429E-3</c:v>
                </c:pt>
                <c:pt idx="5544">
                  <c:v>1.3025659191918271E-2</c:v>
                </c:pt>
                <c:pt idx="5545">
                  <c:v>1.4295773112068132E-2</c:v>
                </c:pt>
                <c:pt idx="5546">
                  <c:v>8.3331263035997284E-3</c:v>
                </c:pt>
                <c:pt idx="5547">
                  <c:v>6.940725474565884E-3</c:v>
                </c:pt>
                <c:pt idx="5548">
                  <c:v>8.9900102188995353E-3</c:v>
                </c:pt>
                <c:pt idx="5549">
                  <c:v>8.7793876977228427E-3</c:v>
                </c:pt>
                <c:pt idx="5550">
                  <c:v>7.8898177003007587E-3</c:v>
                </c:pt>
                <c:pt idx="5551">
                  <c:v>9.5830338001172497E-3</c:v>
                </c:pt>
                <c:pt idx="5552">
                  <c:v>1.1050416782760416E-2</c:v>
                </c:pt>
                <c:pt idx="5553">
                  <c:v>9.4054242308514568E-3</c:v>
                </c:pt>
                <c:pt idx="5554">
                  <c:v>7.0150882605569346E-3</c:v>
                </c:pt>
                <c:pt idx="5555">
                  <c:v>1.0755218203110466E-2</c:v>
                </c:pt>
                <c:pt idx="5556">
                  <c:v>1.341491578793513E-2</c:v>
                </c:pt>
                <c:pt idx="5557">
                  <c:v>1.3165983439302986E-2</c:v>
                </c:pt>
                <c:pt idx="5558">
                  <c:v>1.3339535096576059E-2</c:v>
                </c:pt>
                <c:pt idx="5559">
                  <c:v>1.0392404023256922E-2</c:v>
                </c:pt>
                <c:pt idx="5560">
                  <c:v>9.6259381374851558E-3</c:v>
                </c:pt>
                <c:pt idx="5561">
                  <c:v>4.1497720647449181E-3</c:v>
                </c:pt>
                <c:pt idx="5562">
                  <c:v>5.7080400225515355E-3</c:v>
                </c:pt>
                <c:pt idx="5563">
                  <c:v>1.1306065137842505E-2</c:v>
                </c:pt>
                <c:pt idx="5564">
                  <c:v>1.3326057840101865E-2</c:v>
                </c:pt>
                <c:pt idx="5565">
                  <c:v>1.2086891863622138E-2</c:v>
                </c:pt>
                <c:pt idx="5566">
                  <c:v>1.0293594857641968E-2</c:v>
                </c:pt>
                <c:pt idx="5567">
                  <c:v>1.4091072167882803E-2</c:v>
                </c:pt>
                <c:pt idx="5568">
                  <c:v>1.3920764809289552E-2</c:v>
                </c:pt>
                <c:pt idx="5569">
                  <c:v>7.3487093035223671E-3</c:v>
                </c:pt>
                <c:pt idx="5570">
                  <c:v>1.5347598347193537E-2</c:v>
                </c:pt>
                <c:pt idx="5571">
                  <c:v>1.2622976141661192E-2</c:v>
                </c:pt>
                <c:pt idx="5572">
                  <c:v>6.7286788901839562E-3</c:v>
                </c:pt>
                <c:pt idx="5573">
                  <c:v>9.4746921046588318E-3</c:v>
                </c:pt>
                <c:pt idx="5574">
                  <c:v>1.8252245234244558E-2</c:v>
                </c:pt>
                <c:pt idx="5575">
                  <c:v>9.8259608281896869E-3</c:v>
                </c:pt>
                <c:pt idx="5576">
                  <c:v>1.0482712050623956E-2</c:v>
                </c:pt>
                <c:pt idx="5577">
                  <c:v>1.1326798224342729E-2</c:v>
                </c:pt>
                <c:pt idx="5578">
                  <c:v>5.6334530787173886E-3</c:v>
                </c:pt>
                <c:pt idx="5579">
                  <c:v>6.3787467036630578E-3</c:v>
                </c:pt>
                <c:pt idx="5580">
                  <c:v>1.227607431070179E-2</c:v>
                </c:pt>
                <c:pt idx="5581">
                  <c:v>1.2674860984301794E-2</c:v>
                </c:pt>
                <c:pt idx="5582">
                  <c:v>5.9368648327892586E-3</c:v>
                </c:pt>
                <c:pt idx="5583">
                  <c:v>5.8755995960284484E-3</c:v>
                </c:pt>
                <c:pt idx="5584">
                  <c:v>5.9565706942482956E-3</c:v>
                </c:pt>
                <c:pt idx="5585">
                  <c:v>2.1434502814414086E-2</c:v>
                </c:pt>
                <c:pt idx="5586">
                  <c:v>1.5164782176826808E-2</c:v>
                </c:pt>
                <c:pt idx="5587">
                  <c:v>1.147274806701877E-2</c:v>
                </c:pt>
                <c:pt idx="5588">
                  <c:v>9.4857399463701367E-3</c:v>
                </c:pt>
                <c:pt idx="5589">
                  <c:v>9.1762940951648428E-3</c:v>
                </c:pt>
                <c:pt idx="5590">
                  <c:v>8.5933592460246972E-3</c:v>
                </c:pt>
                <c:pt idx="5591">
                  <c:v>9.4309228926113525E-3</c:v>
                </c:pt>
                <c:pt idx="5592">
                  <c:v>6.4317195092502027E-2</c:v>
                </c:pt>
                <c:pt idx="5593">
                  <c:v>7.4355214890973825E-2</c:v>
                </c:pt>
                <c:pt idx="5594">
                  <c:v>4.9846519154054809E-2</c:v>
                </c:pt>
                <c:pt idx="5595">
                  <c:v>5.0614049646605382E-2</c:v>
                </c:pt>
                <c:pt idx="5596">
                  <c:v>5.9493743450621618E-2</c:v>
                </c:pt>
                <c:pt idx="5597">
                  <c:v>5.6940660106919783E-2</c:v>
                </c:pt>
                <c:pt idx="5598">
                  <c:v>0.1243206216201246</c:v>
                </c:pt>
                <c:pt idx="5599">
                  <c:v>5.1586985580414267E-2</c:v>
                </c:pt>
                <c:pt idx="5600">
                  <c:v>7.3111013084948537E-2</c:v>
                </c:pt>
                <c:pt idx="5601">
                  <c:v>5.5525874681134645E-2</c:v>
                </c:pt>
                <c:pt idx="5602">
                  <c:v>7.3181472542722753E-2</c:v>
                </c:pt>
                <c:pt idx="5603">
                  <c:v>6.7201831715524962E-2</c:v>
                </c:pt>
                <c:pt idx="5604">
                  <c:v>5.4277438167947008E-2</c:v>
                </c:pt>
                <c:pt idx="5605">
                  <c:v>4.2061378407977974E-2</c:v>
                </c:pt>
                <c:pt idx="5606">
                  <c:v>2.9355364967275831E-2</c:v>
                </c:pt>
                <c:pt idx="5607">
                  <c:v>4.8557159839737851E-2</c:v>
                </c:pt>
                <c:pt idx="5608">
                  <c:v>6.7120720758054989E-2</c:v>
                </c:pt>
                <c:pt idx="5609">
                  <c:v>5.2574677287009493E-2</c:v>
                </c:pt>
                <c:pt idx="5610">
                  <c:v>4.1196813664765249E-2</c:v>
                </c:pt>
                <c:pt idx="5611">
                  <c:v>4.0434997708757324E-2</c:v>
                </c:pt>
                <c:pt idx="5612">
                  <c:v>5.1132447927380857E-2</c:v>
                </c:pt>
                <c:pt idx="5613">
                  <c:v>4.7137351487364629E-2</c:v>
                </c:pt>
                <c:pt idx="5614">
                  <c:v>4.0983465983612667E-2</c:v>
                </c:pt>
                <c:pt idx="5615">
                  <c:v>5.3969178261182672E-2</c:v>
                </c:pt>
                <c:pt idx="5616">
                  <c:v>5.6486355606485877E-2</c:v>
                </c:pt>
                <c:pt idx="5617">
                  <c:v>4.6225841676636605E-2</c:v>
                </c:pt>
                <c:pt idx="5618">
                  <c:v>5.5486127013503986E-2</c:v>
                </c:pt>
                <c:pt idx="5619">
                  <c:v>5.9700840705110177E-2</c:v>
                </c:pt>
                <c:pt idx="5620">
                  <c:v>4.9311851162843902E-2</c:v>
                </c:pt>
                <c:pt idx="5621">
                  <c:v>5.6307094760784236E-2</c:v>
                </c:pt>
                <c:pt idx="5622">
                  <c:v>5.2220152573691107E-2</c:v>
                </c:pt>
                <c:pt idx="5623">
                  <c:v>3.0261625912077414E-2</c:v>
                </c:pt>
                <c:pt idx="5624">
                  <c:v>2.7583615172428425E-2</c:v>
                </c:pt>
                <c:pt idx="5625">
                  <c:v>4.7059809164468315E-2</c:v>
                </c:pt>
                <c:pt idx="5626">
                  <c:v>5.1053685079354427E-2</c:v>
                </c:pt>
                <c:pt idx="5627">
                  <c:v>5.3158377058109246E-2</c:v>
                </c:pt>
                <c:pt idx="5628">
                  <c:v>5.158852819184713E-2</c:v>
                </c:pt>
                <c:pt idx="5629">
                  <c:v>5.0800311605293719E-2</c:v>
                </c:pt>
                <c:pt idx="5630">
                  <c:v>6.5336172678293863E-2</c:v>
                </c:pt>
                <c:pt idx="5631">
                  <c:v>5.2104609694988764E-2</c:v>
                </c:pt>
                <c:pt idx="5632">
                  <c:v>4.959321507331195E-2</c:v>
                </c:pt>
                <c:pt idx="5633">
                  <c:v>4.708163151954068E-2</c:v>
                </c:pt>
                <c:pt idx="5634">
                  <c:v>4.2161495122739465E-2</c:v>
                </c:pt>
                <c:pt idx="5635">
                  <c:v>3.5536597503934529E-2</c:v>
                </c:pt>
                <c:pt idx="5636">
                  <c:v>4.2168195023772372E-2</c:v>
                </c:pt>
                <c:pt idx="5637">
                  <c:v>3.2085435742812959E-2</c:v>
                </c:pt>
                <c:pt idx="5638">
                  <c:v>4.4107602741314936E-2</c:v>
                </c:pt>
                <c:pt idx="5639">
                  <c:v>5.019795649973096E-2</c:v>
                </c:pt>
                <c:pt idx="5640">
                  <c:v>2.3554096901932609E-2</c:v>
                </c:pt>
                <c:pt idx="5641">
                  <c:v>2.9694978186593432E-2</c:v>
                </c:pt>
                <c:pt idx="5642">
                  <c:v>3.6341000032027435E-2</c:v>
                </c:pt>
                <c:pt idx="5643">
                  <c:v>4.7822550901368166E-2</c:v>
                </c:pt>
                <c:pt idx="5644">
                  <c:v>4.6264103478136046E-2</c:v>
                </c:pt>
                <c:pt idx="5645">
                  <c:v>5.1445041882814332E-2</c:v>
                </c:pt>
                <c:pt idx="5646">
                  <c:v>3.2176183524792387E-2</c:v>
                </c:pt>
                <c:pt idx="5647">
                  <c:v>4.5318674946141987E-2</c:v>
                </c:pt>
                <c:pt idx="5648">
                  <c:v>4.9621108999388763E-2</c:v>
                </c:pt>
                <c:pt idx="5649">
                  <c:v>4.4193127220709283E-2</c:v>
                </c:pt>
                <c:pt idx="5650">
                  <c:v>4.7176701842687296E-2</c:v>
                </c:pt>
                <c:pt idx="5651">
                  <c:v>3.7222451138049048E-2</c:v>
                </c:pt>
                <c:pt idx="5652">
                  <c:v>3.9239573080474405E-2</c:v>
                </c:pt>
                <c:pt idx="5653">
                  <c:v>4.3984386498099645E-2</c:v>
                </c:pt>
                <c:pt idx="5654">
                  <c:v>4.0728496597444916E-2</c:v>
                </c:pt>
                <c:pt idx="5655">
                  <c:v>4.2508965395031378E-2</c:v>
                </c:pt>
                <c:pt idx="5656">
                  <c:v>3.6042921176801343E-2</c:v>
                </c:pt>
                <c:pt idx="5657">
                  <c:v>3.0475041721680307E-2</c:v>
                </c:pt>
                <c:pt idx="5658">
                  <c:v>2.2111917964053873E-2</c:v>
                </c:pt>
                <c:pt idx="5659">
                  <c:v>5.4327260644788315E-2</c:v>
                </c:pt>
                <c:pt idx="5660">
                  <c:v>5.0692892259233867E-2</c:v>
                </c:pt>
                <c:pt idx="5661">
                  <c:v>3.4814886535045268E-2</c:v>
                </c:pt>
                <c:pt idx="5662">
                  <c:v>4.4869275839664539E-2</c:v>
                </c:pt>
                <c:pt idx="5663">
                  <c:v>5.8248322181918999E-2</c:v>
                </c:pt>
                <c:pt idx="5664">
                  <c:v>4.1560448346794572E-2</c:v>
                </c:pt>
                <c:pt idx="5665">
                  <c:v>5.2506181496257021E-2</c:v>
                </c:pt>
                <c:pt idx="5666">
                  <c:v>5.3159145578766699E-2</c:v>
                </c:pt>
                <c:pt idx="5667">
                  <c:v>5.337158938351938E-2</c:v>
                </c:pt>
                <c:pt idx="5668">
                  <c:v>5.6649914237177829E-2</c:v>
                </c:pt>
                <c:pt idx="5669">
                  <c:v>7.272034291935589E-2</c:v>
                </c:pt>
                <c:pt idx="5670">
                  <c:v>6.1701599162041078E-2</c:v>
                </c:pt>
                <c:pt idx="5671">
                  <c:v>6.1047401106068662E-2</c:v>
                </c:pt>
                <c:pt idx="5672">
                  <c:v>2.9263213792039788E-2</c:v>
                </c:pt>
                <c:pt idx="5673">
                  <c:v>4.1681197727863849E-2</c:v>
                </c:pt>
                <c:pt idx="5674">
                  <c:v>5.7063682638793377E-2</c:v>
                </c:pt>
                <c:pt idx="5675">
                  <c:v>4.0196730140102228E-2</c:v>
                </c:pt>
                <c:pt idx="5676">
                  <c:v>4.202944656995615E-2</c:v>
                </c:pt>
                <c:pt idx="5677">
                  <c:v>4.7728010965554943E-2</c:v>
                </c:pt>
                <c:pt idx="5678">
                  <c:v>4.9626145211771409E-2</c:v>
                </c:pt>
                <c:pt idx="5679">
                  <c:v>4.6037216391362587E-2</c:v>
                </c:pt>
                <c:pt idx="5680">
                  <c:v>5.9867733893166943E-2</c:v>
                </c:pt>
                <c:pt idx="5681">
                  <c:v>5.0245541236767971E-2</c:v>
                </c:pt>
                <c:pt idx="5682">
                  <c:v>4.6098538359616338E-2</c:v>
                </c:pt>
                <c:pt idx="5683">
                  <c:v>5.2846245255824181E-2</c:v>
                </c:pt>
                <c:pt idx="5684">
                  <c:v>4.8408783483917563E-2</c:v>
                </c:pt>
                <c:pt idx="5685">
                  <c:v>4.0783456143238653E-2</c:v>
                </c:pt>
                <c:pt idx="5686">
                  <c:v>5.2647394140644066E-2</c:v>
                </c:pt>
                <c:pt idx="5687">
                  <c:v>4.8144921255116532E-2</c:v>
                </c:pt>
                <c:pt idx="5688">
                  <c:v>2.5286198654266876E-2</c:v>
                </c:pt>
                <c:pt idx="5689">
                  <c:v>3.7469128425825449E-2</c:v>
                </c:pt>
                <c:pt idx="5690">
                  <c:v>3.7154680017468897E-2</c:v>
                </c:pt>
                <c:pt idx="5691">
                  <c:v>3.7048616921887816E-2</c:v>
                </c:pt>
                <c:pt idx="5692">
                  <c:v>4.6170785618988637E-2</c:v>
                </c:pt>
                <c:pt idx="5693">
                  <c:v>6.0124192946862318E-2</c:v>
                </c:pt>
                <c:pt idx="5694">
                  <c:v>5.2679708834494826E-2</c:v>
                </c:pt>
                <c:pt idx="5695">
                  <c:v>3.313332449323797E-2</c:v>
                </c:pt>
                <c:pt idx="5696">
                  <c:v>5.5525110337216223E-2</c:v>
                </c:pt>
                <c:pt idx="5697">
                  <c:v>3.8308931903548588E-2</c:v>
                </c:pt>
                <c:pt idx="5698">
                  <c:v>4.3729209888138956E-2</c:v>
                </c:pt>
                <c:pt idx="5699">
                  <c:v>5.7838722572651852E-2</c:v>
                </c:pt>
                <c:pt idx="5700">
                  <c:v>5.9599765351668187E-2</c:v>
                </c:pt>
                <c:pt idx="5701">
                  <c:v>5.7723144097539453E-2</c:v>
                </c:pt>
                <c:pt idx="5702">
                  <c:v>5.0729216881781683E-2</c:v>
                </c:pt>
                <c:pt idx="5703">
                  <c:v>3.7835896408188373E-2</c:v>
                </c:pt>
                <c:pt idx="5704">
                  <c:v>4.527132988530045E-2</c:v>
                </c:pt>
                <c:pt idx="5705">
                  <c:v>4.1940734699143396E-2</c:v>
                </c:pt>
                <c:pt idx="5706">
                  <c:v>6.1544455331011591E-2</c:v>
                </c:pt>
                <c:pt idx="5707">
                  <c:v>3.9703156011814691E-2</c:v>
                </c:pt>
                <c:pt idx="5708">
                  <c:v>1.7656355348008926E-2</c:v>
                </c:pt>
                <c:pt idx="5709">
                  <c:v>3.4697825919027724E-2</c:v>
                </c:pt>
                <c:pt idx="5710">
                  <c:v>2.4042526998752169E-2</c:v>
                </c:pt>
                <c:pt idx="5711">
                  <c:v>1.4864394067895009E-2</c:v>
                </c:pt>
                <c:pt idx="5712">
                  <c:v>2.4152635670272107E-2</c:v>
                </c:pt>
                <c:pt idx="5713">
                  <c:v>4.0568323002781174E-2</c:v>
                </c:pt>
                <c:pt idx="5714">
                  <c:v>2.3518717836615757E-2</c:v>
                </c:pt>
                <c:pt idx="5715">
                  <c:v>2.2890465351074602E-2</c:v>
                </c:pt>
                <c:pt idx="5716">
                  <c:v>2.6057036371825971E-2</c:v>
                </c:pt>
                <c:pt idx="5717">
                  <c:v>2.6380846584107404E-2</c:v>
                </c:pt>
                <c:pt idx="5718">
                  <c:v>2.9123528917956942E-2</c:v>
                </c:pt>
                <c:pt idx="5719">
                  <c:v>4.7145533538012707E-2</c:v>
                </c:pt>
                <c:pt idx="5720">
                  <c:v>4.941961259988055E-2</c:v>
                </c:pt>
                <c:pt idx="5721">
                  <c:v>4.2956878358793388E-2</c:v>
                </c:pt>
                <c:pt idx="5722">
                  <c:v>3.3428178834146546E-2</c:v>
                </c:pt>
                <c:pt idx="5723">
                  <c:v>4.6218423182123332E-2</c:v>
                </c:pt>
                <c:pt idx="5724">
                  <c:v>5.2160074113115497E-2</c:v>
                </c:pt>
                <c:pt idx="5725">
                  <c:v>5.7189716024821022E-2</c:v>
                </c:pt>
                <c:pt idx="5726">
                  <c:v>3.8947845202425953E-2</c:v>
                </c:pt>
                <c:pt idx="5727">
                  <c:v>5.0383236790998952E-2</c:v>
                </c:pt>
                <c:pt idx="5728">
                  <c:v>4.39408207991306E-2</c:v>
                </c:pt>
                <c:pt idx="5729">
                  <c:v>2.9569632185272022E-2</c:v>
                </c:pt>
                <c:pt idx="5730">
                  <c:v>3.4502521038838135E-2</c:v>
                </c:pt>
                <c:pt idx="5731">
                  <c:v>3.7141921917858395E-2</c:v>
                </c:pt>
                <c:pt idx="5732">
                  <c:v>4.4929588099291116E-2</c:v>
                </c:pt>
                <c:pt idx="5733">
                  <c:v>4.7889844571702631E-2</c:v>
                </c:pt>
                <c:pt idx="5734">
                  <c:v>4.0644264515825576E-2</c:v>
                </c:pt>
                <c:pt idx="5735">
                  <c:v>4.2775879531564219E-2</c:v>
                </c:pt>
                <c:pt idx="5736">
                  <c:v>1.2365569429648332E-2</c:v>
                </c:pt>
                <c:pt idx="5737">
                  <c:v>1.4638966559021999E-2</c:v>
                </c:pt>
                <c:pt idx="5738">
                  <c:v>5.4752349181760212E-3</c:v>
                </c:pt>
                <c:pt idx="5739">
                  <c:v>1.6010290463302615E-2</c:v>
                </c:pt>
                <c:pt idx="5740">
                  <c:v>1.1931852848496531E-2</c:v>
                </c:pt>
                <c:pt idx="5741">
                  <c:v>6.3085552061699739E-3</c:v>
                </c:pt>
                <c:pt idx="5742">
                  <c:v>9.6756339032193182E-3</c:v>
                </c:pt>
                <c:pt idx="5743">
                  <c:v>1.3376174273512821E-2</c:v>
                </c:pt>
                <c:pt idx="5744">
                  <c:v>1.0377986919205953E-2</c:v>
                </c:pt>
                <c:pt idx="5745">
                  <c:v>8.0539798911576886E-3</c:v>
                </c:pt>
                <c:pt idx="5746">
                  <c:v>1.6341257704751689E-2</c:v>
                </c:pt>
                <c:pt idx="5747">
                  <c:v>1.0538668165371435E-2</c:v>
                </c:pt>
                <c:pt idx="5748">
                  <c:v>1.2811925260604373E-2</c:v>
                </c:pt>
                <c:pt idx="5749">
                  <c:v>5.3371220950471374E-3</c:v>
                </c:pt>
                <c:pt idx="5750">
                  <c:v>8.6546680423044038E-3</c:v>
                </c:pt>
                <c:pt idx="5751">
                  <c:v>9.9626537019343996E-3</c:v>
                </c:pt>
                <c:pt idx="5752">
                  <c:v>8.4144924726241594E-3</c:v>
                </c:pt>
                <c:pt idx="5753">
                  <c:v>8.6546680423044038E-3</c:v>
                </c:pt>
                <c:pt idx="5754">
                  <c:v>8.6704195993917536E-3</c:v>
                </c:pt>
                <c:pt idx="5755">
                  <c:v>9.4695930060012777E-3</c:v>
                </c:pt>
                <c:pt idx="5756">
                  <c:v>8.6925559572539907E-3</c:v>
                </c:pt>
                <c:pt idx="5757">
                  <c:v>8.6814879193615347E-3</c:v>
                </c:pt>
                <c:pt idx="5758">
                  <c:v>1.3752073673645449E-2</c:v>
                </c:pt>
                <c:pt idx="5759">
                  <c:v>8.4460124413913568E-3</c:v>
                </c:pt>
                <c:pt idx="5760">
                  <c:v>1.0614536532899401E-2</c:v>
                </c:pt>
                <c:pt idx="5761">
                  <c:v>9.0240406360478469E-3</c:v>
                </c:pt>
                <c:pt idx="5762">
                  <c:v>1.3066117680598862E-2</c:v>
                </c:pt>
                <c:pt idx="5763">
                  <c:v>7.5164908754296409E-3</c:v>
                </c:pt>
                <c:pt idx="5764">
                  <c:v>1.1022472574965188E-2</c:v>
                </c:pt>
                <c:pt idx="5765">
                  <c:v>1.7507463604392526E-2</c:v>
                </c:pt>
                <c:pt idx="5766">
                  <c:v>8.1021507832495041E-3</c:v>
                </c:pt>
                <c:pt idx="5767">
                  <c:v>4.2211734974291803E-3</c:v>
                </c:pt>
                <c:pt idx="5768">
                  <c:v>6.9308949580517394E-3</c:v>
                </c:pt>
                <c:pt idx="5769">
                  <c:v>1.20459196300683E-2</c:v>
                </c:pt>
                <c:pt idx="5770">
                  <c:v>1.0150217985023722E-2</c:v>
                </c:pt>
                <c:pt idx="5771">
                  <c:v>7.3209529227445565E-3</c:v>
                </c:pt>
                <c:pt idx="5772">
                  <c:v>8.9385341457708396E-3</c:v>
                </c:pt>
                <c:pt idx="5773">
                  <c:v>9.7202278261877238E-3</c:v>
                </c:pt>
                <c:pt idx="5774">
                  <c:v>9.3365703651543466E-3</c:v>
                </c:pt>
                <c:pt idx="5775">
                  <c:v>8.7385278648053639E-3</c:v>
                </c:pt>
                <c:pt idx="5776">
                  <c:v>6.1347396291248505E-3</c:v>
                </c:pt>
                <c:pt idx="5777">
                  <c:v>9.9393085868293533E-3</c:v>
                </c:pt>
                <c:pt idx="5778">
                  <c:v>4.9405543122046265E-3</c:v>
                </c:pt>
                <c:pt idx="5779">
                  <c:v>7.952505133021065E-3</c:v>
                </c:pt>
                <c:pt idx="5780">
                  <c:v>3.8726577526121734E-3</c:v>
                </c:pt>
                <c:pt idx="5781">
                  <c:v>8.0488640843516899E-3</c:v>
                </c:pt>
                <c:pt idx="5782">
                  <c:v>8.926195998660888E-3</c:v>
                </c:pt>
                <c:pt idx="5783">
                  <c:v>7.3149743931512122E-3</c:v>
                </c:pt>
                <c:pt idx="5784">
                  <c:v>4.286542828477566E-3</c:v>
                </c:pt>
                <c:pt idx="5785">
                  <c:v>6.0015481153882552E-3</c:v>
                </c:pt>
                <c:pt idx="5786">
                  <c:v>6.2546198850728651E-3</c:v>
                </c:pt>
                <c:pt idx="5787">
                  <c:v>8.5401327866297064E-3</c:v>
                </c:pt>
                <c:pt idx="5788">
                  <c:v>7.898773601841165E-3</c:v>
                </c:pt>
                <c:pt idx="5789">
                  <c:v>7.4025089283382434E-3</c:v>
                </c:pt>
                <c:pt idx="5790">
                  <c:v>5.2963661308253699E-3</c:v>
                </c:pt>
                <c:pt idx="5791">
                  <c:v>7.7639890835529725E-3</c:v>
                </c:pt>
                <c:pt idx="5792">
                  <c:v>8.3067109710751128E-3</c:v>
                </c:pt>
                <c:pt idx="5793">
                  <c:v>0.18508268726186841</c:v>
                </c:pt>
                <c:pt idx="5794">
                  <c:v>9.4921135733653361E-3</c:v>
                </c:pt>
                <c:pt idx="5795">
                  <c:v>7.4900258239946615E-3</c:v>
                </c:pt>
                <c:pt idx="5796">
                  <c:v>1.0339397609381915E-2</c:v>
                </c:pt>
                <c:pt idx="5797">
                  <c:v>7.4370908824487377E-3</c:v>
                </c:pt>
                <c:pt idx="5798">
                  <c:v>5.0427351884450595E-3</c:v>
                </c:pt>
                <c:pt idx="5799">
                  <c:v>1.8973718715319079E-2</c:v>
                </c:pt>
                <c:pt idx="5800">
                  <c:v>9.8429436499023627E-3</c:v>
                </c:pt>
                <c:pt idx="5801">
                  <c:v>2.9621863555248178E-3</c:v>
                </c:pt>
                <c:pt idx="5802">
                  <c:v>4.6523434301037527E-3</c:v>
                </c:pt>
                <c:pt idx="5803">
                  <c:v>1.1328913789762694E-2</c:v>
                </c:pt>
                <c:pt idx="5804">
                  <c:v>5.4181936414330143E-3</c:v>
                </c:pt>
                <c:pt idx="5805">
                  <c:v>4.7820834735989495E-3</c:v>
                </c:pt>
                <c:pt idx="5806">
                  <c:v>2.4902111543833351E-2</c:v>
                </c:pt>
                <c:pt idx="5807">
                  <c:v>7.515637189265182E-3</c:v>
                </c:pt>
                <c:pt idx="5808">
                  <c:v>6.3723272209543855E-3</c:v>
                </c:pt>
                <c:pt idx="5809">
                  <c:v>6.804360621292669E-3</c:v>
                </c:pt>
                <c:pt idx="5810">
                  <c:v>9.1631122470899051E-3</c:v>
                </c:pt>
                <c:pt idx="5811">
                  <c:v>1.059461707145405E-2</c:v>
                </c:pt>
                <c:pt idx="5812">
                  <c:v>7.5698429310453747E-3</c:v>
                </c:pt>
                <c:pt idx="5813">
                  <c:v>6.9945756603018308E-3</c:v>
                </c:pt>
                <c:pt idx="5814">
                  <c:v>1.4179353401349761E-2</c:v>
                </c:pt>
                <c:pt idx="5815">
                  <c:v>6.1771296442070358E-3</c:v>
                </c:pt>
                <c:pt idx="5816">
                  <c:v>4.4550814988691895E-3</c:v>
                </c:pt>
                <c:pt idx="5817">
                  <c:v>7.5190519238544995E-3</c:v>
                </c:pt>
                <c:pt idx="5818">
                  <c:v>1.0621317417710916E-2</c:v>
                </c:pt>
                <c:pt idx="5819">
                  <c:v>9.8420945245889634E-3</c:v>
                </c:pt>
                <c:pt idx="5820">
                  <c:v>5.8198964254834538E-3</c:v>
                </c:pt>
                <c:pt idx="5821">
                  <c:v>7.9972763314268471E-3</c:v>
                </c:pt>
                <c:pt idx="5822">
                  <c:v>8.7930067878009728E-3</c:v>
                </c:pt>
                <c:pt idx="5823">
                  <c:v>7.0326086727566543E-3</c:v>
                </c:pt>
                <c:pt idx="5824">
                  <c:v>8.8427979507994352E-3</c:v>
                </c:pt>
                <c:pt idx="5825">
                  <c:v>1.2341931001851374E-2</c:v>
                </c:pt>
                <c:pt idx="5826">
                  <c:v>5.9805592318575521E-3</c:v>
                </c:pt>
                <c:pt idx="5827">
                  <c:v>9.2575024625732583E-3</c:v>
                </c:pt>
                <c:pt idx="5828">
                  <c:v>8.0484377643977208E-3</c:v>
                </c:pt>
                <c:pt idx="5829">
                  <c:v>9.3595228666549322E-3</c:v>
                </c:pt>
                <c:pt idx="5830">
                  <c:v>9.9045008121591144E-3</c:v>
                </c:pt>
                <c:pt idx="5831">
                  <c:v>7.2953300735732621E-3</c:v>
                </c:pt>
                <c:pt idx="5832">
                  <c:v>4.6991746046284944E-3</c:v>
                </c:pt>
                <c:pt idx="5833">
                  <c:v>8.8972637962999104E-3</c:v>
                </c:pt>
                <c:pt idx="5834">
                  <c:v>5.845177980656281E-3</c:v>
                </c:pt>
                <c:pt idx="5835">
                  <c:v>1.1218467501097468E-2</c:v>
                </c:pt>
                <c:pt idx="5836">
                  <c:v>9.2392212749896115E-3</c:v>
                </c:pt>
                <c:pt idx="5837">
                  <c:v>8.2615455516000576E-3</c:v>
                </c:pt>
                <c:pt idx="5838">
                  <c:v>9.6624672027893661E-3</c:v>
                </c:pt>
                <c:pt idx="5839">
                  <c:v>7.48148836659078E-3</c:v>
                </c:pt>
                <c:pt idx="5840">
                  <c:v>6.2755955281092032E-3</c:v>
                </c:pt>
                <c:pt idx="5841">
                  <c:v>8.993413380611763E-3</c:v>
                </c:pt>
                <c:pt idx="5842">
                  <c:v>1.0789534226396124E-2</c:v>
                </c:pt>
                <c:pt idx="5843">
                  <c:v>6.8347151239834874E-3</c:v>
                </c:pt>
                <c:pt idx="5844">
                  <c:v>1.1988889984215625E-2</c:v>
                </c:pt>
                <c:pt idx="5845">
                  <c:v>1.6516053883556415E-2</c:v>
                </c:pt>
                <c:pt idx="5846">
                  <c:v>7.9580484841257071E-3</c:v>
                </c:pt>
                <c:pt idx="5847">
                  <c:v>4.2654708951049029E-3</c:v>
                </c:pt>
                <c:pt idx="5848">
                  <c:v>8.0535535762255618E-3</c:v>
                </c:pt>
                <c:pt idx="5849">
                  <c:v>1.1234972754568513E-2</c:v>
                </c:pt>
                <c:pt idx="5850">
                  <c:v>1.0512810553822884E-2</c:v>
                </c:pt>
                <c:pt idx="5851">
                  <c:v>2.7559557424733441E-3</c:v>
                </c:pt>
                <c:pt idx="5852">
                  <c:v>5.398463335722887E-3</c:v>
                </c:pt>
                <c:pt idx="5853">
                  <c:v>5.0388716430684356E-3</c:v>
                </c:pt>
                <c:pt idx="5854">
                  <c:v>3.9849878135916304E-3</c:v>
                </c:pt>
                <c:pt idx="5855">
                  <c:v>2.7300621354454839E-3</c:v>
                </c:pt>
                <c:pt idx="5856">
                  <c:v>7.4003741495735059E-3</c:v>
                </c:pt>
                <c:pt idx="5857">
                  <c:v>4.6527730968599201E-3</c:v>
                </c:pt>
                <c:pt idx="5858">
                  <c:v>4.4340177415910153E-3</c:v>
                </c:pt>
                <c:pt idx="5859">
                  <c:v>5.0723545611854465E-3</c:v>
                </c:pt>
                <c:pt idx="5860">
                  <c:v>7.1436972757057066E-3</c:v>
                </c:pt>
                <c:pt idx="5861">
                  <c:v>4.2899830470439796E-3</c:v>
                </c:pt>
                <c:pt idx="5862">
                  <c:v>7.0996924970394932E-3</c:v>
                </c:pt>
                <c:pt idx="5863">
                  <c:v>9.0040480890859875E-3</c:v>
                </c:pt>
                <c:pt idx="5864">
                  <c:v>9.7784053940627828E-3</c:v>
                </c:pt>
                <c:pt idx="5865">
                  <c:v>8.5733468625519803E-3</c:v>
                </c:pt>
                <c:pt idx="5866">
                  <c:v>7.7183405401748907E-3</c:v>
                </c:pt>
                <c:pt idx="5867">
                  <c:v>1.0382227293608623E-2</c:v>
                </c:pt>
                <c:pt idx="5868">
                  <c:v>7.6974344651892668E-3</c:v>
                </c:pt>
                <c:pt idx="5869">
                  <c:v>1.059461707145405E-2</c:v>
                </c:pt>
                <c:pt idx="5870">
                  <c:v>8.4643270481052791E-3</c:v>
                </c:pt>
                <c:pt idx="5871">
                  <c:v>9.2081840082464603E-3</c:v>
                </c:pt>
                <c:pt idx="5872">
                  <c:v>7.1603581155861721E-3</c:v>
                </c:pt>
                <c:pt idx="5873">
                  <c:v>7.4362370401944797E-3</c:v>
                </c:pt>
                <c:pt idx="5874">
                  <c:v>6.1604310412750095E-3</c:v>
                </c:pt>
                <c:pt idx="5875">
                  <c:v>5.4842407507373894E-3</c:v>
                </c:pt>
                <c:pt idx="5876">
                  <c:v>1.4101162360010662E-2</c:v>
                </c:pt>
                <c:pt idx="5877">
                  <c:v>8.0185943276172168E-3</c:v>
                </c:pt>
                <c:pt idx="5878">
                  <c:v>7.5950228246094605E-3</c:v>
                </c:pt>
                <c:pt idx="5879">
                  <c:v>5.2439984287904848E-2</c:v>
                </c:pt>
                <c:pt idx="5880">
                  <c:v>4.4437446121369996E-2</c:v>
                </c:pt>
                <c:pt idx="5881">
                  <c:v>4.3846217161906002E-2</c:v>
                </c:pt>
                <c:pt idx="5882">
                  <c:v>4.0689743959883271E-2</c:v>
                </c:pt>
                <c:pt idx="5883">
                  <c:v>5.1701124029302659E-2</c:v>
                </c:pt>
                <c:pt idx="5884">
                  <c:v>5.4321895421896305E-2</c:v>
                </c:pt>
                <c:pt idx="5885">
                  <c:v>4.5291285870790024E-2</c:v>
                </c:pt>
                <c:pt idx="5886">
                  <c:v>4.4280988044566816E-2</c:v>
                </c:pt>
                <c:pt idx="5887">
                  <c:v>5.1922759981173267E-2</c:v>
                </c:pt>
                <c:pt idx="5888">
                  <c:v>5.2738176931123079E-2</c:v>
                </c:pt>
                <c:pt idx="5889">
                  <c:v>5.2656627155670391E-2</c:v>
                </c:pt>
                <c:pt idx="5890">
                  <c:v>4.9308362036353207E-2</c:v>
                </c:pt>
                <c:pt idx="5891">
                  <c:v>3.5651031885912746E-2</c:v>
                </c:pt>
                <c:pt idx="5892">
                  <c:v>4.3121679059133965E-2</c:v>
                </c:pt>
                <c:pt idx="5893">
                  <c:v>5.2270981703552016E-2</c:v>
                </c:pt>
                <c:pt idx="5894">
                  <c:v>3.9259411397369832E-2</c:v>
                </c:pt>
                <c:pt idx="5895">
                  <c:v>2.8929763602163081E-2</c:v>
                </c:pt>
                <c:pt idx="5896">
                  <c:v>2.958261468033678E-2</c:v>
                </c:pt>
                <c:pt idx="5897">
                  <c:v>4.3201500352206115E-2</c:v>
                </c:pt>
                <c:pt idx="5898">
                  <c:v>4.9510685050714348E-2</c:v>
                </c:pt>
                <c:pt idx="5899">
                  <c:v>3.9149495723796439E-2</c:v>
                </c:pt>
                <c:pt idx="5900">
                  <c:v>4.9307974353901607E-2</c:v>
                </c:pt>
                <c:pt idx="5901">
                  <c:v>3.7565529605259614E-2</c:v>
                </c:pt>
                <c:pt idx="5902">
                  <c:v>4.4382162864663663E-2</c:v>
                </c:pt>
                <c:pt idx="5903">
                  <c:v>4.5195801873255961E-2</c:v>
                </c:pt>
                <c:pt idx="5904">
                  <c:v>3.7897989311437223E-2</c:v>
                </c:pt>
                <c:pt idx="5905">
                  <c:v>4.2043244565808574E-2</c:v>
                </c:pt>
                <c:pt idx="5906">
                  <c:v>4.1284097963784322E-2</c:v>
                </c:pt>
                <c:pt idx="5907">
                  <c:v>4.720981571563438E-2</c:v>
                </c:pt>
                <c:pt idx="5908">
                  <c:v>3.3822078165513692E-2</c:v>
                </c:pt>
                <c:pt idx="5909">
                  <c:v>4.184135588598329E-2</c:v>
                </c:pt>
                <c:pt idx="5910">
                  <c:v>3.7371111901728142E-2</c:v>
                </c:pt>
                <c:pt idx="5911">
                  <c:v>5.2059924872909481E-2</c:v>
                </c:pt>
                <c:pt idx="5912">
                  <c:v>4.7041882838183037E-2</c:v>
                </c:pt>
                <c:pt idx="5913">
                  <c:v>2.8709895745857961E-2</c:v>
                </c:pt>
                <c:pt idx="5914">
                  <c:v>2.8734692329633677E-2</c:v>
                </c:pt>
                <c:pt idx="5915">
                  <c:v>4.1656734878872184E-2</c:v>
                </c:pt>
                <c:pt idx="5916">
                  <c:v>3.2737591412364542E-2</c:v>
                </c:pt>
                <c:pt idx="5917">
                  <c:v>3.5962972485417764E-2</c:v>
                </c:pt>
                <c:pt idx="5918">
                  <c:v>3.7432474429068559E-2</c:v>
                </c:pt>
                <c:pt idx="5919">
                  <c:v>3.4395005721565168E-2</c:v>
                </c:pt>
                <c:pt idx="5920">
                  <c:v>2.9832452099000466E-2</c:v>
                </c:pt>
                <c:pt idx="5921">
                  <c:v>2.9100379119579047E-2</c:v>
                </c:pt>
                <c:pt idx="5922">
                  <c:v>4.7179039375366258E-2</c:v>
                </c:pt>
                <c:pt idx="5923">
                  <c:v>3.1790475335463746E-2</c:v>
                </c:pt>
                <c:pt idx="5924">
                  <c:v>3.9029231189203616E-2</c:v>
                </c:pt>
                <c:pt idx="5925">
                  <c:v>3.8873194888227242E-2</c:v>
                </c:pt>
                <c:pt idx="5926">
                  <c:v>3.2604660151619565E-2</c:v>
                </c:pt>
                <c:pt idx="5927">
                  <c:v>2.8887505594665519E-2</c:v>
                </c:pt>
                <c:pt idx="5928">
                  <c:v>2.9034172008242057E-2</c:v>
                </c:pt>
                <c:pt idx="5929">
                  <c:v>2.0142422656929795E-2</c:v>
                </c:pt>
                <c:pt idx="5930">
                  <c:v>2.4273394424823378E-2</c:v>
                </c:pt>
                <c:pt idx="5931">
                  <c:v>1.7124364563826169E-2</c:v>
                </c:pt>
                <c:pt idx="5932">
                  <c:v>2.6935097165836794E-2</c:v>
                </c:pt>
                <c:pt idx="5933">
                  <c:v>1.9156601078373494E-2</c:v>
                </c:pt>
                <c:pt idx="5934">
                  <c:v>2.1522543900340273E-2</c:v>
                </c:pt>
                <c:pt idx="5935">
                  <c:v>1.634251247346374E-2</c:v>
                </c:pt>
                <c:pt idx="5936">
                  <c:v>1.7674285643482005E-2</c:v>
                </c:pt>
                <c:pt idx="5937">
                  <c:v>2.0299946653154301E-2</c:v>
                </c:pt>
                <c:pt idx="5938">
                  <c:v>2.5669537012137925E-2</c:v>
                </c:pt>
                <c:pt idx="5939">
                  <c:v>2.3796324927691685E-2</c:v>
                </c:pt>
                <c:pt idx="5940">
                  <c:v>2.1236862051459329E-2</c:v>
                </c:pt>
                <c:pt idx="5941">
                  <c:v>2.4181390800447303E-2</c:v>
                </c:pt>
                <c:pt idx="5942">
                  <c:v>2.0206268214830712E-2</c:v>
                </c:pt>
                <c:pt idx="5943">
                  <c:v>1.7339325572275056E-2</c:v>
                </c:pt>
                <c:pt idx="5944">
                  <c:v>1.534466383296092E-2</c:v>
                </c:pt>
                <c:pt idx="5945">
                  <c:v>1.863102263187421E-2</c:v>
                </c:pt>
                <c:pt idx="5946">
                  <c:v>1.8370492547329042E-2</c:v>
                </c:pt>
                <c:pt idx="5947">
                  <c:v>1.5451551200962978E-2</c:v>
                </c:pt>
                <c:pt idx="5948">
                  <c:v>1.5683678627120241E-2</c:v>
                </c:pt>
                <c:pt idx="5949">
                  <c:v>2.2307510796060196E-2</c:v>
                </c:pt>
                <c:pt idx="5950">
                  <c:v>1.8880169556995972E-2</c:v>
                </c:pt>
                <c:pt idx="5951">
                  <c:v>2.3296092716713471E-2</c:v>
                </c:pt>
                <c:pt idx="5952">
                  <c:v>3.4024114367694959E-2</c:v>
                </c:pt>
                <c:pt idx="5953">
                  <c:v>3.1327253690900191E-2</c:v>
                </c:pt>
                <c:pt idx="5954">
                  <c:v>1.6139611101247061E-2</c:v>
                </c:pt>
                <c:pt idx="5955">
                  <c:v>1.9674488298820212E-2</c:v>
                </c:pt>
                <c:pt idx="5956">
                  <c:v>1.940586207328272E-2</c:v>
                </c:pt>
                <c:pt idx="5957">
                  <c:v>1.7564190287754078E-2</c:v>
                </c:pt>
                <c:pt idx="5958">
                  <c:v>1.7420273594270161E-2</c:v>
                </c:pt>
                <c:pt idx="5959">
                  <c:v>1.6041263961191491E-2</c:v>
                </c:pt>
                <c:pt idx="5960">
                  <c:v>1.6213670628635986E-2</c:v>
                </c:pt>
                <c:pt idx="5961">
                  <c:v>2.0101374127095496E-2</c:v>
                </c:pt>
                <c:pt idx="5962">
                  <c:v>2.5730528685180016E-2</c:v>
                </c:pt>
                <c:pt idx="5963">
                  <c:v>2.0358796221800726E-2</c:v>
                </c:pt>
                <c:pt idx="5964">
                  <c:v>2.8670055646656308E-2</c:v>
                </c:pt>
                <c:pt idx="5965">
                  <c:v>4.1171928501773494E-2</c:v>
                </c:pt>
                <c:pt idx="5966">
                  <c:v>3.614523403047093E-2</c:v>
                </c:pt>
                <c:pt idx="5967">
                  <c:v>3.6312639404232322E-2</c:v>
                </c:pt>
                <c:pt idx="5968">
                  <c:v>3.624352758413879E-2</c:v>
                </c:pt>
                <c:pt idx="5969">
                  <c:v>3.754680873644331E-2</c:v>
                </c:pt>
                <c:pt idx="5970">
                  <c:v>3.1082722258277518E-2</c:v>
                </c:pt>
                <c:pt idx="5971">
                  <c:v>4.1034441903008624E-2</c:v>
                </c:pt>
                <c:pt idx="5972">
                  <c:v>4.4589928698344022E-2</c:v>
                </c:pt>
                <c:pt idx="5973">
                  <c:v>3.7184181687423282E-2</c:v>
                </c:pt>
                <c:pt idx="5974">
                  <c:v>3.8435358743959362E-2</c:v>
                </c:pt>
                <c:pt idx="5975">
                  <c:v>3.9315350570519436E-2</c:v>
                </c:pt>
                <c:pt idx="5976">
                  <c:v>3.0844525428636096E-2</c:v>
                </c:pt>
                <c:pt idx="5977">
                  <c:v>2.868997615309966E-2</c:v>
                </c:pt>
                <c:pt idx="5978">
                  <c:v>3.8626519370426673E-2</c:v>
                </c:pt>
                <c:pt idx="5979">
                  <c:v>3.9457744741108344E-2</c:v>
                </c:pt>
                <c:pt idx="5980">
                  <c:v>4.0576234196669156E-2</c:v>
                </c:pt>
                <c:pt idx="5981">
                  <c:v>4.1379656128331485E-2</c:v>
                </c:pt>
                <c:pt idx="5982">
                  <c:v>4.0219691843027837E-2</c:v>
                </c:pt>
                <c:pt idx="5983">
                  <c:v>3.2853570908220595E-2</c:v>
                </c:pt>
                <c:pt idx="5984">
                  <c:v>3.3175573758533278E-2</c:v>
                </c:pt>
                <c:pt idx="5985">
                  <c:v>3.8972064090023913E-2</c:v>
                </c:pt>
                <c:pt idx="5986">
                  <c:v>4.9782626094877422E-2</c:v>
                </c:pt>
                <c:pt idx="5987">
                  <c:v>5.4199243680507533E-2</c:v>
                </c:pt>
                <c:pt idx="5988">
                  <c:v>4.1364652518784524E-2</c:v>
                </c:pt>
                <c:pt idx="5989">
                  <c:v>3.6167212162482858E-2</c:v>
                </c:pt>
                <c:pt idx="5990">
                  <c:v>4.7950127733552297E-2</c:v>
                </c:pt>
                <c:pt idx="5991">
                  <c:v>3.6156822638693083E-2</c:v>
                </c:pt>
                <c:pt idx="5992">
                  <c:v>4.0970029473584496E-2</c:v>
                </c:pt>
                <c:pt idx="5993">
                  <c:v>4.2589293098129283E-2</c:v>
                </c:pt>
                <c:pt idx="5994">
                  <c:v>2.4094708841785877E-2</c:v>
                </c:pt>
                <c:pt idx="5995">
                  <c:v>2.67452530741474E-2</c:v>
                </c:pt>
                <c:pt idx="5996">
                  <c:v>3.2469270141161799E-2</c:v>
                </c:pt>
                <c:pt idx="5997">
                  <c:v>3.8099729957405834E-2</c:v>
                </c:pt>
                <c:pt idx="5998">
                  <c:v>3.5207130237788688E-2</c:v>
                </c:pt>
                <c:pt idx="5999">
                  <c:v>3.6785739951573991E-2</c:v>
                </c:pt>
                <c:pt idx="6000">
                  <c:v>1.6366770622686166E-2</c:v>
                </c:pt>
                <c:pt idx="6001">
                  <c:v>3.5464560401303483E-2</c:v>
                </c:pt>
                <c:pt idx="6002">
                  <c:v>4.3928260506754226E-2</c:v>
                </c:pt>
                <c:pt idx="6003">
                  <c:v>3.7267493150100015E-2</c:v>
                </c:pt>
                <c:pt idx="6004">
                  <c:v>4.1481114303877915E-2</c:v>
                </c:pt>
                <c:pt idx="6005">
                  <c:v>3.336262825822036E-2</c:v>
                </c:pt>
                <c:pt idx="6006">
                  <c:v>4.5029437388592525E-2</c:v>
                </c:pt>
                <c:pt idx="6007">
                  <c:v>3.8178888552519129E-2</c:v>
                </c:pt>
                <c:pt idx="6008">
                  <c:v>3.1888952247739168E-2</c:v>
                </c:pt>
                <c:pt idx="6009">
                  <c:v>3.109161672311634E-2</c:v>
                </c:pt>
                <c:pt idx="6010">
                  <c:v>3.0541839161081868E-2</c:v>
                </c:pt>
                <c:pt idx="6011">
                  <c:v>3.8670224118837068E-2</c:v>
                </c:pt>
                <c:pt idx="6012">
                  <c:v>3.8248488461396141E-2</c:v>
                </c:pt>
                <c:pt idx="6013">
                  <c:v>2.4514811247022102E-2</c:v>
                </c:pt>
                <c:pt idx="6014">
                  <c:v>2.731983821252142E-2</c:v>
                </c:pt>
                <c:pt idx="6015">
                  <c:v>4.5401614181471719E-2</c:v>
                </c:pt>
                <c:pt idx="6016">
                  <c:v>4.0719401901210768E-2</c:v>
                </c:pt>
                <c:pt idx="6017">
                  <c:v>4.56311793587987E-2</c:v>
                </c:pt>
                <c:pt idx="6018">
                  <c:v>4.7723341793463853E-2</c:v>
                </c:pt>
                <c:pt idx="6019">
                  <c:v>4.2989922174930598E-2</c:v>
                </c:pt>
                <c:pt idx="6020">
                  <c:v>5.1884222722350257E-2</c:v>
                </c:pt>
                <c:pt idx="6021">
                  <c:v>5.0788334505115745E-2</c:v>
                </c:pt>
                <c:pt idx="6022">
                  <c:v>4.4555438610564026E-2</c:v>
                </c:pt>
                <c:pt idx="6023">
                  <c:v>2.1667586762241193E-2</c:v>
                </c:pt>
                <c:pt idx="6024">
                  <c:v>1.2496823718146038E-2</c:v>
                </c:pt>
                <c:pt idx="6025">
                  <c:v>6.8719071855961591E-3</c:v>
                </c:pt>
                <c:pt idx="6026">
                  <c:v>5.462797985232761E-3</c:v>
                </c:pt>
                <c:pt idx="6027">
                  <c:v>9.576661507321017E-3</c:v>
                </c:pt>
                <c:pt idx="6028">
                  <c:v>8.2726242968048438E-3</c:v>
                </c:pt>
                <c:pt idx="6029">
                  <c:v>5.9685651286807296E-3</c:v>
                </c:pt>
                <c:pt idx="6030">
                  <c:v>8.0394849486906447E-3</c:v>
                </c:pt>
                <c:pt idx="6031">
                  <c:v>9.4615193106843444E-3</c:v>
                </c:pt>
                <c:pt idx="6032">
                  <c:v>9.4683182219823161E-3</c:v>
                </c:pt>
                <c:pt idx="6033">
                  <c:v>7.7942765905233431E-3</c:v>
                </c:pt>
                <c:pt idx="6034">
                  <c:v>8.7925811977005389E-3</c:v>
                </c:pt>
                <c:pt idx="6035">
                  <c:v>4.6880043243637086E-3</c:v>
                </c:pt>
                <c:pt idx="6036">
                  <c:v>8.6631824684294985E-3</c:v>
                </c:pt>
                <c:pt idx="6037">
                  <c:v>6.7081527574578978E-3</c:v>
                </c:pt>
                <c:pt idx="6038">
                  <c:v>7.6944478008935998E-3</c:v>
                </c:pt>
                <c:pt idx="6039">
                  <c:v>3.6793476078571122E-3</c:v>
                </c:pt>
                <c:pt idx="6040">
                  <c:v>7.5126492744747838E-3</c:v>
                </c:pt>
                <c:pt idx="6041">
                  <c:v>7.6825009383120505E-3</c:v>
                </c:pt>
                <c:pt idx="6042">
                  <c:v>7.1876975960505716E-3</c:v>
                </c:pt>
                <c:pt idx="6043">
                  <c:v>4.0559860838526845E-3</c:v>
                </c:pt>
                <c:pt idx="6044">
                  <c:v>1.1767036810142371E-2</c:v>
                </c:pt>
                <c:pt idx="6045">
                  <c:v>6.2473423844457083E-3</c:v>
                </c:pt>
                <c:pt idx="6046">
                  <c:v>6.5781313834324603E-3</c:v>
                </c:pt>
                <c:pt idx="6047">
                  <c:v>8.9925625926838438E-3</c:v>
                </c:pt>
                <c:pt idx="6048">
                  <c:v>6.3432243758309668E-3</c:v>
                </c:pt>
                <c:pt idx="6049">
                  <c:v>7.3721940863818057E-3</c:v>
                </c:pt>
                <c:pt idx="6050">
                  <c:v>5.5614259416129457E-3</c:v>
                </c:pt>
                <c:pt idx="6051">
                  <c:v>1.3204743707633056E-2</c:v>
                </c:pt>
                <c:pt idx="6052">
                  <c:v>5.2307195367129345E-3</c:v>
                </c:pt>
                <c:pt idx="6053">
                  <c:v>4.6291407939951148E-3</c:v>
                </c:pt>
                <c:pt idx="6054">
                  <c:v>4.5384667548727768E-3</c:v>
                </c:pt>
                <c:pt idx="6055">
                  <c:v>1.5028878098504386E-2</c:v>
                </c:pt>
                <c:pt idx="6056">
                  <c:v>5.2873564014819388E-3</c:v>
                </c:pt>
                <c:pt idx="6057">
                  <c:v>3.4217540852918885E-3</c:v>
                </c:pt>
                <c:pt idx="6058">
                  <c:v>5.003668868597138E-3</c:v>
                </c:pt>
                <c:pt idx="6059">
                  <c:v>1.1247668676560066E-2</c:v>
                </c:pt>
                <c:pt idx="6060">
                  <c:v>3.1476239813795341E-3</c:v>
                </c:pt>
                <c:pt idx="6061">
                  <c:v>6.1963964651819805E-3</c:v>
                </c:pt>
                <c:pt idx="6062">
                  <c:v>8.0514219952874926E-3</c:v>
                </c:pt>
                <c:pt idx="6063">
                  <c:v>7.0304720749645808E-3</c:v>
                </c:pt>
                <c:pt idx="6064">
                  <c:v>3.7142272919308788E-3</c:v>
                </c:pt>
                <c:pt idx="6065">
                  <c:v>4.3114837956929712E-3</c:v>
                </c:pt>
                <c:pt idx="6066">
                  <c:v>1.5330410196060504E-2</c:v>
                </c:pt>
                <c:pt idx="6067">
                  <c:v>4.4482036496392013E-3</c:v>
                </c:pt>
                <c:pt idx="6068">
                  <c:v>6.8133389345952367E-3</c:v>
                </c:pt>
                <c:pt idx="6069">
                  <c:v>1.1528576775321646E-2</c:v>
                </c:pt>
                <c:pt idx="6070">
                  <c:v>1.0536972631452451E-2</c:v>
                </c:pt>
                <c:pt idx="6071">
                  <c:v>7.4379447230243081E-3</c:v>
                </c:pt>
                <c:pt idx="6072">
                  <c:v>3.442108464280192E-2</c:v>
                </c:pt>
                <c:pt idx="6073">
                  <c:v>1.312679834747813E-2</c:v>
                </c:pt>
                <c:pt idx="6074">
                  <c:v>1.5366462608107095E-2</c:v>
                </c:pt>
                <c:pt idx="6075">
                  <c:v>1.1114766302103979E-2</c:v>
                </c:pt>
                <c:pt idx="6076">
                  <c:v>1.5299385957384823E-2</c:v>
                </c:pt>
                <c:pt idx="6077">
                  <c:v>7.3337637804586787E-3</c:v>
                </c:pt>
                <c:pt idx="6078">
                  <c:v>8.8610958326891132E-3</c:v>
                </c:pt>
                <c:pt idx="6079">
                  <c:v>6.6906192508248289E-3</c:v>
                </c:pt>
                <c:pt idx="6080">
                  <c:v>5.9698502270081281E-3</c:v>
                </c:pt>
                <c:pt idx="6081">
                  <c:v>6.4194012240998723E-3</c:v>
                </c:pt>
                <c:pt idx="6082">
                  <c:v>9.0780584472261519E-3</c:v>
                </c:pt>
                <c:pt idx="6083">
                  <c:v>8.7202248179917338E-3</c:v>
                </c:pt>
                <c:pt idx="6084">
                  <c:v>1.3454916986100528E-2</c:v>
                </c:pt>
                <c:pt idx="6085">
                  <c:v>9.143551348068147E-3</c:v>
                </c:pt>
                <c:pt idx="6086">
                  <c:v>9.0933693605575183E-3</c:v>
                </c:pt>
                <c:pt idx="6087">
                  <c:v>5.1689254410951079E-3</c:v>
                </c:pt>
                <c:pt idx="6088">
                  <c:v>4.8151566887646088E-3</c:v>
                </c:pt>
                <c:pt idx="6089">
                  <c:v>1.0357208486142251E-2</c:v>
                </c:pt>
                <c:pt idx="6090">
                  <c:v>9.4742671820573065E-3</c:v>
                </c:pt>
                <c:pt idx="6091">
                  <c:v>5.4868138114540256E-3</c:v>
                </c:pt>
                <c:pt idx="6092">
                  <c:v>8.3561318971138131E-3</c:v>
                </c:pt>
                <c:pt idx="6093">
                  <c:v>8.2317167558690375E-3</c:v>
                </c:pt>
                <c:pt idx="6094">
                  <c:v>7.7443650640926067E-3</c:v>
                </c:pt>
                <c:pt idx="6095">
                  <c:v>1.1200691911203984E-2</c:v>
                </c:pt>
                <c:pt idx="6096">
                  <c:v>1.2375277696912282E-2</c:v>
                </c:pt>
                <c:pt idx="6097">
                  <c:v>1.2866317244560437E-2</c:v>
                </c:pt>
                <c:pt idx="6098">
                  <c:v>8.3957497850186656E-3</c:v>
                </c:pt>
                <c:pt idx="6099">
                  <c:v>8.7423586374501018E-3</c:v>
                </c:pt>
                <c:pt idx="6100">
                  <c:v>1.0936511694260059E-2</c:v>
                </c:pt>
                <c:pt idx="6101">
                  <c:v>1.1985932687234314E-2</c:v>
                </c:pt>
                <c:pt idx="6102">
                  <c:v>8.7585326383245281E-3</c:v>
                </c:pt>
                <c:pt idx="6103">
                  <c:v>5.3010854382678357E-3</c:v>
                </c:pt>
                <c:pt idx="6104">
                  <c:v>7.8369314688136998E-3</c:v>
                </c:pt>
                <c:pt idx="6105">
                  <c:v>8.4907327958912218E-3</c:v>
                </c:pt>
                <c:pt idx="6106">
                  <c:v>6.189117988827644E-3</c:v>
                </c:pt>
                <c:pt idx="6107">
                  <c:v>6.7282512723137056E-3</c:v>
                </c:pt>
                <c:pt idx="6108">
                  <c:v>1.8188528229056911E-2</c:v>
                </c:pt>
                <c:pt idx="6109">
                  <c:v>2.0094324999315641E-2</c:v>
                </c:pt>
                <c:pt idx="6110">
                  <c:v>1.6089394067664058E-2</c:v>
                </c:pt>
                <c:pt idx="6111">
                  <c:v>1.4224327891442554E-2</c:v>
                </c:pt>
                <c:pt idx="6112">
                  <c:v>1.1731952502631791E-2</c:v>
                </c:pt>
                <c:pt idx="6113">
                  <c:v>1.0800548671374926E-2</c:v>
                </c:pt>
                <c:pt idx="6114">
                  <c:v>7.9716933546393337E-3</c:v>
                </c:pt>
                <c:pt idx="6115">
                  <c:v>7.9661501776968052E-3</c:v>
                </c:pt>
                <c:pt idx="6116">
                  <c:v>1.316556211303295E-2</c:v>
                </c:pt>
                <c:pt idx="6117">
                  <c:v>6.6598269894510816E-3</c:v>
                </c:pt>
                <c:pt idx="6118">
                  <c:v>8.9512973773791891E-3</c:v>
                </c:pt>
                <c:pt idx="6119">
                  <c:v>6.9689335474607894E-3</c:v>
                </c:pt>
                <c:pt idx="6120">
                  <c:v>6.1090466970664808E-3</c:v>
                </c:pt>
                <c:pt idx="6121">
                  <c:v>4.9697513015326128E-3</c:v>
                </c:pt>
                <c:pt idx="6122">
                  <c:v>5.7937563209564018E-3</c:v>
                </c:pt>
                <c:pt idx="6123">
                  <c:v>7.5732572394585588E-3</c:v>
                </c:pt>
                <c:pt idx="6124">
                  <c:v>1.5483402740339238E-2</c:v>
                </c:pt>
                <c:pt idx="6125">
                  <c:v>1.1064811582062125E-2</c:v>
                </c:pt>
                <c:pt idx="6126">
                  <c:v>7.7511909105666757E-3</c:v>
                </c:pt>
                <c:pt idx="6127">
                  <c:v>8.5141559058070637E-3</c:v>
                </c:pt>
                <c:pt idx="6128">
                  <c:v>1.3041253014158972E-2</c:v>
                </c:pt>
                <c:pt idx="6129">
                  <c:v>1.1129158968718109E-2</c:v>
                </c:pt>
                <c:pt idx="6130">
                  <c:v>1.9747117548331732E-2</c:v>
                </c:pt>
                <c:pt idx="6131">
                  <c:v>1.249640174219706E-2</c:v>
                </c:pt>
                <c:pt idx="6132">
                  <c:v>1.0367809851715174E-2</c:v>
                </c:pt>
                <c:pt idx="6133">
                  <c:v>8.8738613402570259E-3</c:v>
                </c:pt>
                <c:pt idx="6134">
                  <c:v>7.2837992982300323E-3</c:v>
                </c:pt>
                <c:pt idx="6135">
                  <c:v>7.5365520172323555E-3</c:v>
                </c:pt>
                <c:pt idx="6136">
                  <c:v>7.6504987943376594E-3</c:v>
                </c:pt>
                <c:pt idx="6137">
                  <c:v>1.2373167222489745E-2</c:v>
                </c:pt>
                <c:pt idx="6138">
                  <c:v>4.0301698739421323E-3</c:v>
                </c:pt>
                <c:pt idx="6139">
                  <c:v>1.4962588457884656E-2</c:v>
                </c:pt>
                <c:pt idx="6140">
                  <c:v>6.2041029542501645E-3</c:v>
                </c:pt>
                <c:pt idx="6141">
                  <c:v>4.1261123742810241E-3</c:v>
                </c:pt>
                <c:pt idx="6142">
                  <c:v>6.5225182534442393E-3</c:v>
                </c:pt>
                <c:pt idx="6143">
                  <c:v>4.7378387409998486E-3</c:v>
                </c:pt>
                <c:pt idx="6144">
                  <c:v>5.5511353753776157E-3</c:v>
                </c:pt>
                <c:pt idx="6145">
                  <c:v>6.1129007337765006E-3</c:v>
                </c:pt>
                <c:pt idx="6146">
                  <c:v>1.2296761142037302E-2</c:v>
                </c:pt>
                <c:pt idx="6147">
                  <c:v>7.706394334841821E-3</c:v>
                </c:pt>
                <c:pt idx="6148">
                  <c:v>1.6573328235923813E-2</c:v>
                </c:pt>
                <c:pt idx="6149">
                  <c:v>7.3756099490054844E-3</c:v>
                </c:pt>
                <c:pt idx="6150">
                  <c:v>1.2216963648092096E-2</c:v>
                </c:pt>
                <c:pt idx="6151">
                  <c:v>9.1728923662225143E-3</c:v>
                </c:pt>
                <c:pt idx="6152">
                  <c:v>6.2691745204888506E-3</c:v>
                </c:pt>
                <c:pt idx="6153">
                  <c:v>6.6085017017161827E-3</c:v>
                </c:pt>
                <c:pt idx="6154">
                  <c:v>7.5608802437476964E-3</c:v>
                </c:pt>
                <c:pt idx="6155">
                  <c:v>7.7938500205832354E-3</c:v>
                </c:pt>
                <c:pt idx="6156">
                  <c:v>9.1316442825091111E-3</c:v>
                </c:pt>
                <c:pt idx="6157">
                  <c:v>5.3015144636741748E-3</c:v>
                </c:pt>
                <c:pt idx="6158">
                  <c:v>5.6728914495453491E-3</c:v>
                </c:pt>
                <c:pt idx="6159">
                  <c:v>1.0091241568409178E-2</c:v>
                </c:pt>
                <c:pt idx="6160">
                  <c:v>1.0617503183031826E-2</c:v>
                </c:pt>
                <c:pt idx="6161">
                  <c:v>1.2386674081574487E-2</c:v>
                </c:pt>
                <c:pt idx="6162">
                  <c:v>7.7981157011305776E-3</c:v>
                </c:pt>
                <c:pt idx="6163">
                  <c:v>6.5546036206243791E-3</c:v>
                </c:pt>
                <c:pt idx="6164">
                  <c:v>1.0168460866117154E-2</c:v>
                </c:pt>
                <c:pt idx="6165">
                  <c:v>1.1105029815980038E-2</c:v>
                </c:pt>
                <c:pt idx="6166">
                  <c:v>3.9632996024607202E-2</c:v>
                </c:pt>
                <c:pt idx="6167">
                  <c:v>3.7989918269247872E-2</c:v>
                </c:pt>
                <c:pt idx="6168">
                  <c:v>4.3363064073779066E-2</c:v>
                </c:pt>
                <c:pt idx="6169">
                  <c:v>4.2536136722143472E-2</c:v>
                </c:pt>
                <c:pt idx="6170">
                  <c:v>4.8996553577354163E-2</c:v>
                </c:pt>
                <c:pt idx="6171">
                  <c:v>4.4168020863062006E-2</c:v>
                </c:pt>
                <c:pt idx="6172">
                  <c:v>4.2495575999915047E-2</c:v>
                </c:pt>
                <c:pt idx="6173">
                  <c:v>4.6780698087494556E-2</c:v>
                </c:pt>
                <c:pt idx="6174">
                  <c:v>4.9225002346839929E-2</c:v>
                </c:pt>
                <c:pt idx="6175">
                  <c:v>5.5251388732837137E-2</c:v>
                </c:pt>
                <c:pt idx="6176">
                  <c:v>4.4541720200632927E-2</c:v>
                </c:pt>
                <c:pt idx="6177">
                  <c:v>4.4001654574728759E-2</c:v>
                </c:pt>
                <c:pt idx="6178">
                  <c:v>2.7817089200337177E-2</c:v>
                </c:pt>
                <c:pt idx="6179">
                  <c:v>2.7857007619892821E-2</c:v>
                </c:pt>
                <c:pt idx="6180">
                  <c:v>4.1418742045440431E-2</c:v>
                </c:pt>
                <c:pt idx="6181">
                  <c:v>4.4117411449469852E-2</c:v>
                </c:pt>
                <c:pt idx="6182">
                  <c:v>4.0272340819865346E-2</c:v>
                </c:pt>
                <c:pt idx="6183">
                  <c:v>4.2420745309696091E-2</c:v>
                </c:pt>
                <c:pt idx="6184">
                  <c:v>3.7824352518056895E-2</c:v>
                </c:pt>
                <c:pt idx="6185">
                  <c:v>5.2978890241428329E-2</c:v>
                </c:pt>
                <c:pt idx="6186">
                  <c:v>4.0683416670267793E-2</c:v>
                </c:pt>
                <c:pt idx="6187">
                  <c:v>5.0731148957456604E-2</c:v>
                </c:pt>
                <c:pt idx="6188">
                  <c:v>3.9018909908519632E-2</c:v>
                </c:pt>
                <c:pt idx="6189">
                  <c:v>4.0392657376545314E-2</c:v>
                </c:pt>
                <c:pt idx="6190">
                  <c:v>3.8893447039673498E-2</c:v>
                </c:pt>
                <c:pt idx="6191">
                  <c:v>4.6100100589651222E-2</c:v>
                </c:pt>
                <c:pt idx="6192">
                  <c:v>4.1167583327089786E-2</c:v>
                </c:pt>
                <c:pt idx="6193">
                  <c:v>4.7273309374274909E-2</c:v>
                </c:pt>
                <c:pt idx="6194">
                  <c:v>5.0638786124767611E-2</c:v>
                </c:pt>
                <c:pt idx="6195">
                  <c:v>3.9103854689646556E-2</c:v>
                </c:pt>
                <c:pt idx="6196">
                  <c:v>3.2866858247871597E-2</c:v>
                </c:pt>
                <c:pt idx="6197">
                  <c:v>4.4208817957238522E-2</c:v>
                </c:pt>
                <c:pt idx="6198">
                  <c:v>4.3174763819117445E-2</c:v>
                </c:pt>
                <c:pt idx="6199">
                  <c:v>2.4833620637076708E-2</c:v>
                </c:pt>
                <c:pt idx="6200">
                  <c:v>3.6866734187265465E-2</c:v>
                </c:pt>
                <c:pt idx="6201">
                  <c:v>3.9324474716700995E-2</c:v>
                </c:pt>
                <c:pt idx="6202">
                  <c:v>3.752529865685094E-2</c:v>
                </c:pt>
                <c:pt idx="6203">
                  <c:v>3.9902871538577113E-2</c:v>
                </c:pt>
                <c:pt idx="6204">
                  <c:v>3.4339632973418382E-2</c:v>
                </c:pt>
                <c:pt idx="6205">
                  <c:v>3.0563697910049814E-2</c:v>
                </c:pt>
                <c:pt idx="6206">
                  <c:v>4.0129817565340321E-2</c:v>
                </c:pt>
                <c:pt idx="6207">
                  <c:v>4.8034510104824055E-2</c:v>
                </c:pt>
                <c:pt idx="6208">
                  <c:v>3.7990316187805802E-2</c:v>
                </c:pt>
                <c:pt idx="6209">
                  <c:v>3.9864837565945305E-2</c:v>
                </c:pt>
                <c:pt idx="6210">
                  <c:v>4.126435192022794E-2</c:v>
                </c:pt>
                <c:pt idx="6211">
                  <c:v>7.3864922902999341E-2</c:v>
                </c:pt>
                <c:pt idx="6212">
                  <c:v>5.620370007833398E-2</c:v>
                </c:pt>
                <c:pt idx="6213">
                  <c:v>2.9637380309585681E-2</c:v>
                </c:pt>
                <c:pt idx="6214">
                  <c:v>2.9984069012283333E-2</c:v>
                </c:pt>
                <c:pt idx="6215">
                  <c:v>2.8983799101691469E-2</c:v>
                </c:pt>
                <c:pt idx="6216">
                  <c:v>1.7703472913235749E-2</c:v>
                </c:pt>
                <c:pt idx="6217">
                  <c:v>2.6661940437072758E-2</c:v>
                </c:pt>
                <c:pt idx="6218">
                  <c:v>2.9325326644122292E-2</c:v>
                </c:pt>
                <c:pt idx="6219">
                  <c:v>2.9017110871639433E-2</c:v>
                </c:pt>
                <c:pt idx="6220">
                  <c:v>2.4646138183454763E-2</c:v>
                </c:pt>
                <c:pt idx="6221">
                  <c:v>2.2659273619402336E-2</c:v>
                </c:pt>
                <c:pt idx="6222">
                  <c:v>1.4555398521305886E-2</c:v>
                </c:pt>
                <c:pt idx="6223">
                  <c:v>2.6364498320564814E-2</c:v>
                </c:pt>
                <c:pt idx="6224">
                  <c:v>2.2033078224693432E-2</c:v>
                </c:pt>
                <c:pt idx="6225">
                  <c:v>2.194472769025186E-2</c:v>
                </c:pt>
                <c:pt idx="6226">
                  <c:v>1.8228092175585738E-2</c:v>
                </c:pt>
                <c:pt idx="6227">
                  <c:v>3.3353377993866354E-2</c:v>
                </c:pt>
                <c:pt idx="6228">
                  <c:v>2.595681889436529E-2</c:v>
                </c:pt>
                <c:pt idx="6229">
                  <c:v>2.1150417633029783E-2</c:v>
                </c:pt>
                <c:pt idx="6230">
                  <c:v>2.8855809390444003E-2</c:v>
                </c:pt>
                <c:pt idx="6231">
                  <c:v>3.1702069251579035E-2</c:v>
                </c:pt>
                <c:pt idx="6232">
                  <c:v>2.4285304183452601E-2</c:v>
                </c:pt>
                <c:pt idx="6233">
                  <c:v>1.6565385528680754E-2</c:v>
                </c:pt>
                <c:pt idx="6234">
                  <c:v>1.8443756417084213E-2</c:v>
                </c:pt>
                <c:pt idx="6235">
                  <c:v>1.8613131793610321E-2</c:v>
                </c:pt>
                <c:pt idx="6236">
                  <c:v>2.1499398677474676E-2</c:v>
                </c:pt>
                <c:pt idx="6237">
                  <c:v>2.0160250607866453E-2</c:v>
                </c:pt>
                <c:pt idx="6238">
                  <c:v>2.5807063162632187E-2</c:v>
                </c:pt>
                <c:pt idx="6239">
                  <c:v>2.7036721508173423E-2</c:v>
                </c:pt>
                <c:pt idx="6240">
                  <c:v>2.8024380633709656E-2</c:v>
                </c:pt>
                <c:pt idx="6241">
                  <c:v>1.9618451720403055E-2</c:v>
                </c:pt>
                <c:pt idx="6242">
                  <c:v>2.271244625181125E-2</c:v>
                </c:pt>
                <c:pt idx="6243">
                  <c:v>2.6584330956644277E-2</c:v>
                </c:pt>
                <c:pt idx="6244">
                  <c:v>3.5897803414826811E-2</c:v>
                </c:pt>
                <c:pt idx="6245">
                  <c:v>3.0049320961863402E-2</c:v>
                </c:pt>
                <c:pt idx="6246">
                  <c:v>2.5204654663803411E-2</c:v>
                </c:pt>
                <c:pt idx="6247">
                  <c:v>1.9881138501973275E-2</c:v>
                </c:pt>
                <c:pt idx="6248">
                  <c:v>2.4105390965646366E-2</c:v>
                </c:pt>
                <c:pt idx="6249">
                  <c:v>2.5421388619322926E-2</c:v>
                </c:pt>
                <c:pt idx="6250">
                  <c:v>1.4426025323131381E-2</c:v>
                </c:pt>
                <c:pt idx="6251">
                  <c:v>1.7502040812833138E-2</c:v>
                </c:pt>
                <c:pt idx="6252">
                  <c:v>2.0368327443806834E-2</c:v>
                </c:pt>
                <c:pt idx="6253">
                  <c:v>2.4931227160347059E-2</c:v>
                </c:pt>
                <c:pt idx="6254">
                  <c:v>2.2697195852533582E-2</c:v>
                </c:pt>
                <c:pt idx="6255">
                  <c:v>2.1736991849290788E-2</c:v>
                </c:pt>
                <c:pt idx="6256">
                  <c:v>1.3895949027252982E-2</c:v>
                </c:pt>
                <c:pt idx="6257">
                  <c:v>1.8593159754728954E-2</c:v>
                </c:pt>
                <c:pt idx="6258">
                  <c:v>2.7556307219049718E-2</c:v>
                </c:pt>
                <c:pt idx="6259">
                  <c:v>2.3968557738831147E-2</c:v>
                </c:pt>
                <c:pt idx="6260">
                  <c:v>2.4365789162506032E-2</c:v>
                </c:pt>
                <c:pt idx="6261">
                  <c:v>2.4858639525838225E-2</c:v>
                </c:pt>
                <c:pt idx="6262">
                  <c:v>3.0088629516041996E-2</c:v>
                </c:pt>
                <c:pt idx="6263">
                  <c:v>2.4160851616029131E-2</c:v>
                </c:pt>
                <c:pt idx="6264">
                  <c:v>1.4821584435987252E-2</c:v>
                </c:pt>
                <c:pt idx="6265">
                  <c:v>2.2429196055513995E-2</c:v>
                </c:pt>
                <c:pt idx="6266">
                  <c:v>1.2154888792278145E-2</c:v>
                </c:pt>
                <c:pt idx="6267">
                  <c:v>1.0031408386563398E-2</c:v>
                </c:pt>
                <c:pt idx="6268">
                  <c:v>3.087769478569926E-2</c:v>
                </c:pt>
                <c:pt idx="6269">
                  <c:v>2.600427168469777E-2</c:v>
                </c:pt>
                <c:pt idx="6270">
                  <c:v>1.6820315730298241E-2</c:v>
                </c:pt>
                <c:pt idx="6271">
                  <c:v>2.7832975541538265E-2</c:v>
                </c:pt>
                <c:pt idx="6272">
                  <c:v>4.5538507513032123E-2</c:v>
                </c:pt>
                <c:pt idx="6273">
                  <c:v>5.0668158862736207E-2</c:v>
                </c:pt>
                <c:pt idx="6274">
                  <c:v>4.6538474562752827E-2</c:v>
                </c:pt>
                <c:pt idx="6275">
                  <c:v>4.7380409540424148E-2</c:v>
                </c:pt>
                <c:pt idx="6276">
                  <c:v>7.5573602169674028E-2</c:v>
                </c:pt>
                <c:pt idx="6277">
                  <c:v>5.4628756278117689E-2</c:v>
                </c:pt>
                <c:pt idx="6278">
                  <c:v>3.2751687796175308E-2</c:v>
                </c:pt>
                <c:pt idx="6279">
                  <c:v>2.6623954371612527E-2</c:v>
                </c:pt>
                <c:pt idx="6280">
                  <c:v>3.9894155714043235E-2</c:v>
                </c:pt>
                <c:pt idx="6281">
                  <c:v>2.4722863981826975E-2</c:v>
                </c:pt>
                <c:pt idx="6282">
                  <c:v>2.7758834310317393E-2</c:v>
                </c:pt>
                <c:pt idx="6283">
                  <c:v>3.1631412182458088E-2</c:v>
                </c:pt>
                <c:pt idx="6284">
                  <c:v>3.7440841374722832E-2</c:v>
                </c:pt>
                <c:pt idx="6285">
                  <c:v>3.8304955619805972E-2</c:v>
                </c:pt>
                <c:pt idx="6286">
                  <c:v>2.8150173354953286E-2</c:v>
                </c:pt>
                <c:pt idx="6287">
                  <c:v>3.0424835671303212E-2</c:v>
                </c:pt>
                <c:pt idx="6288">
                  <c:v>2.5857396669811863E-2</c:v>
                </c:pt>
                <c:pt idx="6289">
                  <c:v>3.502287190440416E-2</c:v>
                </c:pt>
                <c:pt idx="6290">
                  <c:v>2.6006725998348128E-2</c:v>
                </c:pt>
                <c:pt idx="6291">
                  <c:v>4.3108308541087201E-2</c:v>
                </c:pt>
                <c:pt idx="6292">
                  <c:v>3.9285199854635099E-2</c:v>
                </c:pt>
                <c:pt idx="6293">
                  <c:v>3.7810817911265997E-2</c:v>
                </c:pt>
                <c:pt idx="6294">
                  <c:v>3.7821964088684649E-2</c:v>
                </c:pt>
                <c:pt idx="6295">
                  <c:v>3.3329245942022363E-2</c:v>
                </c:pt>
                <c:pt idx="6296">
                  <c:v>3.5015259552677827E-2</c:v>
                </c:pt>
                <c:pt idx="6297">
                  <c:v>3.705579494100196E-2</c:v>
                </c:pt>
                <c:pt idx="6298">
                  <c:v>4.1810985601108477E-2</c:v>
                </c:pt>
                <c:pt idx="6299">
                  <c:v>3.9221717820432211E-2</c:v>
                </c:pt>
                <c:pt idx="6300">
                  <c:v>3.8997869615144849E-2</c:v>
                </c:pt>
                <c:pt idx="6301">
                  <c:v>3.6540670334866812E-2</c:v>
                </c:pt>
                <c:pt idx="6302">
                  <c:v>2.6491181269337562E-2</c:v>
                </c:pt>
                <c:pt idx="6303">
                  <c:v>4.4557790294471149E-2</c:v>
                </c:pt>
                <c:pt idx="6304">
                  <c:v>4.2681021763375723E-2</c:v>
                </c:pt>
                <c:pt idx="6305">
                  <c:v>5.5720738485525466E-2</c:v>
                </c:pt>
                <c:pt idx="6306">
                  <c:v>5.1026655319885046E-2</c:v>
                </c:pt>
                <c:pt idx="6307">
                  <c:v>4.6025107208340257E-2</c:v>
                </c:pt>
                <c:pt idx="6308">
                  <c:v>5.2076874829406782E-2</c:v>
                </c:pt>
                <c:pt idx="6309">
                  <c:v>4.2001455003103795E-2</c:v>
                </c:pt>
                <c:pt idx="6310">
                  <c:v>3.7215275872922809E-2</c:v>
                </c:pt>
                <c:pt idx="6311">
                  <c:v>7.9239344321565333E-3</c:v>
                </c:pt>
                <c:pt idx="6312">
                  <c:v>7.5083807891143158E-3</c:v>
                </c:pt>
                <c:pt idx="6313">
                  <c:v>9.8166199931661209E-3</c:v>
                </c:pt>
                <c:pt idx="6314">
                  <c:v>5.5236926732798496E-3</c:v>
                </c:pt>
                <c:pt idx="6315">
                  <c:v>9.7193784609082619E-3</c:v>
                </c:pt>
                <c:pt idx="6316">
                  <c:v>6.2259372640082085E-3</c:v>
                </c:pt>
                <c:pt idx="6317">
                  <c:v>8.0147571655283887E-3</c:v>
                </c:pt>
                <c:pt idx="6318">
                  <c:v>8.0693269500130855E-3</c:v>
                </c:pt>
                <c:pt idx="6319">
                  <c:v>1.2264252821793928E-2</c:v>
                </c:pt>
                <c:pt idx="6320">
                  <c:v>9.8166199931661209E-3</c:v>
                </c:pt>
                <c:pt idx="6321">
                  <c:v>8.1541522974978055E-3</c:v>
                </c:pt>
                <c:pt idx="6322">
                  <c:v>6.9732073380739737E-3</c:v>
                </c:pt>
                <c:pt idx="6323">
                  <c:v>6.0653652238692596E-3</c:v>
                </c:pt>
                <c:pt idx="6324">
                  <c:v>7.5352715465059191E-3</c:v>
                </c:pt>
                <c:pt idx="6325">
                  <c:v>4.0447992479748125E-3</c:v>
                </c:pt>
                <c:pt idx="6326">
                  <c:v>8.3113976795714199E-3</c:v>
                </c:pt>
                <c:pt idx="6327">
                  <c:v>8.5026574460716261E-3</c:v>
                </c:pt>
                <c:pt idx="6328">
                  <c:v>9.2566521918421539E-3</c:v>
                </c:pt>
                <c:pt idx="6329">
                  <c:v>5.6304521864899097E-3</c:v>
                </c:pt>
                <c:pt idx="6330">
                  <c:v>1.0255422207490178E-2</c:v>
                </c:pt>
                <c:pt idx="6331">
                  <c:v>8.7168195148731257E-3</c:v>
                </c:pt>
                <c:pt idx="6332">
                  <c:v>9.4538704082460304E-3</c:v>
                </c:pt>
                <c:pt idx="6333">
                  <c:v>9.1626870195228374E-3</c:v>
                </c:pt>
                <c:pt idx="6334">
                  <c:v>5.8383221111307912E-3</c:v>
                </c:pt>
                <c:pt idx="6335">
                  <c:v>7.8719053431425701E-3</c:v>
                </c:pt>
                <c:pt idx="6336">
                  <c:v>8.1038558496613379E-3</c:v>
                </c:pt>
                <c:pt idx="6337">
                  <c:v>5.9569990726107882E-3</c:v>
                </c:pt>
                <c:pt idx="6338">
                  <c:v>9.9418553876415537E-3</c:v>
                </c:pt>
                <c:pt idx="6339">
                  <c:v>9.2464488132210764E-3</c:v>
                </c:pt>
                <c:pt idx="6340">
                  <c:v>5.1740752848990377E-3</c:v>
                </c:pt>
                <c:pt idx="6341">
                  <c:v>5.9621395800030065E-3</c:v>
                </c:pt>
                <c:pt idx="6342">
                  <c:v>8.8883284619097943E-3</c:v>
                </c:pt>
                <c:pt idx="6343">
                  <c:v>9.5932292741173122E-3</c:v>
                </c:pt>
                <c:pt idx="6344">
                  <c:v>5.4272006569074027E-3</c:v>
                </c:pt>
                <c:pt idx="6345">
                  <c:v>5.8340371377171053E-3</c:v>
                </c:pt>
                <c:pt idx="6346">
                  <c:v>9.7643925318322815E-3</c:v>
                </c:pt>
                <c:pt idx="6347">
                  <c:v>8.7100088285320103E-3</c:v>
                </c:pt>
                <c:pt idx="6348">
                  <c:v>7.5894748378648579E-3</c:v>
                </c:pt>
                <c:pt idx="6349">
                  <c:v>6.2721710025257209E-3</c:v>
                </c:pt>
                <c:pt idx="6350">
                  <c:v>7.6901811019840175E-3</c:v>
                </c:pt>
                <c:pt idx="6351">
                  <c:v>9.9635025915654537E-3</c:v>
                </c:pt>
                <c:pt idx="6352">
                  <c:v>1.3347958169493197E-2</c:v>
                </c:pt>
                <c:pt idx="6353">
                  <c:v>1.2098718181212753E-2</c:v>
                </c:pt>
                <c:pt idx="6354">
                  <c:v>1.1721384384687767E-2</c:v>
                </c:pt>
                <c:pt idx="6355">
                  <c:v>1.0019101249016987E-2</c:v>
                </c:pt>
                <c:pt idx="6356">
                  <c:v>7.9853377964654963E-3</c:v>
                </c:pt>
                <c:pt idx="6357">
                  <c:v>6.2884372585546491E-3</c:v>
                </c:pt>
                <c:pt idx="6358">
                  <c:v>8.2807201241943545E-3</c:v>
                </c:pt>
                <c:pt idx="6359">
                  <c:v>5.6720341317388154E-3</c:v>
                </c:pt>
                <c:pt idx="6360">
                  <c:v>1.9934237532595721E-2</c:v>
                </c:pt>
                <c:pt idx="6361">
                  <c:v>1.042844468965274E-2</c:v>
                </c:pt>
                <c:pt idx="6362">
                  <c:v>1.6448736412583497E-2</c:v>
                </c:pt>
                <c:pt idx="6363">
                  <c:v>6.3034187975003191E-3</c:v>
                </c:pt>
                <c:pt idx="6364">
                  <c:v>1.2975502291330945E-2</c:v>
                </c:pt>
                <c:pt idx="6365">
                  <c:v>1.2931241391562657E-2</c:v>
                </c:pt>
                <c:pt idx="6366">
                  <c:v>1.1690946768100677E-2</c:v>
                </c:pt>
                <c:pt idx="6367">
                  <c:v>6.5182400253811501E-3</c:v>
                </c:pt>
                <c:pt idx="6368">
                  <c:v>1.0016979293500409E-2</c:v>
                </c:pt>
                <c:pt idx="6369">
                  <c:v>7.6893277571719095E-3</c:v>
                </c:pt>
                <c:pt idx="6370">
                  <c:v>6.1976808895232603E-3</c:v>
                </c:pt>
                <c:pt idx="6371">
                  <c:v>8.5141559058070637E-3</c:v>
                </c:pt>
                <c:pt idx="6372">
                  <c:v>1.3232126594537765E-2</c:v>
                </c:pt>
                <c:pt idx="6373">
                  <c:v>1.1275598398578101E-2</c:v>
                </c:pt>
                <c:pt idx="6374">
                  <c:v>8.5750500800263283E-3</c:v>
                </c:pt>
                <c:pt idx="6375">
                  <c:v>8.8117323393398887E-3</c:v>
                </c:pt>
                <c:pt idx="6376">
                  <c:v>1.1865933938745684E-2</c:v>
                </c:pt>
                <c:pt idx="6377">
                  <c:v>1.006917638986779E-2</c:v>
                </c:pt>
                <c:pt idx="6378">
                  <c:v>5.2354395575611775E-3</c:v>
                </c:pt>
                <c:pt idx="6379">
                  <c:v>7.8821410662683698E-3</c:v>
                </c:pt>
                <c:pt idx="6380">
                  <c:v>6.3868779122112961E-3</c:v>
                </c:pt>
                <c:pt idx="6381">
                  <c:v>6.9920115171462687E-3</c:v>
                </c:pt>
                <c:pt idx="6382">
                  <c:v>1.269004561936125E-2</c:v>
                </c:pt>
                <c:pt idx="6383">
                  <c:v>1.4504997961659792E-2</c:v>
                </c:pt>
                <c:pt idx="6384">
                  <c:v>1.4931957547950297E-2</c:v>
                </c:pt>
                <c:pt idx="6385">
                  <c:v>9.9371862414104027E-3</c:v>
                </c:pt>
                <c:pt idx="6386">
                  <c:v>6.2875811550049858E-3</c:v>
                </c:pt>
                <c:pt idx="6387">
                  <c:v>1.0560285642613907E-2</c:v>
                </c:pt>
                <c:pt idx="6388">
                  <c:v>8.6951100797878576E-3</c:v>
                </c:pt>
                <c:pt idx="6389">
                  <c:v>1.7672200763437788E-2</c:v>
                </c:pt>
                <c:pt idx="6390">
                  <c:v>1.2886132786031762E-2</c:v>
                </c:pt>
                <c:pt idx="6391">
                  <c:v>1.3736084580638713E-2</c:v>
                </c:pt>
                <c:pt idx="6392">
                  <c:v>7.4042167437947644E-3</c:v>
                </c:pt>
                <c:pt idx="6393">
                  <c:v>8.8189669952947036E-3</c:v>
                </c:pt>
                <c:pt idx="6394">
                  <c:v>7.7336994641978131E-3</c:v>
                </c:pt>
                <c:pt idx="6395">
                  <c:v>3.7099213096635649E-3</c:v>
                </c:pt>
                <c:pt idx="6396">
                  <c:v>9.9516179857344778E-3</c:v>
                </c:pt>
                <c:pt idx="6397">
                  <c:v>8.8555639962126283E-3</c:v>
                </c:pt>
                <c:pt idx="6398">
                  <c:v>1.2972130191044777E-2</c:v>
                </c:pt>
                <c:pt idx="6399">
                  <c:v>1.2050143750382944E-2</c:v>
                </c:pt>
                <c:pt idx="6400">
                  <c:v>1.0964037966007284E-2</c:v>
                </c:pt>
                <c:pt idx="6401">
                  <c:v>6.8924255804110358E-3</c:v>
                </c:pt>
                <c:pt idx="6402">
                  <c:v>8.39361988297232E-3</c:v>
                </c:pt>
                <c:pt idx="6403">
                  <c:v>9.639105945412842E-3</c:v>
                </c:pt>
                <c:pt idx="6404">
                  <c:v>4.1312745984981598E-3</c:v>
                </c:pt>
                <c:pt idx="6405">
                  <c:v>4.5526492516371302E-3</c:v>
                </c:pt>
                <c:pt idx="6406">
                  <c:v>8.2155231230399695E-3</c:v>
                </c:pt>
                <c:pt idx="6407">
                  <c:v>7.6487919470857564E-3</c:v>
                </c:pt>
                <c:pt idx="6408">
                  <c:v>1.2280718379021659E-2</c:v>
                </c:pt>
                <c:pt idx="6409">
                  <c:v>4.159665734924569E-3</c:v>
                </c:pt>
                <c:pt idx="6410">
                  <c:v>5.6720341317388154E-3</c:v>
                </c:pt>
                <c:pt idx="6411">
                  <c:v>3.311864209771876E-3</c:v>
                </c:pt>
                <c:pt idx="6412">
                  <c:v>3.2635900629900722E-3</c:v>
                </c:pt>
                <c:pt idx="6413">
                  <c:v>8.2248984577467169E-3</c:v>
                </c:pt>
                <c:pt idx="6414">
                  <c:v>1.1071162077136626E-2</c:v>
                </c:pt>
                <c:pt idx="6415">
                  <c:v>7.4989899736441013E-3</c:v>
                </c:pt>
                <c:pt idx="6416">
                  <c:v>8.0693269500130855E-3</c:v>
                </c:pt>
                <c:pt idx="6417">
                  <c:v>1.1300987496387091E-2</c:v>
                </c:pt>
                <c:pt idx="6418">
                  <c:v>6.0987690986286916E-3</c:v>
                </c:pt>
                <c:pt idx="6419">
                  <c:v>7.0214982494515672E-3</c:v>
                </c:pt>
                <c:pt idx="6420">
                  <c:v>7.3730480545565174E-3</c:v>
                </c:pt>
                <c:pt idx="6421">
                  <c:v>1.1470633202140012E-2</c:v>
                </c:pt>
                <c:pt idx="6422">
                  <c:v>6.9150801819493173E-3</c:v>
                </c:pt>
                <c:pt idx="6423">
                  <c:v>9.319992804075472E-3</c:v>
                </c:pt>
                <c:pt idx="6424">
                  <c:v>8.2756069876118912E-3</c:v>
                </c:pt>
                <c:pt idx="6425">
                  <c:v>9.8115249075645915E-3</c:v>
                </c:pt>
                <c:pt idx="6426">
                  <c:v>4.6729669549122645E-3</c:v>
                </c:pt>
                <c:pt idx="6427">
                  <c:v>1.0308862978292191E-2</c:v>
                </c:pt>
                <c:pt idx="6428">
                  <c:v>7.4797808549700142E-3</c:v>
                </c:pt>
                <c:pt idx="6429">
                  <c:v>1.7148579082067381E-2</c:v>
                </c:pt>
                <c:pt idx="6430">
                  <c:v>1.7922731670654651E-2</c:v>
                </c:pt>
                <c:pt idx="6431">
                  <c:v>4.5113897930635508E-3</c:v>
                </c:pt>
                <c:pt idx="6432">
                  <c:v>1.2309848220326276E-2</c:v>
                </c:pt>
                <c:pt idx="6433">
                  <c:v>8.821945936247088E-3</c:v>
                </c:pt>
                <c:pt idx="6434">
                  <c:v>5.6313095863850145E-3</c:v>
                </c:pt>
                <c:pt idx="6435">
                  <c:v>8.5103231197213285E-3</c:v>
                </c:pt>
                <c:pt idx="6436">
                  <c:v>1.6081861011787074E-2</c:v>
                </c:pt>
                <c:pt idx="6437">
                  <c:v>1.0140459850332082E-2</c:v>
                </c:pt>
                <c:pt idx="6438">
                  <c:v>1.0096333373487424E-2</c:v>
                </c:pt>
                <c:pt idx="6439">
                  <c:v>1.0847992318084504E-2</c:v>
                </c:pt>
                <c:pt idx="6440">
                  <c:v>4.3235237500035845E-3</c:v>
                </c:pt>
                <c:pt idx="6441">
                  <c:v>5.9891262456130846E-3</c:v>
                </c:pt>
                <c:pt idx="6442">
                  <c:v>5.5031095086559029E-3</c:v>
                </c:pt>
                <c:pt idx="6443">
                  <c:v>8.7491688164985006E-3</c:v>
                </c:pt>
                <c:pt idx="6444">
                  <c:v>4.2452580799362668E-3</c:v>
                </c:pt>
                <c:pt idx="6445">
                  <c:v>6.1784141255310466E-3</c:v>
                </c:pt>
                <c:pt idx="6446">
                  <c:v>5.852033741955193E-3</c:v>
                </c:pt>
                <c:pt idx="6447">
                  <c:v>4.339863154130875E-3</c:v>
                </c:pt>
                <c:pt idx="6448">
                  <c:v>5.3332611677024584E-3</c:v>
                </c:pt>
                <c:pt idx="6449">
                  <c:v>7.475085163396746E-3</c:v>
                </c:pt>
                <c:pt idx="6450">
                  <c:v>9.4780914705035451E-3</c:v>
                </c:pt>
                <c:pt idx="6451">
                  <c:v>5.6617461860512999E-3</c:v>
                </c:pt>
                <c:pt idx="6452">
                  <c:v>7.1278902470143001E-3</c:v>
                </c:pt>
                <c:pt idx="6453">
                  <c:v>9.6429287826119373E-3</c:v>
                </c:pt>
                <c:pt idx="6454">
                  <c:v>3.33280393042302E-2</c:v>
                </c:pt>
                <c:pt idx="6455">
                  <c:v>4.681072283237684E-2</c:v>
                </c:pt>
                <c:pt idx="6456">
                  <c:v>4.5929784430250843E-2</c:v>
                </c:pt>
                <c:pt idx="6457">
                  <c:v>5.4594671332609271E-2</c:v>
                </c:pt>
                <c:pt idx="6458">
                  <c:v>6.6695570690770409E-2</c:v>
                </c:pt>
                <c:pt idx="6459">
                  <c:v>5.4526493415226356E-2</c:v>
                </c:pt>
                <c:pt idx="6460">
                  <c:v>3.5493776888819321E-2</c:v>
                </c:pt>
                <c:pt idx="6461">
                  <c:v>4.6206709511723294E-2</c:v>
                </c:pt>
                <c:pt idx="6462">
                  <c:v>3.770650767267273E-2</c:v>
                </c:pt>
                <c:pt idx="6463">
                  <c:v>4.624692512709036E-2</c:v>
                </c:pt>
                <c:pt idx="6464">
                  <c:v>3.9327648287831626E-2</c:v>
                </c:pt>
                <c:pt idx="6465">
                  <c:v>3.4224049708906031E-2</c:v>
                </c:pt>
                <c:pt idx="6466">
                  <c:v>4.4953867293723901E-2</c:v>
                </c:pt>
                <c:pt idx="6467">
                  <c:v>2.1038717547239377E-2</c:v>
                </c:pt>
                <c:pt idx="6468">
                  <c:v>2.4395351327556405E-2</c:v>
                </c:pt>
                <c:pt idx="6469">
                  <c:v>4.1631876056264977E-2</c:v>
                </c:pt>
                <c:pt idx="6470">
                  <c:v>5.4178926141793607E-2</c:v>
                </c:pt>
                <c:pt idx="6471">
                  <c:v>4.1665020836882907E-2</c:v>
                </c:pt>
                <c:pt idx="6472">
                  <c:v>3.8759606498595119E-2</c:v>
                </c:pt>
                <c:pt idx="6473">
                  <c:v>3.8775891973166297E-2</c:v>
                </c:pt>
                <c:pt idx="6474">
                  <c:v>4.7755635873311657E-2</c:v>
                </c:pt>
                <c:pt idx="6475">
                  <c:v>4.2861666640294491E-2</c:v>
                </c:pt>
                <c:pt idx="6476">
                  <c:v>4.5127306568027103E-2</c:v>
                </c:pt>
                <c:pt idx="6477">
                  <c:v>3.7978378472467531E-2</c:v>
                </c:pt>
                <c:pt idx="6478">
                  <c:v>4.5071328097131366E-2</c:v>
                </c:pt>
                <c:pt idx="6479">
                  <c:v>3.5540199045426331E-2</c:v>
                </c:pt>
                <c:pt idx="6480">
                  <c:v>5.7299346744864865E-2</c:v>
                </c:pt>
                <c:pt idx="6481">
                  <c:v>5.8519402916279294E-2</c:v>
                </c:pt>
                <c:pt idx="6482">
                  <c:v>4.1818479764879582E-2</c:v>
                </c:pt>
                <c:pt idx="6483">
                  <c:v>3.3497338040259651E-2</c:v>
                </c:pt>
                <c:pt idx="6484">
                  <c:v>3.5356482338201115E-2</c:v>
                </c:pt>
                <c:pt idx="6485">
                  <c:v>2.919378303145136E-2</c:v>
                </c:pt>
                <c:pt idx="6486">
                  <c:v>3.0246233241383272E-2</c:v>
                </c:pt>
                <c:pt idx="6487">
                  <c:v>3.9514847949053813E-2</c:v>
                </c:pt>
                <c:pt idx="6488">
                  <c:v>2.2576822556579324E-2</c:v>
                </c:pt>
                <c:pt idx="6489">
                  <c:v>3.7913909138782148E-2</c:v>
                </c:pt>
                <c:pt idx="6490">
                  <c:v>3.6838008896322959E-2</c:v>
                </c:pt>
                <c:pt idx="6491">
                  <c:v>3.536769168370657E-2</c:v>
                </c:pt>
                <c:pt idx="6492">
                  <c:v>3.3148212798566508E-2</c:v>
                </c:pt>
                <c:pt idx="6493">
                  <c:v>4.1295550257691972E-2</c:v>
                </c:pt>
                <c:pt idx="6494">
                  <c:v>3.9743582043669748E-2</c:v>
                </c:pt>
                <c:pt idx="6495">
                  <c:v>4.4857134047344802E-2</c:v>
                </c:pt>
                <c:pt idx="6496">
                  <c:v>3.2695299515471322E-2</c:v>
                </c:pt>
                <c:pt idx="6497">
                  <c:v>3.5984560082556467E-2</c:v>
                </c:pt>
                <c:pt idx="6498">
                  <c:v>3.0959798272641906E-2</c:v>
                </c:pt>
                <c:pt idx="6499">
                  <c:v>3.597216733390661E-2</c:v>
                </c:pt>
                <c:pt idx="6500">
                  <c:v>3.0409448784257453E-2</c:v>
                </c:pt>
                <c:pt idx="6501">
                  <c:v>2.6058263381300312E-2</c:v>
                </c:pt>
                <c:pt idx="6502">
                  <c:v>2.8302378605840107E-2</c:v>
                </c:pt>
                <c:pt idx="6503">
                  <c:v>3.1163170108093049E-2</c:v>
                </c:pt>
                <c:pt idx="6504">
                  <c:v>3.4168655158107228E-2</c:v>
                </c:pt>
                <c:pt idx="6505">
                  <c:v>2.6698697982395693E-2</c:v>
                </c:pt>
                <c:pt idx="6506">
                  <c:v>3.5291622587811079E-2</c:v>
                </c:pt>
                <c:pt idx="6507">
                  <c:v>4.7522519890438E-2</c:v>
                </c:pt>
                <c:pt idx="6508">
                  <c:v>3.0426455311911904E-2</c:v>
                </c:pt>
                <c:pt idx="6509">
                  <c:v>3.1673807803372707E-2</c:v>
                </c:pt>
                <c:pt idx="6510">
                  <c:v>2.1838187723119625E-2</c:v>
                </c:pt>
                <c:pt idx="6511">
                  <c:v>2.815749996335656E-2</c:v>
                </c:pt>
                <c:pt idx="6512">
                  <c:v>2.2310811185108324E-2</c:v>
                </c:pt>
                <c:pt idx="6513">
                  <c:v>2.2834430171040164E-2</c:v>
                </c:pt>
                <c:pt idx="6514">
                  <c:v>2.0074420962071456E-2</c:v>
                </c:pt>
                <c:pt idx="6515">
                  <c:v>2.1264570256820194E-2</c:v>
                </c:pt>
                <c:pt idx="6516">
                  <c:v>1.6434518966150596E-2</c:v>
                </c:pt>
                <c:pt idx="6517">
                  <c:v>1.9048959193445226E-2</c:v>
                </c:pt>
                <c:pt idx="6518">
                  <c:v>2.5323482513783049E-2</c:v>
                </c:pt>
                <c:pt idx="6519">
                  <c:v>1.8362166325495304E-2</c:v>
                </c:pt>
                <c:pt idx="6520">
                  <c:v>2.2194457328154487E-2</c:v>
                </c:pt>
                <c:pt idx="6521">
                  <c:v>1.5575172403526436E-2</c:v>
                </c:pt>
                <c:pt idx="6522">
                  <c:v>1.3939270571187106E-2</c:v>
                </c:pt>
                <c:pt idx="6523">
                  <c:v>1.4412581741578981E-2</c:v>
                </c:pt>
                <c:pt idx="6524">
                  <c:v>1.3792885268431273E-2</c:v>
                </c:pt>
                <c:pt idx="6525">
                  <c:v>1.4879922009076266E-2</c:v>
                </c:pt>
                <c:pt idx="6526">
                  <c:v>1.6560787052829269E-2</c:v>
                </c:pt>
                <c:pt idx="6527">
                  <c:v>2.9539202941665427E-2</c:v>
                </c:pt>
                <c:pt idx="6528">
                  <c:v>2.7110578095398956E-2</c:v>
                </c:pt>
                <c:pt idx="6529">
                  <c:v>1.8055650283929865E-2</c:v>
                </c:pt>
                <c:pt idx="6530">
                  <c:v>1.9661206208097224E-2</c:v>
                </c:pt>
                <c:pt idx="6531">
                  <c:v>2.5156294713744747E-2</c:v>
                </c:pt>
                <c:pt idx="6532">
                  <c:v>2.1759711343000167E-2</c:v>
                </c:pt>
                <c:pt idx="6533">
                  <c:v>2.6906523790849644E-2</c:v>
                </c:pt>
                <c:pt idx="6534">
                  <c:v>2.8871251419933564E-2</c:v>
                </c:pt>
                <c:pt idx="6535">
                  <c:v>2.4703581232896461E-2</c:v>
                </c:pt>
                <c:pt idx="6536">
                  <c:v>2.1791516637582241E-2</c:v>
                </c:pt>
                <c:pt idx="6537">
                  <c:v>2.729455287208854E-2</c:v>
                </c:pt>
                <c:pt idx="6538">
                  <c:v>2.5109568969170205E-2</c:v>
                </c:pt>
                <c:pt idx="6539">
                  <c:v>2.7079976061103531E-2</c:v>
                </c:pt>
                <c:pt idx="6540">
                  <c:v>3.0961011508286011E-2</c:v>
                </c:pt>
                <c:pt idx="6541">
                  <c:v>3.0176554328871879E-2</c:v>
                </c:pt>
                <c:pt idx="6542">
                  <c:v>2.7181974457455987E-2</c:v>
                </c:pt>
                <c:pt idx="6543">
                  <c:v>2.5353389230393888E-2</c:v>
                </c:pt>
                <c:pt idx="6544">
                  <c:v>2.356355825653509E-2</c:v>
                </c:pt>
                <c:pt idx="6545">
                  <c:v>3.1330486242219124E-2</c:v>
                </c:pt>
                <c:pt idx="6546">
                  <c:v>2.5293164014006681E-2</c:v>
                </c:pt>
                <c:pt idx="6547">
                  <c:v>3.282860571610615E-2</c:v>
                </c:pt>
                <c:pt idx="6548">
                  <c:v>3.1234307549319044E-2</c:v>
                </c:pt>
                <c:pt idx="6549">
                  <c:v>2.745276594839894E-2</c:v>
                </c:pt>
                <c:pt idx="6550">
                  <c:v>2.6426209792342299E-2</c:v>
                </c:pt>
                <c:pt idx="6551">
                  <c:v>2.8899289490955951E-2</c:v>
                </c:pt>
                <c:pt idx="6552">
                  <c:v>2.3091473266694047E-2</c:v>
                </c:pt>
                <c:pt idx="6553">
                  <c:v>2.6226739761551987E-2</c:v>
                </c:pt>
                <c:pt idx="6554">
                  <c:v>3.8298991125930451E-2</c:v>
                </c:pt>
                <c:pt idx="6555">
                  <c:v>2.3018989334185939E-2</c:v>
                </c:pt>
                <c:pt idx="6556">
                  <c:v>2.0266788454384701E-2</c:v>
                </c:pt>
                <c:pt idx="6557">
                  <c:v>3.2486599194249351E-2</c:v>
                </c:pt>
                <c:pt idx="6558">
                  <c:v>3.4455586655190759E-2</c:v>
                </c:pt>
                <c:pt idx="6559">
                  <c:v>3.1195910945986526E-2</c:v>
                </c:pt>
                <c:pt idx="6560">
                  <c:v>4.1869752153153118E-2</c:v>
                </c:pt>
                <c:pt idx="6561">
                  <c:v>2.8441107506696033E-2</c:v>
                </c:pt>
                <c:pt idx="6562">
                  <c:v>3.0744192929047322E-2</c:v>
                </c:pt>
                <c:pt idx="6563">
                  <c:v>3.8240137061241415E-2</c:v>
                </c:pt>
                <c:pt idx="6564">
                  <c:v>3.7303363977316824E-2</c:v>
                </c:pt>
                <c:pt idx="6565">
                  <c:v>3.0419166881605737E-2</c:v>
                </c:pt>
                <c:pt idx="6566">
                  <c:v>3.1515913593031727E-2</c:v>
                </c:pt>
                <c:pt idx="6567">
                  <c:v>4.2761317651935936E-2</c:v>
                </c:pt>
                <c:pt idx="6568">
                  <c:v>3.4871401085823574E-2</c:v>
                </c:pt>
                <c:pt idx="6569">
                  <c:v>3.942205142300096E-2</c:v>
                </c:pt>
                <c:pt idx="6570">
                  <c:v>3.1050781542034282E-2</c:v>
                </c:pt>
                <c:pt idx="6571">
                  <c:v>3.731492172386023E-2</c:v>
                </c:pt>
                <c:pt idx="6572">
                  <c:v>3.1298967840477226E-2</c:v>
                </c:pt>
                <c:pt idx="6573">
                  <c:v>2.6723609661010332E-2</c:v>
                </c:pt>
                <c:pt idx="6574">
                  <c:v>3.3801989907326954E-2</c:v>
                </c:pt>
                <c:pt idx="6575">
                  <c:v>4.2282865540292792E-2</c:v>
                </c:pt>
                <c:pt idx="6576">
                  <c:v>2.905610677050326E-2</c:v>
                </c:pt>
                <c:pt idx="6577">
                  <c:v>3.5477768097992315E-2</c:v>
                </c:pt>
                <c:pt idx="6578">
                  <c:v>4.2043638787820081E-2</c:v>
                </c:pt>
                <c:pt idx="6579">
                  <c:v>3.8597115519416657E-2</c:v>
                </c:pt>
                <c:pt idx="6580">
                  <c:v>4.2762104793047533E-2</c:v>
                </c:pt>
                <c:pt idx="6581">
                  <c:v>4.4318245080433749E-2</c:v>
                </c:pt>
                <c:pt idx="6582">
                  <c:v>4.7008756157807779E-2</c:v>
                </c:pt>
                <c:pt idx="6583">
                  <c:v>4.2848288114788857E-2</c:v>
                </c:pt>
                <c:pt idx="6584">
                  <c:v>4.0080319382495705E-2</c:v>
                </c:pt>
                <c:pt idx="6585">
                  <c:v>4.4871234161474184E-2</c:v>
                </c:pt>
                <c:pt idx="6586">
                  <c:v>4.0353083240644412E-2</c:v>
                </c:pt>
                <c:pt idx="6587">
                  <c:v>4.4796028262277986E-2</c:v>
                </c:pt>
                <c:pt idx="6588">
                  <c:v>3.8300581665640036E-2</c:v>
                </c:pt>
                <c:pt idx="6589">
                  <c:v>4.0245423343409505E-2</c:v>
                </c:pt>
                <c:pt idx="6590">
                  <c:v>3.9713461043957336E-2</c:v>
                </c:pt>
                <c:pt idx="6591">
                  <c:v>5.020375979559287E-2</c:v>
                </c:pt>
                <c:pt idx="6592">
                  <c:v>4.5824670720774154E-2</c:v>
                </c:pt>
                <c:pt idx="6593">
                  <c:v>4.2100403021885544E-2</c:v>
                </c:pt>
                <c:pt idx="6594">
                  <c:v>4.5316327378793028E-2</c:v>
                </c:pt>
                <c:pt idx="6595">
                  <c:v>5.113167581192668E-2</c:v>
                </c:pt>
                <c:pt idx="6596">
                  <c:v>4.458209028254511E-2</c:v>
                </c:pt>
                <c:pt idx="6597">
                  <c:v>4.3541068353488088E-2</c:v>
                </c:pt>
                <c:pt idx="6598">
                  <c:v>4.3587816962115684E-3</c:v>
                </c:pt>
                <c:pt idx="6599">
                  <c:v>4.1876248886896896E-3</c:v>
                </c:pt>
                <c:pt idx="6600">
                  <c:v>9.5515962484678529E-3</c:v>
                </c:pt>
                <c:pt idx="6601">
                  <c:v>7.6769540689697151E-3</c:v>
                </c:pt>
                <c:pt idx="6602">
                  <c:v>6.6752233930413556E-3</c:v>
                </c:pt>
                <c:pt idx="6603">
                  <c:v>9.2711065678807783E-3</c:v>
                </c:pt>
                <c:pt idx="6604">
                  <c:v>9.5299285030143246E-3</c:v>
                </c:pt>
                <c:pt idx="6605">
                  <c:v>7.5314301116747549E-3</c:v>
                </c:pt>
                <c:pt idx="6606">
                  <c:v>9.7040896018176382E-3</c:v>
                </c:pt>
                <c:pt idx="6607">
                  <c:v>1.0583597402395718E-2</c:v>
                </c:pt>
                <c:pt idx="6608">
                  <c:v>5.7779000810852009E-3</c:v>
                </c:pt>
                <c:pt idx="6609">
                  <c:v>4.6755448266535575E-3</c:v>
                </c:pt>
                <c:pt idx="6610">
                  <c:v>4.0886844135291228E-3</c:v>
                </c:pt>
                <c:pt idx="6611">
                  <c:v>6.99799449429306E-3</c:v>
                </c:pt>
                <c:pt idx="6612">
                  <c:v>4.0168308975251209E-3</c:v>
                </c:pt>
                <c:pt idx="6613">
                  <c:v>3.9479780526816832E-3</c:v>
                </c:pt>
                <c:pt idx="6614">
                  <c:v>6.2708867984700174E-3</c:v>
                </c:pt>
                <c:pt idx="6615">
                  <c:v>1.2618757589295699E-2</c:v>
                </c:pt>
                <c:pt idx="6616">
                  <c:v>5.0139724150247544E-3</c:v>
                </c:pt>
                <c:pt idx="6617">
                  <c:v>7.2269950842454708E-3</c:v>
                </c:pt>
                <c:pt idx="6618">
                  <c:v>7.6116663596123594E-3</c:v>
                </c:pt>
                <c:pt idx="6619">
                  <c:v>5.5129723967676427E-3</c:v>
                </c:pt>
                <c:pt idx="6620">
                  <c:v>5.40403938254971E-3</c:v>
                </c:pt>
                <c:pt idx="6621">
                  <c:v>6.6679529371413207E-3</c:v>
                </c:pt>
                <c:pt idx="6622">
                  <c:v>7.9584748928184148E-3</c:v>
                </c:pt>
                <c:pt idx="6623">
                  <c:v>4.5780046825604319E-3</c:v>
                </c:pt>
                <c:pt idx="6624">
                  <c:v>6.4583404068760354E-3</c:v>
                </c:pt>
                <c:pt idx="6625">
                  <c:v>1.578880744685526E-2</c:v>
                </c:pt>
                <c:pt idx="6626">
                  <c:v>8.2811462161922166E-3</c:v>
                </c:pt>
                <c:pt idx="6627">
                  <c:v>4.8035598740824182E-3</c:v>
                </c:pt>
                <c:pt idx="6628">
                  <c:v>3.8321945979913909E-3</c:v>
                </c:pt>
                <c:pt idx="6629">
                  <c:v>8.5328934842097987E-3</c:v>
                </c:pt>
                <c:pt idx="6630">
                  <c:v>3.983266499296605E-3</c:v>
                </c:pt>
                <c:pt idx="6631">
                  <c:v>3.3941764946994004E-3</c:v>
                </c:pt>
                <c:pt idx="6632">
                  <c:v>6.993293590616438E-3</c:v>
                </c:pt>
                <c:pt idx="6633">
                  <c:v>4.5496408819344844E-3</c:v>
                </c:pt>
                <c:pt idx="6634">
                  <c:v>3.7090601080869536E-3</c:v>
                </c:pt>
                <c:pt idx="6635">
                  <c:v>4.8911725836390304E-3</c:v>
                </c:pt>
                <c:pt idx="6636">
                  <c:v>7.5651482131482359E-3</c:v>
                </c:pt>
                <c:pt idx="6637">
                  <c:v>4.770485775728763E-3</c:v>
                </c:pt>
                <c:pt idx="6638">
                  <c:v>7.9623125522132222E-3</c:v>
                </c:pt>
                <c:pt idx="6639">
                  <c:v>5.0298565701903412E-3</c:v>
                </c:pt>
                <c:pt idx="6640">
                  <c:v>8.1383820042824767E-3</c:v>
                </c:pt>
                <c:pt idx="6641">
                  <c:v>3.6655672075940619E-3</c:v>
                </c:pt>
                <c:pt idx="6642">
                  <c:v>7.6974344651892668E-3</c:v>
                </c:pt>
                <c:pt idx="6643">
                  <c:v>9.9329415194573025E-3</c:v>
                </c:pt>
                <c:pt idx="6644">
                  <c:v>4.034902960643811E-3</c:v>
                </c:pt>
                <c:pt idx="6645">
                  <c:v>1.0593769414530387E-2</c:v>
                </c:pt>
                <c:pt idx="6646">
                  <c:v>7.1035377525712909E-3</c:v>
                </c:pt>
                <c:pt idx="6647">
                  <c:v>2.6804460674032728E-2</c:v>
                </c:pt>
                <c:pt idx="6648">
                  <c:v>3.3311950479975767E-2</c:v>
                </c:pt>
                <c:pt idx="6649">
                  <c:v>7.7648422816758659E-3</c:v>
                </c:pt>
                <c:pt idx="6650">
                  <c:v>3.0918546243997522E-2</c:v>
                </c:pt>
                <c:pt idx="6651">
                  <c:v>2.2474561494472019E-2</c:v>
                </c:pt>
                <c:pt idx="6652">
                  <c:v>1.8799493212976547E-2</c:v>
                </c:pt>
                <c:pt idx="6653">
                  <c:v>1.9883627664066424E-2</c:v>
                </c:pt>
                <c:pt idx="6654">
                  <c:v>1.5289742837124753E-2</c:v>
                </c:pt>
                <c:pt idx="6655">
                  <c:v>9.043606918527335E-3</c:v>
                </c:pt>
                <c:pt idx="6656">
                  <c:v>1.0790381501312167E-2</c:v>
                </c:pt>
                <c:pt idx="6657">
                  <c:v>7.4409331518191782E-3</c:v>
                </c:pt>
                <c:pt idx="6658">
                  <c:v>8.752999495284278E-3</c:v>
                </c:pt>
                <c:pt idx="6659">
                  <c:v>6.1158982942387643E-3</c:v>
                </c:pt>
                <c:pt idx="6660">
                  <c:v>7.1650572112753833E-3</c:v>
                </c:pt>
                <c:pt idx="6661">
                  <c:v>8.2692154822274766E-3</c:v>
                </c:pt>
                <c:pt idx="6662">
                  <c:v>5.9522868873829755E-3</c:v>
                </c:pt>
                <c:pt idx="6663">
                  <c:v>5.1294412763652287E-3</c:v>
                </c:pt>
                <c:pt idx="6664">
                  <c:v>8.5550368528260635E-3</c:v>
                </c:pt>
                <c:pt idx="6665">
                  <c:v>1.2041695468667787E-2</c:v>
                </c:pt>
                <c:pt idx="6666">
                  <c:v>4.6269923390575536E-3</c:v>
                </c:pt>
                <c:pt idx="6667">
                  <c:v>4.6798412455523984E-3</c:v>
                </c:pt>
                <c:pt idx="6668">
                  <c:v>5.1938157871193611E-3</c:v>
                </c:pt>
                <c:pt idx="6669">
                  <c:v>8.8704572415940833E-3</c:v>
                </c:pt>
                <c:pt idx="6670">
                  <c:v>6.0615107652924024E-3</c:v>
                </c:pt>
                <c:pt idx="6671">
                  <c:v>9.1805462188735473E-3</c:v>
                </c:pt>
                <c:pt idx="6672">
                  <c:v>1.5333344806605847E-2</c:v>
                </c:pt>
                <c:pt idx="6673">
                  <c:v>1.6764745343278983E-2</c:v>
                </c:pt>
                <c:pt idx="6674">
                  <c:v>1.0462786541826833E-2</c:v>
                </c:pt>
                <c:pt idx="6675">
                  <c:v>1.4330230722894495E-2</c:v>
                </c:pt>
                <c:pt idx="6676">
                  <c:v>2.3491564506122879E-2</c:v>
                </c:pt>
                <c:pt idx="6677">
                  <c:v>1.9060181793988978E-2</c:v>
                </c:pt>
                <c:pt idx="6678">
                  <c:v>2.3803314223364284E-2</c:v>
                </c:pt>
                <c:pt idx="6679">
                  <c:v>2.0228653395828588E-2</c:v>
                </c:pt>
                <c:pt idx="6680">
                  <c:v>1.5246975114582799E-2</c:v>
                </c:pt>
                <c:pt idx="6681">
                  <c:v>1.5880931305852289E-2</c:v>
                </c:pt>
                <c:pt idx="6682">
                  <c:v>1.6138774198266956E-2</c:v>
                </c:pt>
                <c:pt idx="6683">
                  <c:v>1.437602990040274E-2</c:v>
                </c:pt>
                <c:pt idx="6684">
                  <c:v>1.8297216316145174E-2</c:v>
                </c:pt>
                <c:pt idx="6685">
                  <c:v>1.3486494277071538E-2</c:v>
                </c:pt>
                <c:pt idx="6686">
                  <c:v>1.3564796052558614E-2</c:v>
                </c:pt>
                <c:pt idx="6687">
                  <c:v>1.095599200548689E-2</c:v>
                </c:pt>
                <c:pt idx="6688">
                  <c:v>7.8957883218482988E-3</c:v>
                </c:pt>
                <c:pt idx="6689">
                  <c:v>9.0984728783856383E-3</c:v>
                </c:pt>
                <c:pt idx="6690">
                  <c:v>1.3686430486778834E-2</c:v>
                </c:pt>
                <c:pt idx="6691">
                  <c:v>9.7550503724855298E-3</c:v>
                </c:pt>
                <c:pt idx="6692">
                  <c:v>1.6427828242069828E-2</c:v>
                </c:pt>
                <c:pt idx="6693">
                  <c:v>6.9774810866301959E-3</c:v>
                </c:pt>
                <c:pt idx="6694">
                  <c:v>7.9256401983987517E-3</c:v>
                </c:pt>
                <c:pt idx="6695">
                  <c:v>9.5639166412243987E-3</c:v>
                </c:pt>
                <c:pt idx="6696">
                  <c:v>8.6959614506277282E-3</c:v>
                </c:pt>
                <c:pt idx="6697">
                  <c:v>6.1133289579663654E-3</c:v>
                </c:pt>
                <c:pt idx="6698">
                  <c:v>1.2137151489419313E-2</c:v>
                </c:pt>
                <c:pt idx="6699">
                  <c:v>8.3953238054450853E-3</c:v>
                </c:pt>
                <c:pt idx="6700">
                  <c:v>5.6690335060880573E-3</c:v>
                </c:pt>
                <c:pt idx="6701">
                  <c:v>9.9898173471611625E-3</c:v>
                </c:pt>
                <c:pt idx="6702">
                  <c:v>8.2278814763468138E-3</c:v>
                </c:pt>
                <c:pt idx="6703">
                  <c:v>7.7388189848362357E-3</c:v>
                </c:pt>
                <c:pt idx="6704">
                  <c:v>6.0508037564164369E-3</c:v>
                </c:pt>
                <c:pt idx="6705">
                  <c:v>5.3885978467220321E-3</c:v>
                </c:pt>
                <c:pt idx="6706">
                  <c:v>5.3958897515021609E-3</c:v>
                </c:pt>
                <c:pt idx="6707">
                  <c:v>7.6931677956221193E-3</c:v>
                </c:pt>
                <c:pt idx="6708">
                  <c:v>8.913857501018644E-3</c:v>
                </c:pt>
                <c:pt idx="6709">
                  <c:v>1.169771086725311E-2</c:v>
                </c:pt>
                <c:pt idx="6710">
                  <c:v>7.9030382519489316E-3</c:v>
                </c:pt>
                <c:pt idx="6711">
                  <c:v>1.0958109377970775E-2</c:v>
                </c:pt>
                <c:pt idx="6712">
                  <c:v>1.9625508576355651E-2</c:v>
                </c:pt>
                <c:pt idx="6713">
                  <c:v>1.8014404033093914E-2</c:v>
                </c:pt>
                <c:pt idx="6714">
                  <c:v>1.9693580592605051E-2</c:v>
                </c:pt>
                <c:pt idx="6715">
                  <c:v>1.4878243339498172E-2</c:v>
                </c:pt>
                <c:pt idx="6716">
                  <c:v>1.5398320388338079E-2</c:v>
                </c:pt>
                <c:pt idx="6717">
                  <c:v>1.0715814980421552E-2</c:v>
                </c:pt>
                <c:pt idx="6718">
                  <c:v>5.9492881974354626E-3</c:v>
                </c:pt>
                <c:pt idx="6719">
                  <c:v>1.2543660500067966E-2</c:v>
                </c:pt>
                <c:pt idx="6720">
                  <c:v>1.013791421391831E-2</c:v>
                </c:pt>
                <c:pt idx="6721">
                  <c:v>7.0650836650970961E-3</c:v>
                </c:pt>
                <c:pt idx="6722">
                  <c:v>9.178845374385923E-3</c:v>
                </c:pt>
                <c:pt idx="6723">
                  <c:v>9.9431287824470454E-3</c:v>
                </c:pt>
                <c:pt idx="6724">
                  <c:v>8.6286980115926979E-3</c:v>
                </c:pt>
                <c:pt idx="6725">
                  <c:v>3.9475476880742287E-3</c:v>
                </c:pt>
                <c:pt idx="6726">
                  <c:v>6.875326985385369E-3</c:v>
                </c:pt>
                <c:pt idx="6727">
                  <c:v>9.6539723455017473E-3</c:v>
                </c:pt>
                <c:pt idx="6728">
                  <c:v>1.2062815864819564E-2</c:v>
                </c:pt>
                <c:pt idx="6729">
                  <c:v>5.36757931847575E-3</c:v>
                </c:pt>
                <c:pt idx="6730">
                  <c:v>7.6005707404810377E-3</c:v>
                </c:pt>
                <c:pt idx="6731">
                  <c:v>9.5817593490379032E-3</c:v>
                </c:pt>
                <c:pt idx="6732">
                  <c:v>1.5308190358454078E-2</c:v>
                </c:pt>
                <c:pt idx="6733">
                  <c:v>7.816884197807546E-3</c:v>
                </c:pt>
                <c:pt idx="6734">
                  <c:v>1.7474091505595309E-2</c:v>
                </c:pt>
                <c:pt idx="6735">
                  <c:v>1.0272388244005275E-2</c:v>
                </c:pt>
                <c:pt idx="6736">
                  <c:v>8.4332343513933618E-3</c:v>
                </c:pt>
                <c:pt idx="6737">
                  <c:v>4.9465656175280088E-3</c:v>
                </c:pt>
                <c:pt idx="6738">
                  <c:v>1.0872135755508617E-2</c:v>
                </c:pt>
                <c:pt idx="6739">
                  <c:v>6.1373088387327449E-3</c:v>
                </c:pt>
                <c:pt idx="6740">
                  <c:v>5.6883228806733433E-3</c:v>
                </c:pt>
                <c:pt idx="6741">
                  <c:v>4.746918529249073E-2</c:v>
                </c:pt>
                <c:pt idx="6742">
                  <c:v>5.3903203691410842E-2</c:v>
                </c:pt>
                <c:pt idx="6743">
                  <c:v>5.9597493725137986E-2</c:v>
                </c:pt>
                <c:pt idx="6744">
                  <c:v>5.796567136668633E-2</c:v>
                </c:pt>
                <c:pt idx="6745">
                  <c:v>4.6301971533894905E-2</c:v>
                </c:pt>
                <c:pt idx="6746">
                  <c:v>4.5286981716186024E-2</c:v>
                </c:pt>
                <c:pt idx="6747">
                  <c:v>4.5635871078219981E-2</c:v>
                </c:pt>
                <c:pt idx="6748">
                  <c:v>4.8325639491916129E-2</c:v>
                </c:pt>
                <c:pt idx="6749">
                  <c:v>4.7817882745586467E-2</c:v>
                </c:pt>
                <c:pt idx="6750">
                  <c:v>4.7105790705106815E-2</c:v>
                </c:pt>
                <c:pt idx="6751">
                  <c:v>5.1317330055891244E-2</c:v>
                </c:pt>
                <c:pt idx="6752">
                  <c:v>4.084275720418698E-2</c:v>
                </c:pt>
                <c:pt idx="6753">
                  <c:v>3.9296704980039024E-2</c:v>
                </c:pt>
                <c:pt idx="6754">
                  <c:v>4.7144364683072058E-2</c:v>
                </c:pt>
                <c:pt idx="6755">
                  <c:v>4.4821881759084602E-2</c:v>
                </c:pt>
                <c:pt idx="6756">
                  <c:v>4.2766827609757259E-2</c:v>
                </c:pt>
                <c:pt idx="6757">
                  <c:v>3.8743320413317059E-2</c:v>
                </c:pt>
                <c:pt idx="6758">
                  <c:v>4.8398294231499564E-2</c:v>
                </c:pt>
                <c:pt idx="6759">
                  <c:v>3.2959455689880901E-2</c:v>
                </c:pt>
                <c:pt idx="6760">
                  <c:v>3.9718217130168515E-2</c:v>
                </c:pt>
                <c:pt idx="6761">
                  <c:v>1.5350952053465643E-2</c:v>
                </c:pt>
                <c:pt idx="6762">
                  <c:v>4.1902484435240583E-2</c:v>
                </c:pt>
                <c:pt idx="6763">
                  <c:v>4.5235328533409815E-2</c:v>
                </c:pt>
                <c:pt idx="6764">
                  <c:v>4.3333586125704475E-2</c:v>
                </c:pt>
                <c:pt idx="6765">
                  <c:v>5.068941421046376E-2</c:v>
                </c:pt>
                <c:pt idx="6766">
                  <c:v>4.4066403747748041E-2</c:v>
                </c:pt>
                <c:pt idx="6767">
                  <c:v>3.5219945300973984E-2</c:v>
                </c:pt>
                <c:pt idx="6768">
                  <c:v>3.7092879483235593E-2</c:v>
                </c:pt>
                <c:pt idx="6769">
                  <c:v>4.5090118877877235E-2</c:v>
                </c:pt>
                <c:pt idx="6770">
                  <c:v>4.4925280358504599E-2</c:v>
                </c:pt>
                <c:pt idx="6771">
                  <c:v>5.1912355258289619E-2</c:v>
                </c:pt>
                <c:pt idx="6772">
                  <c:v>4.4625983588964128E-2</c:v>
                </c:pt>
                <c:pt idx="6773">
                  <c:v>4.2791621554907469E-2</c:v>
                </c:pt>
                <c:pt idx="6774">
                  <c:v>4.896202370052475E-2</c:v>
                </c:pt>
                <c:pt idx="6775">
                  <c:v>4.7359381046186692E-2</c:v>
                </c:pt>
                <c:pt idx="6776">
                  <c:v>4.281169180714782E-2</c:v>
                </c:pt>
                <c:pt idx="6777">
                  <c:v>4.0485642403832102E-2</c:v>
                </c:pt>
                <c:pt idx="6778">
                  <c:v>4.4922539046666134E-2</c:v>
                </c:pt>
                <c:pt idx="6779">
                  <c:v>3.592539151565069E-2</c:v>
                </c:pt>
                <c:pt idx="6780">
                  <c:v>3.6543065821178777E-2</c:v>
                </c:pt>
                <c:pt idx="6781">
                  <c:v>3.8922036704624033E-2</c:v>
                </c:pt>
                <c:pt idx="6782">
                  <c:v>3.1594665963000743E-2</c:v>
                </c:pt>
                <c:pt idx="6783">
                  <c:v>3.0722747896463707E-2</c:v>
                </c:pt>
                <c:pt idx="6784">
                  <c:v>2.8779810350270534E-2</c:v>
                </c:pt>
                <c:pt idx="6785">
                  <c:v>3.3926120472870649E-2</c:v>
                </c:pt>
                <c:pt idx="6786">
                  <c:v>3.0181821148869453E-2</c:v>
                </c:pt>
                <c:pt idx="6787">
                  <c:v>2.6493224239919008E-2</c:v>
                </c:pt>
                <c:pt idx="6788">
                  <c:v>2.6236551905416808E-2</c:v>
                </c:pt>
                <c:pt idx="6789">
                  <c:v>3.4977596481002196E-2</c:v>
                </c:pt>
                <c:pt idx="6790">
                  <c:v>2.461495163167203E-2</c:v>
                </c:pt>
                <c:pt idx="6791">
                  <c:v>3.2360847113258928E-2</c:v>
                </c:pt>
                <c:pt idx="6792">
                  <c:v>2.9958938317415432E-2</c:v>
                </c:pt>
                <c:pt idx="6793">
                  <c:v>3.5028080278707095E-2</c:v>
                </c:pt>
                <c:pt idx="6794">
                  <c:v>3.4676174265393184E-2</c:v>
                </c:pt>
                <c:pt idx="6795">
                  <c:v>3.5065338365529004E-2</c:v>
                </c:pt>
                <c:pt idx="6796">
                  <c:v>2.8380902165563972E-2</c:v>
                </c:pt>
                <c:pt idx="6797">
                  <c:v>1.9288727223844528E-2</c:v>
                </c:pt>
                <c:pt idx="6798">
                  <c:v>1.9036489297148934E-2</c:v>
                </c:pt>
                <c:pt idx="6799">
                  <c:v>1.646128083175092E-2</c:v>
                </c:pt>
                <c:pt idx="6800">
                  <c:v>1.6719615285838797E-2</c:v>
                </c:pt>
                <c:pt idx="6801">
                  <c:v>2.2221691876173198E-2</c:v>
                </c:pt>
                <c:pt idx="6802">
                  <c:v>2.1905500897390764E-2</c:v>
                </c:pt>
                <c:pt idx="6803">
                  <c:v>1.6149653811215855E-2</c:v>
                </c:pt>
                <c:pt idx="6804">
                  <c:v>1.2512436540031703E-2</c:v>
                </c:pt>
                <c:pt idx="6805">
                  <c:v>1.3771007364620044E-2</c:v>
                </c:pt>
                <c:pt idx="6806">
                  <c:v>1.4744768341279057E-2</c:v>
                </c:pt>
                <c:pt idx="6807">
                  <c:v>1.4262993822980626E-2</c:v>
                </c:pt>
                <c:pt idx="6808">
                  <c:v>1.4440308672573034E-2</c:v>
                </c:pt>
                <c:pt idx="6809">
                  <c:v>1.9520058901950587E-2</c:v>
                </c:pt>
                <c:pt idx="6810">
                  <c:v>3.092946627997438E-2</c:v>
                </c:pt>
                <c:pt idx="6811">
                  <c:v>2.2907768872082492E-2</c:v>
                </c:pt>
                <c:pt idx="6812">
                  <c:v>1.5210493434589772E-2</c:v>
                </c:pt>
                <c:pt idx="6813">
                  <c:v>1.8731696861860644E-2</c:v>
                </c:pt>
                <c:pt idx="6814">
                  <c:v>1.9197738998981369E-2</c:v>
                </c:pt>
                <c:pt idx="6815">
                  <c:v>1.8989100425555537E-2</c:v>
                </c:pt>
                <c:pt idx="6816">
                  <c:v>1.9136654017129884E-2</c:v>
                </c:pt>
                <c:pt idx="6817">
                  <c:v>2.0251451931212007E-2</c:v>
                </c:pt>
                <c:pt idx="6818">
                  <c:v>1.6108644616845053E-2</c:v>
                </c:pt>
                <c:pt idx="6819">
                  <c:v>2.1851403402504847E-2</c:v>
                </c:pt>
                <c:pt idx="6820">
                  <c:v>2.5200966382728118E-2</c:v>
                </c:pt>
                <c:pt idx="6821">
                  <c:v>2.6797927817817382E-2</c:v>
                </c:pt>
                <c:pt idx="6822">
                  <c:v>2.5648658699838883E-2</c:v>
                </c:pt>
                <c:pt idx="6823">
                  <c:v>2.2814651322358874E-2</c:v>
                </c:pt>
                <c:pt idx="6824">
                  <c:v>2.5489786901450897E-2</c:v>
                </c:pt>
                <c:pt idx="6825">
                  <c:v>1.8371325160732917E-2</c:v>
                </c:pt>
                <c:pt idx="6826">
                  <c:v>3.4594369386457623E-2</c:v>
                </c:pt>
                <c:pt idx="6827">
                  <c:v>2.4587866756549084E-2</c:v>
                </c:pt>
                <c:pt idx="6828">
                  <c:v>2.2805173638135352E-2</c:v>
                </c:pt>
                <c:pt idx="6829">
                  <c:v>3.1403212286598439E-2</c:v>
                </c:pt>
                <c:pt idx="6830">
                  <c:v>2.6887745977924583E-2</c:v>
                </c:pt>
                <c:pt idx="6831">
                  <c:v>3.4607202543345664E-2</c:v>
                </c:pt>
                <c:pt idx="6832">
                  <c:v>2.7235819948891873E-2</c:v>
                </c:pt>
                <c:pt idx="6833">
                  <c:v>3.4346454635288189E-2</c:v>
                </c:pt>
                <c:pt idx="6834">
                  <c:v>1.9071819740099558E-2</c:v>
                </c:pt>
                <c:pt idx="6835">
                  <c:v>2.928148320011547E-2</c:v>
                </c:pt>
                <c:pt idx="6836">
                  <c:v>2.8944796709390513E-2</c:v>
                </c:pt>
                <c:pt idx="6837">
                  <c:v>2.908616371959151E-2</c:v>
                </c:pt>
                <c:pt idx="6838">
                  <c:v>3.4509340142650412E-2</c:v>
                </c:pt>
                <c:pt idx="6839">
                  <c:v>2.6900400680192178E-2</c:v>
                </c:pt>
                <c:pt idx="6840">
                  <c:v>2.2655151438007826E-2</c:v>
                </c:pt>
                <c:pt idx="6841">
                  <c:v>3.053009974921481E-2</c:v>
                </c:pt>
                <c:pt idx="6842">
                  <c:v>2.8292206121555259E-2</c:v>
                </c:pt>
                <c:pt idx="6843">
                  <c:v>3.3490100964867743E-2</c:v>
                </c:pt>
                <c:pt idx="6844">
                  <c:v>3.0648288996576338E-2</c:v>
                </c:pt>
                <c:pt idx="6845">
                  <c:v>2.0372056995478362E-2</c:v>
                </c:pt>
                <c:pt idx="6846">
                  <c:v>3.3445067563593618E-2</c:v>
                </c:pt>
                <c:pt idx="6847">
                  <c:v>3.0304965501538099E-2</c:v>
                </c:pt>
                <c:pt idx="6848">
                  <c:v>2.3284567422716299E-2</c:v>
                </c:pt>
                <c:pt idx="6849">
                  <c:v>3.0804880678612766E-2</c:v>
                </c:pt>
                <c:pt idx="6850">
                  <c:v>2.7131794240097984E-2</c:v>
                </c:pt>
                <c:pt idx="6851">
                  <c:v>2.5562269131900409E-2</c:v>
                </c:pt>
                <c:pt idx="6852">
                  <c:v>2.7653711311018171E-2</c:v>
                </c:pt>
                <c:pt idx="6853">
                  <c:v>4.155926436313219E-2</c:v>
                </c:pt>
                <c:pt idx="6854">
                  <c:v>4.1546635003221491E-2</c:v>
                </c:pt>
                <c:pt idx="6855">
                  <c:v>2.7372851082775384E-2</c:v>
                </c:pt>
                <c:pt idx="6856">
                  <c:v>2.240032467232304E-2</c:v>
                </c:pt>
                <c:pt idx="6857">
                  <c:v>2.8735911797227801E-2</c:v>
                </c:pt>
                <c:pt idx="6858">
                  <c:v>2.7833382875979158E-2</c:v>
                </c:pt>
                <c:pt idx="6859">
                  <c:v>2.7542448794863662E-2</c:v>
                </c:pt>
                <c:pt idx="6860">
                  <c:v>3.0163994731114831E-2</c:v>
                </c:pt>
                <c:pt idx="6861">
                  <c:v>1.9260061757765765E-2</c:v>
                </c:pt>
                <c:pt idx="6862">
                  <c:v>2.3719846461523114E-2</c:v>
                </c:pt>
                <c:pt idx="6863">
                  <c:v>3.9611192590261593E-2</c:v>
                </c:pt>
                <c:pt idx="6864">
                  <c:v>3.4226859389143403E-2</c:v>
                </c:pt>
                <c:pt idx="6865">
                  <c:v>3.2977972809355618E-2</c:v>
                </c:pt>
                <c:pt idx="6866">
                  <c:v>2.7446242837085966E-2</c:v>
                </c:pt>
                <c:pt idx="6867">
                  <c:v>1.4763658804669566E-2</c:v>
                </c:pt>
                <c:pt idx="6868">
                  <c:v>1.91204463552446E-2</c:v>
                </c:pt>
                <c:pt idx="6869">
                  <c:v>3.0124287807027382E-2</c:v>
                </c:pt>
                <c:pt idx="6870">
                  <c:v>3.1870792201381587E-2</c:v>
                </c:pt>
                <c:pt idx="6871">
                  <c:v>3.5170284824611001E-2</c:v>
                </c:pt>
                <c:pt idx="6872">
                  <c:v>3.7711285788359819E-2</c:v>
                </c:pt>
                <c:pt idx="6873">
                  <c:v>3.6291467587433228E-2</c:v>
                </c:pt>
                <c:pt idx="6874">
                  <c:v>3.657580280993699E-2</c:v>
                </c:pt>
                <c:pt idx="6875">
                  <c:v>3.1479561528298824E-2</c:v>
                </c:pt>
                <c:pt idx="6876">
                  <c:v>4.0409673146347851E-2</c:v>
                </c:pt>
                <c:pt idx="6877">
                  <c:v>2.9970693178291864E-2</c:v>
                </c:pt>
                <c:pt idx="6878">
                  <c:v>4.3105948995171631E-2</c:v>
                </c:pt>
                <c:pt idx="6879">
                  <c:v>3.9111395713022745E-2</c:v>
                </c:pt>
                <c:pt idx="6880">
                  <c:v>3.5596219178684087E-2</c:v>
                </c:pt>
                <c:pt idx="6881">
                  <c:v>3.4453179626989801E-2</c:v>
                </c:pt>
                <c:pt idx="6882">
                  <c:v>3.3679431406880705E-2</c:v>
                </c:pt>
                <c:pt idx="6883">
                  <c:v>3.52940249735322E-2</c:v>
                </c:pt>
                <c:pt idx="6884">
                  <c:v>4.1469272158923647E-2</c:v>
                </c:pt>
                <c:pt idx="6885">
                  <c:v>0.15993426352278961</c:v>
                </c:pt>
                <c:pt idx="6886">
                  <c:v>5.255177270778854E-3</c:v>
                </c:pt>
                <c:pt idx="6887">
                  <c:v>1.069759507736725E-2</c:v>
                </c:pt>
                <c:pt idx="6888">
                  <c:v>1.2934192258554796E-2</c:v>
                </c:pt>
                <c:pt idx="6889">
                  <c:v>1.739231902418438E-2</c:v>
                </c:pt>
                <c:pt idx="6890">
                  <c:v>9.32764406474214E-3</c:v>
                </c:pt>
                <c:pt idx="6891">
                  <c:v>8.8372658812468433E-3</c:v>
                </c:pt>
                <c:pt idx="6892">
                  <c:v>1.0773859342288307E-2</c:v>
                </c:pt>
                <c:pt idx="6893">
                  <c:v>8.6057068523947722E-3</c:v>
                </c:pt>
                <c:pt idx="6894">
                  <c:v>9.9842998692267759E-3</c:v>
                </c:pt>
                <c:pt idx="6895">
                  <c:v>1.3712520633725729E-2</c:v>
                </c:pt>
                <c:pt idx="6896">
                  <c:v>1.1259517868905807E-2</c:v>
                </c:pt>
                <c:pt idx="6897">
                  <c:v>8.1132335952698292E-3</c:v>
                </c:pt>
                <c:pt idx="6898">
                  <c:v>8.0147571655283887E-3</c:v>
                </c:pt>
                <c:pt idx="6899">
                  <c:v>1.4571777443894499E-2</c:v>
                </c:pt>
                <c:pt idx="6900">
                  <c:v>9.284710247058351E-3</c:v>
                </c:pt>
                <c:pt idx="6901">
                  <c:v>7.270132797667965E-3</c:v>
                </c:pt>
                <c:pt idx="6902">
                  <c:v>1.1331452454663441E-2</c:v>
                </c:pt>
                <c:pt idx="6903">
                  <c:v>1.0112457029072812E-2</c:v>
                </c:pt>
                <c:pt idx="6904">
                  <c:v>7.8578308299302301E-3</c:v>
                </c:pt>
                <c:pt idx="6905">
                  <c:v>3.9174211057218808E-3</c:v>
                </c:pt>
                <c:pt idx="6906">
                  <c:v>4.3974761474290455E-3</c:v>
                </c:pt>
                <c:pt idx="6907">
                  <c:v>6.9449995427756823E-3</c:v>
                </c:pt>
                <c:pt idx="6908">
                  <c:v>7.0975562292549151E-3</c:v>
                </c:pt>
                <c:pt idx="6909">
                  <c:v>9.2974633092984919E-3</c:v>
                </c:pt>
                <c:pt idx="6910">
                  <c:v>6.9467091582821527E-3</c:v>
                </c:pt>
                <c:pt idx="6911">
                  <c:v>6.5143895840901475E-3</c:v>
                </c:pt>
                <c:pt idx="6912">
                  <c:v>8.6103903353913804E-3</c:v>
                </c:pt>
                <c:pt idx="6913">
                  <c:v>9.3089407451311945E-3</c:v>
                </c:pt>
                <c:pt idx="6914">
                  <c:v>9.5719884331792009E-3</c:v>
                </c:pt>
                <c:pt idx="6915">
                  <c:v>1.0531462100498852E-2</c:v>
                </c:pt>
                <c:pt idx="6916">
                  <c:v>1.1578478182310132E-2</c:v>
                </c:pt>
                <c:pt idx="6917">
                  <c:v>9.0031973219912558E-3</c:v>
                </c:pt>
                <c:pt idx="6918">
                  <c:v>6.991584158481846E-3</c:v>
                </c:pt>
                <c:pt idx="6919">
                  <c:v>9.1877747336344146E-3</c:v>
                </c:pt>
                <c:pt idx="6920">
                  <c:v>1.2121947510367905E-2</c:v>
                </c:pt>
                <c:pt idx="6921">
                  <c:v>8.6776566097556754E-3</c:v>
                </c:pt>
                <c:pt idx="6922">
                  <c:v>1.0624707820414419E-2</c:v>
                </c:pt>
                <c:pt idx="6923">
                  <c:v>6.3706153428729814E-3</c:v>
                </c:pt>
                <c:pt idx="6924">
                  <c:v>1.0085301053698573E-2</c:v>
                </c:pt>
                <c:pt idx="6925">
                  <c:v>6.4562009819817056E-3</c:v>
                </c:pt>
                <c:pt idx="6926">
                  <c:v>4.2929932159351796E-3</c:v>
                </c:pt>
                <c:pt idx="6927">
                  <c:v>8.5963397348771328E-3</c:v>
                </c:pt>
                <c:pt idx="6928">
                  <c:v>3.801629503138281E-3</c:v>
                </c:pt>
                <c:pt idx="6929">
                  <c:v>3.3614258312394223E-3</c:v>
                </c:pt>
                <c:pt idx="6930">
                  <c:v>5.5738600504991213E-3</c:v>
                </c:pt>
                <c:pt idx="6931">
                  <c:v>6.6294602602705588E-3</c:v>
                </c:pt>
                <c:pt idx="6932">
                  <c:v>4.3024536109093955E-3</c:v>
                </c:pt>
                <c:pt idx="6933">
                  <c:v>3.7620208282461019E-3</c:v>
                </c:pt>
                <c:pt idx="6934">
                  <c:v>2.2125125316517016E-2</c:v>
                </c:pt>
                <c:pt idx="6935">
                  <c:v>2.2534354151860607E-2</c:v>
                </c:pt>
                <c:pt idx="6936">
                  <c:v>2.1016374082170053E-2</c:v>
                </c:pt>
                <c:pt idx="6937">
                  <c:v>1.3491546430568038E-2</c:v>
                </c:pt>
                <c:pt idx="6938">
                  <c:v>1.3561428524786871E-2</c:v>
                </c:pt>
                <c:pt idx="6939">
                  <c:v>1.2856619947968606E-2</c:v>
                </c:pt>
                <c:pt idx="6940">
                  <c:v>1.4213820249971627E-2</c:v>
                </c:pt>
                <c:pt idx="6941">
                  <c:v>1.7129374574922675E-2</c:v>
                </c:pt>
                <c:pt idx="6942">
                  <c:v>1.3077495951476838E-2</c:v>
                </c:pt>
                <c:pt idx="6943">
                  <c:v>8.9274723749617584E-3</c:v>
                </c:pt>
                <c:pt idx="6944">
                  <c:v>1.2736439826110281E-2</c:v>
                </c:pt>
                <c:pt idx="6945">
                  <c:v>1.3659917925428866E-2</c:v>
                </c:pt>
                <c:pt idx="6946">
                  <c:v>1.9241781342117955E-2</c:v>
                </c:pt>
                <c:pt idx="6947">
                  <c:v>1.042759670833099E-2</c:v>
                </c:pt>
                <c:pt idx="6948">
                  <c:v>6.5370639136243013E-3</c:v>
                </c:pt>
                <c:pt idx="6949">
                  <c:v>7.9149790494661802E-3</c:v>
                </c:pt>
                <c:pt idx="6950">
                  <c:v>4.3961863879310214E-3</c:v>
                </c:pt>
                <c:pt idx="6951">
                  <c:v>8.3731722918359321E-3</c:v>
                </c:pt>
                <c:pt idx="6952">
                  <c:v>7.0787566196245872E-3</c:v>
                </c:pt>
                <c:pt idx="6953">
                  <c:v>8.4536791149307268E-3</c:v>
                </c:pt>
                <c:pt idx="6954">
                  <c:v>1.1122386008550889E-2</c:v>
                </c:pt>
                <c:pt idx="6955">
                  <c:v>7.1043922491771001E-3</c:v>
                </c:pt>
                <c:pt idx="6956">
                  <c:v>1.0865782349472478E-2</c:v>
                </c:pt>
                <c:pt idx="6957">
                  <c:v>8.1613979158970257E-3</c:v>
                </c:pt>
                <c:pt idx="6958">
                  <c:v>4.8044189080117573E-3</c:v>
                </c:pt>
                <c:pt idx="6959">
                  <c:v>4.7133518543086622E-3</c:v>
                </c:pt>
                <c:pt idx="6960">
                  <c:v>4.9564411527872106E-3</c:v>
                </c:pt>
                <c:pt idx="6961">
                  <c:v>7.6073988473401863E-3</c:v>
                </c:pt>
                <c:pt idx="6962">
                  <c:v>5.1393126540897937E-3</c:v>
                </c:pt>
                <c:pt idx="6963">
                  <c:v>7.6543391761279824E-3</c:v>
                </c:pt>
                <c:pt idx="6964">
                  <c:v>1.2632678656595954E-2</c:v>
                </c:pt>
                <c:pt idx="6965">
                  <c:v>1.6503511046409357E-2</c:v>
                </c:pt>
                <c:pt idx="6966">
                  <c:v>1.6003174617965386E-2</c:v>
                </c:pt>
                <c:pt idx="6967">
                  <c:v>1.3519332224302584E-2</c:v>
                </c:pt>
                <c:pt idx="6968">
                  <c:v>9.1537571444354499E-3</c:v>
                </c:pt>
                <c:pt idx="6969">
                  <c:v>1.1734911529572869E-2</c:v>
                </c:pt>
                <c:pt idx="6970">
                  <c:v>1.179281985581393E-2</c:v>
                </c:pt>
                <c:pt idx="6971">
                  <c:v>1.6997425000915192E-2</c:v>
                </c:pt>
                <c:pt idx="6972">
                  <c:v>1.7184063437082082E-2</c:v>
                </c:pt>
                <c:pt idx="6973">
                  <c:v>9.1375978560956778E-3</c:v>
                </c:pt>
                <c:pt idx="6974">
                  <c:v>1.2791262954213843E-2</c:v>
                </c:pt>
                <c:pt idx="6975">
                  <c:v>1.3400598674329049E-2</c:v>
                </c:pt>
                <c:pt idx="6976">
                  <c:v>1.0461514669800807E-2</c:v>
                </c:pt>
                <c:pt idx="6977">
                  <c:v>9.2332690943654067E-3</c:v>
                </c:pt>
                <c:pt idx="6978">
                  <c:v>1.7212031414899628E-2</c:v>
                </c:pt>
                <c:pt idx="6979">
                  <c:v>1.0939052653974057E-2</c:v>
                </c:pt>
                <c:pt idx="6980">
                  <c:v>1.5298547433688137E-2</c:v>
                </c:pt>
                <c:pt idx="6981">
                  <c:v>1.508047632151995E-2</c:v>
                </c:pt>
                <c:pt idx="6982">
                  <c:v>2.026761744020876E-2</c:v>
                </c:pt>
                <c:pt idx="6983">
                  <c:v>1.9915985473079371E-2</c:v>
                </c:pt>
                <c:pt idx="6984">
                  <c:v>1.6065120419789452E-2</c:v>
                </c:pt>
                <c:pt idx="6985">
                  <c:v>1.5943313185588188E-2</c:v>
                </c:pt>
                <c:pt idx="6986">
                  <c:v>2.1000236420243078E-2</c:v>
                </c:pt>
                <c:pt idx="6987">
                  <c:v>2.0282953392539129E-2</c:v>
                </c:pt>
                <c:pt idx="6988">
                  <c:v>1.302692357674274E-2</c:v>
                </c:pt>
                <c:pt idx="6989">
                  <c:v>1.5586485128960204E-2</c:v>
                </c:pt>
                <c:pt idx="6990">
                  <c:v>7.8386375768086693E-3</c:v>
                </c:pt>
                <c:pt idx="6991">
                  <c:v>1.3112050354190196E-2</c:v>
                </c:pt>
                <c:pt idx="6992">
                  <c:v>1.086366452680565E-2</c:v>
                </c:pt>
                <c:pt idx="6993">
                  <c:v>9.6841283368187224E-3</c:v>
                </c:pt>
                <c:pt idx="6994">
                  <c:v>7.4251369381258397E-3</c:v>
                </c:pt>
                <c:pt idx="6995">
                  <c:v>1.0277902063168613E-2</c:v>
                </c:pt>
                <c:pt idx="6996">
                  <c:v>1.0584445079173443E-2</c:v>
                </c:pt>
                <c:pt idx="6997">
                  <c:v>1.0536972631452451E-2</c:v>
                </c:pt>
                <c:pt idx="6998">
                  <c:v>1.9599771254072629E-2</c:v>
                </c:pt>
                <c:pt idx="6999">
                  <c:v>2.1840665693637601E-2</c:v>
                </c:pt>
                <c:pt idx="7000">
                  <c:v>1.0011886557959421E-2</c:v>
                </c:pt>
                <c:pt idx="7001">
                  <c:v>1.0861546693811281E-2</c:v>
                </c:pt>
                <c:pt idx="7002">
                  <c:v>1.0130701496380522E-2</c:v>
                </c:pt>
                <c:pt idx="7003">
                  <c:v>1.7968153577933785E-2</c:v>
                </c:pt>
                <c:pt idx="7004">
                  <c:v>7.7840387963188894E-3</c:v>
                </c:pt>
                <c:pt idx="7005">
                  <c:v>9.1465280634498401E-3</c:v>
                </c:pt>
                <c:pt idx="7006">
                  <c:v>8.3152322216314186E-3</c:v>
                </c:pt>
                <c:pt idx="7007">
                  <c:v>6.7919616930086678E-3</c:v>
                </c:pt>
                <c:pt idx="7008">
                  <c:v>1.4574717185128396E-2</c:v>
                </c:pt>
                <c:pt idx="7009">
                  <c:v>1.1655010724778009E-2</c:v>
                </c:pt>
                <c:pt idx="7010">
                  <c:v>8.1967718464345356E-3</c:v>
                </c:pt>
                <c:pt idx="7011">
                  <c:v>1.3474705690350978E-2</c:v>
                </c:pt>
                <c:pt idx="7012">
                  <c:v>6.445503699418517E-3</c:v>
                </c:pt>
                <c:pt idx="7013">
                  <c:v>3.9156995236066935E-3</c:v>
                </c:pt>
                <c:pt idx="7014">
                  <c:v>1.0907289588964109E-2</c:v>
                </c:pt>
                <c:pt idx="7015">
                  <c:v>7.2953300735732621E-3</c:v>
                </c:pt>
                <c:pt idx="7016">
                  <c:v>8.4366418788207036E-3</c:v>
                </c:pt>
                <c:pt idx="7017">
                  <c:v>2.1891460973698405E-2</c:v>
                </c:pt>
                <c:pt idx="7018">
                  <c:v>3.070534831832436E-2</c:v>
                </c:pt>
                <c:pt idx="7019">
                  <c:v>1.2838911282409512E-2</c:v>
                </c:pt>
                <c:pt idx="7020">
                  <c:v>9.1716167109996225E-3</c:v>
                </c:pt>
                <c:pt idx="7021">
                  <c:v>1.3357644501393253E-2</c:v>
                </c:pt>
                <c:pt idx="7022">
                  <c:v>9.19457793174072E-3</c:v>
                </c:pt>
                <c:pt idx="7023">
                  <c:v>1.2472348435336782E-2</c:v>
                </c:pt>
                <c:pt idx="7024">
                  <c:v>2.5916725427173049E-2</c:v>
                </c:pt>
                <c:pt idx="7025">
                  <c:v>1.4709923775448632E-2</c:v>
                </c:pt>
                <c:pt idx="7026">
                  <c:v>1.051662570808215E-2</c:v>
                </c:pt>
                <c:pt idx="7027">
                  <c:v>8.5158593554321513E-3</c:v>
                </c:pt>
                <c:pt idx="7028">
                  <c:v>1.1718847998114588E-2</c:v>
                </c:pt>
                <c:pt idx="7029">
                  <c:v>4.4910790371366194E-2</c:v>
                </c:pt>
                <c:pt idx="7030">
                  <c:v>3.5294425369860334E-2</c:v>
                </c:pt>
                <c:pt idx="7031">
                  <c:v>4.2584962081324229E-2</c:v>
                </c:pt>
                <c:pt idx="7032">
                  <c:v>4.7245653768335852E-2</c:v>
                </c:pt>
                <c:pt idx="7033">
                  <c:v>3.9979721692918503E-2</c:v>
                </c:pt>
                <c:pt idx="7034">
                  <c:v>3.8714718980640196E-2</c:v>
                </c:pt>
                <c:pt idx="7035">
                  <c:v>3.6573806722731798E-2</c:v>
                </c:pt>
                <c:pt idx="7036">
                  <c:v>2.7506985519305256E-2</c:v>
                </c:pt>
                <c:pt idx="7037">
                  <c:v>3.6626899518963391E-2</c:v>
                </c:pt>
                <c:pt idx="7038">
                  <c:v>2.8067944049618626E-2</c:v>
                </c:pt>
                <c:pt idx="7039">
                  <c:v>3.8588373450061615E-2</c:v>
                </c:pt>
                <c:pt idx="7040">
                  <c:v>3.7800467633224477E-2</c:v>
                </c:pt>
                <c:pt idx="7041">
                  <c:v>4.0371287791038366E-2</c:v>
                </c:pt>
                <c:pt idx="7042">
                  <c:v>3.6300655483752782E-2</c:v>
                </c:pt>
                <c:pt idx="7043">
                  <c:v>4.1280543742200547E-2</c:v>
                </c:pt>
                <c:pt idx="7044">
                  <c:v>4.558191324452332E-2</c:v>
                </c:pt>
                <c:pt idx="7045">
                  <c:v>4.123710090568173E-2</c:v>
                </c:pt>
                <c:pt idx="7046">
                  <c:v>4.2225337038290782E-2</c:v>
                </c:pt>
                <c:pt idx="7047">
                  <c:v>4.6245363425119632E-2</c:v>
                </c:pt>
                <c:pt idx="7048">
                  <c:v>5.0034271620599265E-2</c:v>
                </c:pt>
                <c:pt idx="7049">
                  <c:v>4.5944631156473389E-2</c:v>
                </c:pt>
                <c:pt idx="7050">
                  <c:v>3.6398913871268215E-2</c:v>
                </c:pt>
                <c:pt idx="7051">
                  <c:v>3.4507334534996645E-2</c:v>
                </c:pt>
                <c:pt idx="7052">
                  <c:v>3.9943675118002828E-2</c:v>
                </c:pt>
                <c:pt idx="7053">
                  <c:v>3.7146307556873273E-2</c:v>
                </c:pt>
                <c:pt idx="7054">
                  <c:v>3.8056365615368216E-2</c:v>
                </c:pt>
                <c:pt idx="7055">
                  <c:v>3.044103180558605E-2</c:v>
                </c:pt>
                <c:pt idx="7056">
                  <c:v>3.3519450578982334E-2</c:v>
                </c:pt>
                <c:pt idx="7057">
                  <c:v>3.394298984996684E-2</c:v>
                </c:pt>
                <c:pt idx="7058">
                  <c:v>3.2136660155069816E-2</c:v>
                </c:pt>
                <c:pt idx="7059">
                  <c:v>3.3209772534623795E-2</c:v>
                </c:pt>
                <c:pt idx="7060">
                  <c:v>4.1147436949136133E-2</c:v>
                </c:pt>
                <c:pt idx="7061">
                  <c:v>3.5564608706110307E-2</c:v>
                </c:pt>
                <c:pt idx="7062">
                  <c:v>4.1861470100353133E-2</c:v>
                </c:pt>
                <c:pt idx="7063">
                  <c:v>3.2512792961958643E-2</c:v>
                </c:pt>
                <c:pt idx="7064">
                  <c:v>4.2629057688184029E-2</c:v>
                </c:pt>
                <c:pt idx="7065">
                  <c:v>3.8286664245668921E-2</c:v>
                </c:pt>
                <c:pt idx="7066">
                  <c:v>4.5773472303546871E-2</c:v>
                </c:pt>
                <c:pt idx="7067">
                  <c:v>2.403019966362685E-2</c:v>
                </c:pt>
                <c:pt idx="7068">
                  <c:v>2.67452530741474E-2</c:v>
                </c:pt>
                <c:pt idx="7069">
                  <c:v>3.1193485783379622E-2</c:v>
                </c:pt>
                <c:pt idx="7070">
                  <c:v>3.4056238700881099E-2</c:v>
                </c:pt>
                <c:pt idx="7071">
                  <c:v>2.5745672940906579E-2</c:v>
                </c:pt>
                <c:pt idx="7072">
                  <c:v>3.7503389147251917E-2</c:v>
                </c:pt>
                <c:pt idx="7073">
                  <c:v>2.8476087857839432E-2</c:v>
                </c:pt>
                <c:pt idx="7074">
                  <c:v>3.4414264153088236E-2</c:v>
                </c:pt>
                <c:pt idx="7075">
                  <c:v>2.4707273740457256E-2</c:v>
                </c:pt>
                <c:pt idx="7076">
                  <c:v>2.4982892322457751E-2</c:v>
                </c:pt>
                <c:pt idx="7077">
                  <c:v>2.5641289644087642E-2</c:v>
                </c:pt>
                <c:pt idx="7078">
                  <c:v>2.1955875711139067E-2</c:v>
                </c:pt>
                <c:pt idx="7079">
                  <c:v>3.1742843243138079E-2</c:v>
                </c:pt>
                <c:pt idx="7080">
                  <c:v>2.9096317624204896E-2</c:v>
                </c:pt>
                <c:pt idx="7081">
                  <c:v>4.2344325930546205E-2</c:v>
                </c:pt>
                <c:pt idx="7082">
                  <c:v>3.6645260930420295E-2</c:v>
                </c:pt>
                <c:pt idx="7083">
                  <c:v>3.7011927415715344E-2</c:v>
                </c:pt>
                <c:pt idx="7084">
                  <c:v>3.8372945060873444E-2</c:v>
                </c:pt>
                <c:pt idx="7085">
                  <c:v>3.5409724152797382E-2</c:v>
                </c:pt>
                <c:pt idx="7086">
                  <c:v>4.0472586133402134E-2</c:v>
                </c:pt>
                <c:pt idx="7087">
                  <c:v>2.461495163167203E-2</c:v>
                </c:pt>
                <c:pt idx="7088">
                  <c:v>2.6125334625060316E-2</c:v>
                </c:pt>
                <c:pt idx="7089">
                  <c:v>2.2850087787438304E-2</c:v>
                </c:pt>
                <c:pt idx="7090">
                  <c:v>2.3253694592567615E-2</c:v>
                </c:pt>
                <c:pt idx="7091">
                  <c:v>2.329033010794708E-2</c:v>
                </c:pt>
                <c:pt idx="7092">
                  <c:v>2.2961734949837529E-2</c:v>
                </c:pt>
                <c:pt idx="7093">
                  <c:v>2.7197476116577531E-2</c:v>
                </c:pt>
                <c:pt idx="7094">
                  <c:v>3.9202274591261375E-2</c:v>
                </c:pt>
                <c:pt idx="7095">
                  <c:v>3.772960141151635E-2</c:v>
                </c:pt>
                <c:pt idx="7096">
                  <c:v>2.9763923346222038E-2</c:v>
                </c:pt>
                <c:pt idx="7097">
                  <c:v>2.8758268096301366E-2</c:v>
                </c:pt>
                <c:pt idx="7098">
                  <c:v>3.8168944797795701E-2</c:v>
                </c:pt>
                <c:pt idx="7099">
                  <c:v>3.3060485156784621E-2</c:v>
                </c:pt>
                <c:pt idx="7100">
                  <c:v>4.0142488193228805E-2</c:v>
                </c:pt>
                <c:pt idx="7101">
                  <c:v>3.0234890924394256E-2</c:v>
                </c:pt>
                <c:pt idx="7102">
                  <c:v>4.0590869525457943E-2</c:v>
                </c:pt>
                <c:pt idx="7103">
                  <c:v>3.447404009487131E-2</c:v>
                </c:pt>
                <c:pt idx="7104">
                  <c:v>2.3122769407145794E-2</c:v>
                </c:pt>
                <c:pt idx="7105">
                  <c:v>2.2669991107919975E-2</c:v>
                </c:pt>
                <c:pt idx="7106">
                  <c:v>1.5985175194608393E-2</c:v>
                </c:pt>
                <c:pt idx="7107">
                  <c:v>1.9534590889956238E-2</c:v>
                </c:pt>
                <c:pt idx="7108">
                  <c:v>2.1277803402781233E-2</c:v>
                </c:pt>
                <c:pt idx="7109">
                  <c:v>1.8719217852552674E-2</c:v>
                </c:pt>
                <c:pt idx="7110">
                  <c:v>1.5665665957040165E-2</c:v>
                </c:pt>
                <c:pt idx="7111">
                  <c:v>2.0408936393298088E-2</c:v>
                </c:pt>
                <c:pt idx="7112">
                  <c:v>1.2069574174666836E-2</c:v>
                </c:pt>
                <c:pt idx="7113">
                  <c:v>3.6588178345842721E-2</c:v>
                </c:pt>
                <c:pt idx="7114">
                  <c:v>4.9212981722832561E-2</c:v>
                </c:pt>
                <c:pt idx="7115">
                  <c:v>7.5293975052836359E-2</c:v>
                </c:pt>
                <c:pt idx="7116">
                  <c:v>7.336454029416814E-2</c:v>
                </c:pt>
                <c:pt idx="7117">
                  <c:v>7.0292454863879417E-2</c:v>
                </c:pt>
                <c:pt idx="7118">
                  <c:v>8.039845853655804E-2</c:v>
                </c:pt>
                <c:pt idx="7119">
                  <c:v>8.9301269673599817E-2</c:v>
                </c:pt>
                <c:pt idx="7120">
                  <c:v>0.12662583812083272</c:v>
                </c:pt>
                <c:pt idx="7121">
                  <c:v>0.13578916450945061</c:v>
                </c:pt>
                <c:pt idx="7122">
                  <c:v>0.12102247046509036</c:v>
                </c:pt>
                <c:pt idx="7123">
                  <c:v>0.14280260025339059</c:v>
                </c:pt>
                <c:pt idx="7124">
                  <c:v>0.12138090294980401</c:v>
                </c:pt>
                <c:pt idx="7125">
                  <c:v>0.10960317984773164</c:v>
                </c:pt>
                <c:pt idx="7126">
                  <c:v>0.13327090431905611</c:v>
                </c:pt>
                <c:pt idx="7127">
                  <c:v>0.13857424471289226</c:v>
                </c:pt>
                <c:pt idx="7128">
                  <c:v>0.13758765594611194</c:v>
                </c:pt>
                <c:pt idx="7129">
                  <c:v>0.15121504586934556</c:v>
                </c:pt>
                <c:pt idx="7130">
                  <c:v>0.19179267035690489</c:v>
                </c:pt>
                <c:pt idx="7131">
                  <c:v>0.21063870398406692</c:v>
                </c:pt>
                <c:pt idx="7132">
                  <c:v>0.19871068328254707</c:v>
                </c:pt>
                <c:pt idx="7133">
                  <c:v>0.20166772291409099</c:v>
                </c:pt>
                <c:pt idx="7134">
                  <c:v>0.21308510644427925</c:v>
                </c:pt>
                <c:pt idx="7135">
                  <c:v>0.18771526374569708</c:v>
                </c:pt>
                <c:pt idx="7136">
                  <c:v>0.20680537469043245</c:v>
                </c:pt>
                <c:pt idx="7137">
                  <c:v>0.22543231440026287</c:v>
                </c:pt>
                <c:pt idx="7138">
                  <c:v>0.21424124379688686</c:v>
                </c:pt>
                <c:pt idx="7139">
                  <c:v>0.24401374219196942</c:v>
                </c:pt>
                <c:pt idx="7140">
                  <c:v>0.21704442643830321</c:v>
                </c:pt>
                <c:pt idx="7141">
                  <c:v>0.21864288398620435</c:v>
                </c:pt>
                <c:pt idx="7142">
                  <c:v>0.17923744584055981</c:v>
                </c:pt>
                <c:pt idx="7143">
                  <c:v>0.1831781337883879</c:v>
                </c:pt>
                <c:pt idx="7144">
                  <c:v>0.20964849936730326</c:v>
                </c:pt>
                <c:pt idx="7145">
                  <c:v>0.22272817353583663</c:v>
                </c:pt>
                <c:pt idx="7146">
                  <c:v>0.19595635594859928</c:v>
                </c:pt>
                <c:pt idx="7147">
                  <c:v>0.24147525444549203</c:v>
                </c:pt>
                <c:pt idx="7148">
                  <c:v>0.20586694254227936</c:v>
                </c:pt>
                <c:pt idx="7149">
                  <c:v>0.20351127256033902</c:v>
                </c:pt>
                <c:pt idx="7150">
                  <c:v>0.17105299465141879</c:v>
                </c:pt>
                <c:pt idx="7151">
                  <c:v>0.21822739871525698</c:v>
                </c:pt>
                <c:pt idx="7152">
                  <c:v>0.22486027873637798</c:v>
                </c:pt>
                <c:pt idx="7153">
                  <c:v>0.23937957216419337</c:v>
                </c:pt>
                <c:pt idx="7154">
                  <c:v>0.21603282146109348</c:v>
                </c:pt>
                <c:pt idx="7155">
                  <c:v>0.18333533889531459</c:v>
                </c:pt>
                <c:pt idx="7156">
                  <c:v>0.22943967547298325</c:v>
                </c:pt>
                <c:pt idx="7157">
                  <c:v>0.26622181555460367</c:v>
                </c:pt>
                <c:pt idx="7158">
                  <c:v>0.21769919564156406</c:v>
                </c:pt>
                <c:pt idx="7159">
                  <c:v>0.25137634831157551</c:v>
                </c:pt>
                <c:pt idx="7160">
                  <c:v>0.22286805767336043</c:v>
                </c:pt>
                <c:pt idx="7161">
                  <c:v>0.19560522821807919</c:v>
                </c:pt>
                <c:pt idx="7162">
                  <c:v>0.19508701086288491</c:v>
                </c:pt>
                <c:pt idx="7163">
                  <c:v>0.15871491173963989</c:v>
                </c:pt>
                <c:pt idx="7164">
                  <c:v>0.19140378167294891</c:v>
                </c:pt>
                <c:pt idx="7165">
                  <c:v>0.15090496465768635</c:v>
                </c:pt>
                <c:pt idx="7166">
                  <c:v>0.17376940530044468</c:v>
                </c:pt>
                <c:pt idx="7167">
                  <c:v>0.1795560996208195</c:v>
                </c:pt>
                <c:pt idx="7168">
                  <c:v>0.18031515647169058</c:v>
                </c:pt>
                <c:pt idx="7169">
                  <c:v>0.160464329217061</c:v>
                </c:pt>
                <c:pt idx="7170">
                  <c:v>0.16937990723506943</c:v>
                </c:pt>
                <c:pt idx="7171">
                  <c:v>0.15395198832037849</c:v>
                </c:pt>
                <c:pt idx="7172">
                  <c:v>0.13030674488650001</c:v>
                </c:pt>
                <c:pt idx="7173">
                  <c:v>0.19732743182576579</c:v>
                </c:pt>
                <c:pt idx="7174">
                  <c:v>0.1437306396516454</c:v>
                </c:pt>
                <c:pt idx="7175">
                  <c:v>0.1747698642030196</c:v>
                </c:pt>
                <c:pt idx="7176">
                  <c:v>0.15595757508479946</c:v>
                </c:pt>
                <c:pt idx="7177">
                  <c:v>0.15502432693005069</c:v>
                </c:pt>
                <c:pt idx="7178">
                  <c:v>0.15597880333325942</c:v>
                </c:pt>
                <c:pt idx="7179">
                  <c:v>0.12194538428194068</c:v>
                </c:pt>
                <c:pt idx="7180">
                  <c:v>0.11093128826129535</c:v>
                </c:pt>
                <c:pt idx="7181">
                  <c:v>0.10367922816053636</c:v>
                </c:pt>
                <c:pt idx="7182">
                  <c:v>0.11115762492713444</c:v>
                </c:pt>
                <c:pt idx="7183">
                  <c:v>8.6968484180557859E-2</c:v>
                </c:pt>
                <c:pt idx="7184">
                  <c:v>7.1132018090936652E-2</c:v>
                </c:pt>
                <c:pt idx="7185">
                  <c:v>5.3975698459334059E-2</c:v>
                </c:pt>
                <c:pt idx="7186">
                  <c:v>5.5063583229654468E-2</c:v>
                </c:pt>
                <c:pt idx="7187">
                  <c:v>5.198133006611836E-2</c:v>
                </c:pt>
                <c:pt idx="7188">
                  <c:v>6.4472964640512928E-2</c:v>
                </c:pt>
                <c:pt idx="7189">
                  <c:v>6.1449840137011262E-2</c:v>
                </c:pt>
                <c:pt idx="7190">
                  <c:v>8.1017680710920859E-2</c:v>
                </c:pt>
                <c:pt idx="7191">
                  <c:v>9.2332131707151016E-2</c:v>
                </c:pt>
                <c:pt idx="7192">
                  <c:v>6.0302263450569396E-2</c:v>
                </c:pt>
                <c:pt idx="7193">
                  <c:v>7.7343191589559865E-2</c:v>
                </c:pt>
                <c:pt idx="7194">
                  <c:v>7.1778942149663114E-2</c:v>
                </c:pt>
                <c:pt idx="7195">
                  <c:v>5.8515986984994495E-2</c:v>
                </c:pt>
                <c:pt idx="7196">
                  <c:v>6.450141650378112E-2</c:v>
                </c:pt>
                <c:pt idx="7197">
                  <c:v>5.0962549450171715E-2</c:v>
                </c:pt>
                <c:pt idx="7198">
                  <c:v>7.1758694333805106E-2</c:v>
                </c:pt>
                <c:pt idx="7199">
                  <c:v>0.11461265202652035</c:v>
                </c:pt>
                <c:pt idx="7200">
                  <c:v>7.2855868903537915E-2</c:v>
                </c:pt>
                <c:pt idx="7201">
                  <c:v>6.1353696018329289E-2</c:v>
                </c:pt>
                <c:pt idx="7202">
                  <c:v>7.0023081863097456E-2</c:v>
                </c:pt>
                <c:pt idx="7203">
                  <c:v>7.4256029438455523E-2</c:v>
                </c:pt>
                <c:pt idx="7204">
                  <c:v>5.4150173283437901E-2</c:v>
                </c:pt>
                <c:pt idx="7205">
                  <c:v>4.4564453329721199E-2</c:v>
                </c:pt>
                <c:pt idx="7206">
                  <c:v>4.5003596244962266E-2</c:v>
                </c:pt>
                <c:pt idx="7207">
                  <c:v>3.9177274874633815E-2</c:v>
                </c:pt>
                <c:pt idx="7208">
                  <c:v>4.3225090043983276E-2</c:v>
                </c:pt>
                <c:pt idx="7209">
                  <c:v>5.4373628737987713E-2</c:v>
                </c:pt>
                <c:pt idx="7210">
                  <c:v>6.2862774803057589E-2</c:v>
                </c:pt>
                <c:pt idx="7211">
                  <c:v>6.4835586349415678E-2</c:v>
                </c:pt>
                <c:pt idx="7212">
                  <c:v>6.2235162220768671E-2</c:v>
                </c:pt>
                <c:pt idx="7213">
                  <c:v>8.6310346763123894E-2</c:v>
                </c:pt>
                <c:pt idx="7214">
                  <c:v>7.3764159584275291E-2</c:v>
                </c:pt>
                <c:pt idx="7215">
                  <c:v>9.0301797694619518E-2</c:v>
                </c:pt>
                <c:pt idx="7216">
                  <c:v>7.5557179966004598E-2</c:v>
                </c:pt>
                <c:pt idx="7217">
                  <c:v>5.5571732854665871E-2</c:v>
                </c:pt>
                <c:pt idx="7218">
                  <c:v>5.6846941544813574E-2</c:v>
                </c:pt>
                <c:pt idx="7219">
                  <c:v>6.5029309542818117E-2</c:v>
                </c:pt>
                <c:pt idx="7220">
                  <c:v>8.7978650575375295E-2</c:v>
                </c:pt>
                <c:pt idx="7221">
                  <c:v>9.6473414528812293E-2</c:v>
                </c:pt>
                <c:pt idx="7222">
                  <c:v>0.12582303642982132</c:v>
                </c:pt>
                <c:pt idx="7223">
                  <c:v>0.1541039929669972</c:v>
                </c:pt>
                <c:pt idx="7224">
                  <c:v>0.10888555274901768</c:v>
                </c:pt>
                <c:pt idx="7225">
                  <c:v>0.11447220130371055</c:v>
                </c:pt>
                <c:pt idx="7226">
                  <c:v>7.8357114637376324E-2</c:v>
                </c:pt>
                <c:pt idx="7227">
                  <c:v>0.11971271417281268</c:v>
                </c:pt>
                <c:pt idx="7228">
                  <c:v>0.1419035856076723</c:v>
                </c:pt>
                <c:pt idx="7229">
                  <c:v>0.12420481058404244</c:v>
                </c:pt>
                <c:pt idx="7230">
                  <c:v>0.1419731198829455</c:v>
                </c:pt>
                <c:pt idx="7231">
                  <c:v>0.10841143762622608</c:v>
                </c:pt>
                <c:pt idx="7232">
                  <c:v>8.7504573302423672E-2</c:v>
                </c:pt>
                <c:pt idx="7233">
                  <c:v>6.9517510454824419E-2</c:v>
                </c:pt>
                <c:pt idx="7234">
                  <c:v>8.8157714254691807E-2</c:v>
                </c:pt>
                <c:pt idx="7235">
                  <c:v>0.16157880852287118</c:v>
                </c:pt>
                <c:pt idx="7236">
                  <c:v>0.16298624979599352</c:v>
                </c:pt>
                <c:pt idx="7237">
                  <c:v>0.14306947417529314</c:v>
                </c:pt>
                <c:pt idx="7238">
                  <c:v>0.18373948205219232</c:v>
                </c:pt>
                <c:pt idx="7239">
                  <c:v>0.18928926209557287</c:v>
                </c:pt>
                <c:pt idx="7240">
                  <c:v>0.19757302244967601</c:v>
                </c:pt>
                <c:pt idx="7241">
                  <c:v>0.14360741080599315</c:v>
                </c:pt>
                <c:pt idx="7242">
                  <c:v>0.10021437783636349</c:v>
                </c:pt>
                <c:pt idx="7243">
                  <c:v>0.1744171609432581</c:v>
                </c:pt>
                <c:pt idx="7244">
                  <c:v>0.17471206838418177</c:v>
                </c:pt>
                <c:pt idx="7245">
                  <c:v>0.21137287155994128</c:v>
                </c:pt>
                <c:pt idx="7246">
                  <c:v>0.19636246874950905</c:v>
                </c:pt>
                <c:pt idx="7247">
                  <c:v>0.16915461521203148</c:v>
                </c:pt>
                <c:pt idx="7248">
                  <c:v>0.15904084875296121</c:v>
                </c:pt>
                <c:pt idx="7249">
                  <c:v>0.10340823036592854</c:v>
                </c:pt>
                <c:pt idx="7250">
                  <c:v>0.10284139431167803</c:v>
                </c:pt>
                <c:pt idx="7251">
                  <c:v>0.10104731012392271</c:v>
                </c:pt>
                <c:pt idx="7252">
                  <c:v>0.13663465077199091</c:v>
                </c:pt>
                <c:pt idx="7253">
                  <c:v>0.17248295830150639</c:v>
                </c:pt>
                <c:pt idx="7254">
                  <c:v>0.19739332217885583</c:v>
                </c:pt>
                <c:pt idx="7255">
                  <c:v>0.17401820887353345</c:v>
                </c:pt>
                <c:pt idx="7256">
                  <c:v>0.16836900292312659</c:v>
                </c:pt>
                <c:pt idx="7257">
                  <c:v>0.17394692885132912</c:v>
                </c:pt>
                <c:pt idx="7258">
                  <c:v>0.16943959297727237</c:v>
                </c:pt>
                <c:pt idx="7259">
                  <c:v>0.1939306354199275</c:v>
                </c:pt>
                <c:pt idx="7260">
                  <c:v>0.22771500871774503</c:v>
                </c:pt>
                <c:pt idx="7261">
                  <c:v>0.2138180733569798</c:v>
                </c:pt>
                <c:pt idx="7262">
                  <c:v>0.230179830919332</c:v>
                </c:pt>
                <c:pt idx="7263">
                  <c:v>0.22604721356972074</c:v>
                </c:pt>
                <c:pt idx="7264">
                  <c:v>0.19734066583702597</c:v>
                </c:pt>
                <c:pt idx="7265">
                  <c:v>0.19374914337248519</c:v>
                </c:pt>
                <c:pt idx="7266">
                  <c:v>0.21001202403371219</c:v>
                </c:pt>
                <c:pt idx="7267">
                  <c:v>0.13043895153119142</c:v>
                </c:pt>
                <c:pt idx="7268">
                  <c:v>0.14377118833430347</c:v>
                </c:pt>
                <c:pt idx="7269">
                  <c:v>0.12378338932858893</c:v>
                </c:pt>
                <c:pt idx="7270">
                  <c:v>0.13462265258630363</c:v>
                </c:pt>
                <c:pt idx="7271">
                  <c:v>0.12099749072456173</c:v>
                </c:pt>
                <c:pt idx="7272">
                  <c:v>0.1109867903357797</c:v>
                </c:pt>
                <c:pt idx="7273">
                  <c:v>8.67850801481127E-3</c:v>
                </c:pt>
                <c:pt idx="7274">
                  <c:v>7.1441244847125903E-3</c:v>
                </c:pt>
                <c:pt idx="7275">
                  <c:v>6.7244026925339789E-3</c:v>
                </c:pt>
                <c:pt idx="7276">
                  <c:v>8.2189323590776599E-3</c:v>
                </c:pt>
                <c:pt idx="7277">
                  <c:v>5.1144191840888174E-3</c:v>
                </c:pt>
                <c:pt idx="7278">
                  <c:v>6.8573727360600406E-3</c:v>
                </c:pt>
                <c:pt idx="7279">
                  <c:v>9.2243406704693234E-3</c:v>
                </c:pt>
                <c:pt idx="7280">
                  <c:v>7.0971289744369585E-3</c:v>
                </c:pt>
                <c:pt idx="7281">
                  <c:v>4.3897375329862032E-3</c:v>
                </c:pt>
                <c:pt idx="7282">
                  <c:v>6.6632484596415948E-3</c:v>
                </c:pt>
                <c:pt idx="7283">
                  <c:v>1.1250631004955092E-2</c:v>
                </c:pt>
                <c:pt idx="7284">
                  <c:v>6.8248822075413062E-3</c:v>
                </c:pt>
                <c:pt idx="7285">
                  <c:v>6.754335191921328E-3</c:v>
                </c:pt>
                <c:pt idx="7286">
                  <c:v>5.3143850287930448E-3</c:v>
                </c:pt>
                <c:pt idx="7287">
                  <c:v>6.7474936596552066E-3</c:v>
                </c:pt>
                <c:pt idx="7288">
                  <c:v>4.5861696757169184E-3</c:v>
                </c:pt>
                <c:pt idx="7289">
                  <c:v>4.0185520787939773E-3</c:v>
                </c:pt>
                <c:pt idx="7290">
                  <c:v>8.1912315415859967E-3</c:v>
                </c:pt>
                <c:pt idx="7291">
                  <c:v>1.3579528679549186E-2</c:v>
                </c:pt>
                <c:pt idx="7292">
                  <c:v>7.9964235898131644E-3</c:v>
                </c:pt>
                <c:pt idx="7293">
                  <c:v>6.0045464445176418E-3</c:v>
                </c:pt>
                <c:pt idx="7294">
                  <c:v>6.4609077028374593E-3</c:v>
                </c:pt>
                <c:pt idx="7295">
                  <c:v>7.5967298831954343E-3</c:v>
                </c:pt>
                <c:pt idx="7296">
                  <c:v>7.2517677602909926E-3</c:v>
                </c:pt>
                <c:pt idx="7297">
                  <c:v>7.7814793100580521E-3</c:v>
                </c:pt>
                <c:pt idx="7298">
                  <c:v>1.1977905636773974E-2</c:v>
                </c:pt>
                <c:pt idx="7299">
                  <c:v>6.060225938164741E-3</c:v>
                </c:pt>
                <c:pt idx="7300">
                  <c:v>5.2088351333939038E-3</c:v>
                </c:pt>
                <c:pt idx="7301">
                  <c:v>6.2353556469765476E-3</c:v>
                </c:pt>
                <c:pt idx="7302">
                  <c:v>5.7320422914630071E-3</c:v>
                </c:pt>
                <c:pt idx="7303">
                  <c:v>7.9870433215530612E-3</c:v>
                </c:pt>
                <c:pt idx="7304">
                  <c:v>7.40549760097988E-3</c:v>
                </c:pt>
                <c:pt idx="7305">
                  <c:v>6.6149176944088938E-3</c:v>
                </c:pt>
                <c:pt idx="7306">
                  <c:v>7.8672138894186634E-3</c:v>
                </c:pt>
                <c:pt idx="7307">
                  <c:v>7.8237089045958049E-3</c:v>
                </c:pt>
                <c:pt idx="7308">
                  <c:v>6.2837286681475145E-3</c:v>
                </c:pt>
                <c:pt idx="7309">
                  <c:v>7.2218695265670162E-3</c:v>
                </c:pt>
                <c:pt idx="7310">
                  <c:v>6.8206069570387641E-3</c:v>
                </c:pt>
                <c:pt idx="7311">
                  <c:v>9.5082596764634354E-3</c:v>
                </c:pt>
                <c:pt idx="7312">
                  <c:v>7.0834565983256843E-3</c:v>
                </c:pt>
                <c:pt idx="7313">
                  <c:v>8.5605725185745746E-3</c:v>
                </c:pt>
                <c:pt idx="7314">
                  <c:v>8.5644048612211858E-3</c:v>
                </c:pt>
                <c:pt idx="7315">
                  <c:v>6.1578619684507525E-3</c:v>
                </c:pt>
                <c:pt idx="7316">
                  <c:v>3.7956023291153477E-3</c:v>
                </c:pt>
                <c:pt idx="7317">
                  <c:v>7.1347257894837776E-3</c:v>
                </c:pt>
                <c:pt idx="7318">
                  <c:v>5.6656041942438826E-3</c:v>
                </c:pt>
                <c:pt idx="7319">
                  <c:v>5.8254670640541821E-3</c:v>
                </c:pt>
                <c:pt idx="7320">
                  <c:v>6.7829829377517824E-3</c:v>
                </c:pt>
                <c:pt idx="7321">
                  <c:v>5.9784174520128939E-3</c:v>
                </c:pt>
                <c:pt idx="7322">
                  <c:v>6.6187672445279103E-3</c:v>
                </c:pt>
                <c:pt idx="7323">
                  <c:v>8.5273574656413737E-3</c:v>
                </c:pt>
                <c:pt idx="7324">
                  <c:v>6.2957140705906999E-3</c:v>
                </c:pt>
                <c:pt idx="7325">
                  <c:v>4.9650283922189273E-3</c:v>
                </c:pt>
                <c:pt idx="7326">
                  <c:v>1.1957203611394688E-2</c:v>
                </c:pt>
                <c:pt idx="7327">
                  <c:v>1.2696794175641145E-2</c:v>
                </c:pt>
                <c:pt idx="7328">
                  <c:v>1.1031364108845892E-2</c:v>
                </c:pt>
                <c:pt idx="7329">
                  <c:v>5.0826564782073501E-3</c:v>
                </c:pt>
                <c:pt idx="7330">
                  <c:v>3.9122563389025729E-3</c:v>
                </c:pt>
                <c:pt idx="7331">
                  <c:v>6.7611766164130515E-3</c:v>
                </c:pt>
                <c:pt idx="7332">
                  <c:v>5.8524622234430524E-3</c:v>
                </c:pt>
                <c:pt idx="7333">
                  <c:v>5.0916704551444061E-3</c:v>
                </c:pt>
                <c:pt idx="7334">
                  <c:v>8.1865435361249701E-3</c:v>
                </c:pt>
                <c:pt idx="7335">
                  <c:v>1.3911932235842129E-2</c:v>
                </c:pt>
                <c:pt idx="7336">
                  <c:v>8.9338542001983438E-3</c:v>
                </c:pt>
                <c:pt idx="7337">
                  <c:v>0.32440675687578918</c:v>
                </c:pt>
                <c:pt idx="7338">
                  <c:v>1.4376450053985641E-2</c:v>
                </c:pt>
                <c:pt idx="7339">
                  <c:v>8.0761476909816353E-3</c:v>
                </c:pt>
                <c:pt idx="7340">
                  <c:v>6.9189270723840519E-3</c:v>
                </c:pt>
                <c:pt idx="7341">
                  <c:v>5.3765873837121024E-3</c:v>
                </c:pt>
                <c:pt idx="7342">
                  <c:v>8.0053772932486486E-3</c:v>
                </c:pt>
                <c:pt idx="7343">
                  <c:v>1.8868942303732997E-2</c:v>
                </c:pt>
                <c:pt idx="7344">
                  <c:v>7.7682550574058413E-3</c:v>
                </c:pt>
                <c:pt idx="7345">
                  <c:v>6.7581835064589721E-3</c:v>
                </c:pt>
                <c:pt idx="7346">
                  <c:v>4.9495712389878849E-3</c:v>
                </c:pt>
                <c:pt idx="7347">
                  <c:v>1.2789154500328361E-2</c:v>
                </c:pt>
                <c:pt idx="7348">
                  <c:v>1.0817493425894626E-2</c:v>
                </c:pt>
                <c:pt idx="7349">
                  <c:v>7.5864874310307348E-3</c:v>
                </c:pt>
                <c:pt idx="7350">
                  <c:v>5.3474177334962292E-3</c:v>
                </c:pt>
                <c:pt idx="7351">
                  <c:v>5.758186110698298E-3</c:v>
                </c:pt>
                <c:pt idx="7352">
                  <c:v>5.2268576633173166E-3</c:v>
                </c:pt>
                <c:pt idx="7353">
                  <c:v>1.0259663778756018E-2</c:v>
                </c:pt>
                <c:pt idx="7354">
                  <c:v>1.5065794524341924E-2</c:v>
                </c:pt>
                <c:pt idx="7355">
                  <c:v>9.8556803303835056E-3</c:v>
                </c:pt>
                <c:pt idx="7356">
                  <c:v>5.2736269306762305E-3</c:v>
                </c:pt>
                <c:pt idx="7357">
                  <c:v>5.9201569889525043E-3</c:v>
                </c:pt>
                <c:pt idx="7358">
                  <c:v>6.7072974808740932E-3</c:v>
                </c:pt>
                <c:pt idx="7359">
                  <c:v>7.9580484841257071E-3</c:v>
                </c:pt>
                <c:pt idx="7360">
                  <c:v>9.2158372389608972E-3</c:v>
                </c:pt>
                <c:pt idx="7361">
                  <c:v>8.9738448365796527E-3</c:v>
                </c:pt>
                <c:pt idx="7362">
                  <c:v>9.9227540174990133E-3</c:v>
                </c:pt>
                <c:pt idx="7363">
                  <c:v>1.1731952502631791E-2</c:v>
                </c:pt>
                <c:pt idx="7364">
                  <c:v>1.410578695305667E-2</c:v>
                </c:pt>
                <c:pt idx="7365">
                  <c:v>6.8774643465789355E-3</c:v>
                </c:pt>
                <c:pt idx="7366">
                  <c:v>2.6540986474042965E-3</c:v>
                </c:pt>
                <c:pt idx="7367">
                  <c:v>1.1152016929493511E-2</c:v>
                </c:pt>
                <c:pt idx="7368">
                  <c:v>8.5891013693242015E-3</c:v>
                </c:pt>
                <c:pt idx="7369">
                  <c:v>1.0103122354063042E-2</c:v>
                </c:pt>
                <c:pt idx="7370">
                  <c:v>6.6260385238775628E-3</c:v>
                </c:pt>
                <c:pt idx="7371">
                  <c:v>1.040258051444168E-2</c:v>
                </c:pt>
                <c:pt idx="7372">
                  <c:v>1.1333144889686404E-2</c:v>
                </c:pt>
                <c:pt idx="7373">
                  <c:v>9.0440322627043587E-3</c:v>
                </c:pt>
                <c:pt idx="7374">
                  <c:v>4.8392083542917385E-3</c:v>
                </c:pt>
                <c:pt idx="7375">
                  <c:v>9.0070257607928264E-3</c:v>
                </c:pt>
                <c:pt idx="7376">
                  <c:v>8.7206504790042112E-3</c:v>
                </c:pt>
                <c:pt idx="7377">
                  <c:v>7.6953011356453134E-3</c:v>
                </c:pt>
                <c:pt idx="7378">
                  <c:v>4.5887480627167729E-3</c:v>
                </c:pt>
                <c:pt idx="7379">
                  <c:v>1.0963191029814259E-2</c:v>
                </c:pt>
                <c:pt idx="7380">
                  <c:v>4.1003003327464236E-3</c:v>
                </c:pt>
                <c:pt idx="7381">
                  <c:v>4.7807948557966303E-3</c:v>
                </c:pt>
                <c:pt idx="7382">
                  <c:v>3.194617686584546E-3</c:v>
                </c:pt>
                <c:pt idx="7383">
                  <c:v>8.0518483123120394E-3</c:v>
                </c:pt>
                <c:pt idx="7384">
                  <c:v>6.9774810866301959E-3</c:v>
                </c:pt>
                <c:pt idx="7385">
                  <c:v>5.8627456523282981E-3</c:v>
                </c:pt>
                <c:pt idx="7386">
                  <c:v>3.4282173297822513E-3</c:v>
                </c:pt>
                <c:pt idx="7387">
                  <c:v>7.1671931470534108E-3</c:v>
                </c:pt>
                <c:pt idx="7388">
                  <c:v>4.5539385465590007E-3</c:v>
                </c:pt>
                <c:pt idx="7389">
                  <c:v>6.0516603268406469E-3</c:v>
                </c:pt>
                <c:pt idx="7390">
                  <c:v>3.8963312545446183E-3</c:v>
                </c:pt>
                <c:pt idx="7391">
                  <c:v>1.4286107681466528E-2</c:v>
                </c:pt>
                <c:pt idx="7392">
                  <c:v>1.2828370067216873E-2</c:v>
                </c:pt>
                <c:pt idx="7393">
                  <c:v>6.0499471843027874E-3</c:v>
                </c:pt>
                <c:pt idx="7394">
                  <c:v>7.6688469786448136E-3</c:v>
                </c:pt>
                <c:pt idx="7395">
                  <c:v>1.4375609746413458E-2</c:v>
                </c:pt>
                <c:pt idx="7396">
                  <c:v>2.0021339069262543E-2</c:v>
                </c:pt>
                <c:pt idx="7397">
                  <c:v>1.5428080150748754E-2</c:v>
                </c:pt>
                <c:pt idx="7398">
                  <c:v>2.1215769545933526E-2</c:v>
                </c:pt>
                <c:pt idx="7399">
                  <c:v>1.5028878098504386E-2</c:v>
                </c:pt>
                <c:pt idx="7400">
                  <c:v>9.28938641336274E-3</c:v>
                </c:pt>
                <c:pt idx="7401">
                  <c:v>4.0056430530042856E-3</c:v>
                </c:pt>
                <c:pt idx="7402">
                  <c:v>4.4262797782546057E-3</c:v>
                </c:pt>
                <c:pt idx="7403">
                  <c:v>4.0443689793016888E-3</c:v>
                </c:pt>
                <c:pt idx="7404">
                  <c:v>9.8111003143996518E-3</c:v>
                </c:pt>
                <c:pt idx="7405">
                  <c:v>7.5216129571769588E-3</c:v>
                </c:pt>
                <c:pt idx="7406">
                  <c:v>7.0573924390007715E-3</c:v>
                </c:pt>
                <c:pt idx="7407">
                  <c:v>4.9585879785633263E-3</c:v>
                </c:pt>
                <c:pt idx="7408">
                  <c:v>2.9488145360539609E-3</c:v>
                </c:pt>
                <c:pt idx="7409">
                  <c:v>2.8715950090781256E-3</c:v>
                </c:pt>
                <c:pt idx="7410">
                  <c:v>6.2850128342304724E-3</c:v>
                </c:pt>
                <c:pt idx="7411">
                  <c:v>4.2839626466689741E-3</c:v>
                </c:pt>
                <c:pt idx="7412">
                  <c:v>3.1092492029258247E-3</c:v>
                </c:pt>
                <c:pt idx="7413">
                  <c:v>4.0977190442140739E-3</c:v>
                </c:pt>
                <c:pt idx="7414">
                  <c:v>5.8678872754615091E-3</c:v>
                </c:pt>
                <c:pt idx="7415">
                  <c:v>4.9036258968170173E-3</c:v>
                </c:pt>
                <c:pt idx="7416">
                  <c:v>3.9763811738916782E-3</c:v>
                </c:pt>
                <c:pt idx="7417">
                  <c:v>0.11626528667113059</c:v>
                </c:pt>
                <c:pt idx="7418">
                  <c:v>0.13280541737477047</c:v>
                </c:pt>
                <c:pt idx="7419">
                  <c:v>0.12410430725026085</c:v>
                </c:pt>
                <c:pt idx="7420">
                  <c:v>0.19482032148987996</c:v>
                </c:pt>
                <c:pt idx="7421">
                  <c:v>0.20362705021500788</c:v>
                </c:pt>
                <c:pt idx="7422">
                  <c:v>0.17691563566128674</c:v>
                </c:pt>
                <c:pt idx="7423">
                  <c:v>0.24408158240630684</c:v>
                </c:pt>
                <c:pt idx="7424">
                  <c:v>0.17058496838735868</c:v>
                </c:pt>
                <c:pt idx="7425">
                  <c:v>0.1842231054552993</c:v>
                </c:pt>
                <c:pt idx="7426">
                  <c:v>0.17333664234410393</c:v>
                </c:pt>
                <c:pt idx="7427">
                  <c:v>0.21513054664141359</c:v>
                </c:pt>
                <c:pt idx="7428">
                  <c:v>0.22135737153866464</c:v>
                </c:pt>
                <c:pt idx="7429">
                  <c:v>0.19915294398861239</c:v>
                </c:pt>
                <c:pt idx="7430">
                  <c:v>0.21870850585960341</c:v>
                </c:pt>
                <c:pt idx="7431">
                  <c:v>0.21255992555144518</c:v>
                </c:pt>
                <c:pt idx="7432">
                  <c:v>0.20654713678711287</c:v>
                </c:pt>
                <c:pt idx="7433">
                  <c:v>0.22699561586882117</c:v>
                </c:pt>
                <c:pt idx="7434">
                  <c:v>0.19908429949623604</c:v>
                </c:pt>
                <c:pt idx="7435">
                  <c:v>0.20060538620427654</c:v>
                </c:pt>
                <c:pt idx="7436">
                  <c:v>0.20014131925364836</c:v>
                </c:pt>
                <c:pt idx="7437">
                  <c:v>0.1726811438718007</c:v>
                </c:pt>
                <c:pt idx="7438">
                  <c:v>0.19507093651618629</c:v>
                </c:pt>
                <c:pt idx="7439">
                  <c:v>0.18650910385980529</c:v>
                </c:pt>
                <c:pt idx="7440">
                  <c:v>0.18596208139795606</c:v>
                </c:pt>
                <c:pt idx="7441">
                  <c:v>0.19472463933996162</c:v>
                </c:pt>
                <c:pt idx="7442">
                  <c:v>0.20226920736564319</c:v>
                </c:pt>
                <c:pt idx="7443">
                  <c:v>0.16684792494151621</c:v>
                </c:pt>
                <c:pt idx="7444">
                  <c:v>0.142663473297239</c:v>
                </c:pt>
                <c:pt idx="7445">
                  <c:v>0.19022913652519705</c:v>
                </c:pt>
                <c:pt idx="7446">
                  <c:v>0.16788774702123821</c:v>
                </c:pt>
                <c:pt idx="7447">
                  <c:v>0.20858538072441199</c:v>
                </c:pt>
                <c:pt idx="7448">
                  <c:v>0.16818682536815355</c:v>
                </c:pt>
                <c:pt idx="7449">
                  <c:v>0.19299317655153334</c:v>
                </c:pt>
                <c:pt idx="7450">
                  <c:v>0.20824539597429242</c:v>
                </c:pt>
                <c:pt idx="7451">
                  <c:v>0.18355054924753975</c:v>
                </c:pt>
                <c:pt idx="7452">
                  <c:v>7.1394440591211236E-2</c:v>
                </c:pt>
                <c:pt idx="7453">
                  <c:v>0.13432439834651286</c:v>
                </c:pt>
                <c:pt idx="7454">
                  <c:v>0.15884055599329092</c:v>
                </c:pt>
                <c:pt idx="7455">
                  <c:v>0.18471243540223767</c:v>
                </c:pt>
                <c:pt idx="7456">
                  <c:v>0.15252897471965113</c:v>
                </c:pt>
                <c:pt idx="7457">
                  <c:v>0.13704854166978037</c:v>
                </c:pt>
                <c:pt idx="7458">
                  <c:v>0.17216579001733123</c:v>
                </c:pt>
                <c:pt idx="7459">
                  <c:v>0.17430786359060349</c:v>
                </c:pt>
                <c:pt idx="7460">
                  <c:v>0.17465310291436081</c:v>
                </c:pt>
                <c:pt idx="7461">
                  <c:v>0.1690737050922059</c:v>
                </c:pt>
                <c:pt idx="7462">
                  <c:v>0.14889465667184101</c:v>
                </c:pt>
                <c:pt idx="7463">
                  <c:v>0.13953497629273748</c:v>
                </c:pt>
                <c:pt idx="7464">
                  <c:v>0.14833020997335866</c:v>
                </c:pt>
                <c:pt idx="7465">
                  <c:v>0.11244244578924238</c:v>
                </c:pt>
                <c:pt idx="7466">
                  <c:v>0.12269317594261593</c:v>
                </c:pt>
                <c:pt idx="7467">
                  <c:v>0.12834756391604246</c:v>
                </c:pt>
                <c:pt idx="7468">
                  <c:v>0.10162989483381392</c:v>
                </c:pt>
                <c:pt idx="7469">
                  <c:v>0.12555152788784457</c:v>
                </c:pt>
                <c:pt idx="7470">
                  <c:v>0.12793111588049641</c:v>
                </c:pt>
                <c:pt idx="7471">
                  <c:v>7.0501851746892899E-2</c:v>
                </c:pt>
                <c:pt idx="7472">
                  <c:v>5.6467670164358323E-2</c:v>
                </c:pt>
                <c:pt idx="7473">
                  <c:v>7.2913151724742775E-2</c:v>
                </c:pt>
                <c:pt idx="7474">
                  <c:v>6.9208774499468176E-2</c:v>
                </c:pt>
                <c:pt idx="7475">
                  <c:v>7.8535114507656587E-2</c:v>
                </c:pt>
                <c:pt idx="7476">
                  <c:v>7.534253941563189E-2</c:v>
                </c:pt>
                <c:pt idx="7477">
                  <c:v>5.8986373426450613E-2</c:v>
                </c:pt>
                <c:pt idx="7478">
                  <c:v>8.6010474716700161E-2</c:v>
                </c:pt>
                <c:pt idx="7479">
                  <c:v>9.3197825724193814E-2</c:v>
                </c:pt>
                <c:pt idx="7480">
                  <c:v>6.6900007391102356E-2</c:v>
                </c:pt>
                <c:pt idx="7481">
                  <c:v>5.1483232384952719E-2</c:v>
                </c:pt>
                <c:pt idx="7482">
                  <c:v>5.8067507643950605E-2</c:v>
                </c:pt>
                <c:pt idx="7483">
                  <c:v>5.0183254469805288E-2</c:v>
                </c:pt>
                <c:pt idx="7484">
                  <c:v>5.4135221044752768E-2</c:v>
                </c:pt>
                <c:pt idx="7485">
                  <c:v>7.1431284987802449E-2</c:v>
                </c:pt>
                <c:pt idx="7486">
                  <c:v>8.3439191004455057E-2</c:v>
                </c:pt>
                <c:pt idx="7487">
                  <c:v>8.1332542981214909E-2</c:v>
                </c:pt>
                <c:pt idx="7488">
                  <c:v>7.0489667393363084E-2</c:v>
                </c:pt>
                <c:pt idx="7489">
                  <c:v>6.4712875228627009E-2</c:v>
                </c:pt>
                <c:pt idx="7490">
                  <c:v>6.6413520993888864E-2</c:v>
                </c:pt>
                <c:pt idx="7491">
                  <c:v>7.8034643994823946E-2</c:v>
                </c:pt>
                <c:pt idx="7492">
                  <c:v>7.366227326112644E-2</c:v>
                </c:pt>
                <c:pt idx="7493">
                  <c:v>6.7487831569647189E-2</c:v>
                </c:pt>
                <c:pt idx="7494">
                  <c:v>6.6487311261420476E-2</c:v>
                </c:pt>
                <c:pt idx="7495">
                  <c:v>4.3186559551322119E-2</c:v>
                </c:pt>
                <c:pt idx="7496">
                  <c:v>6.2853756241219402E-2</c:v>
                </c:pt>
                <c:pt idx="7497">
                  <c:v>6.425314861492494E-2</c:v>
                </c:pt>
                <c:pt idx="7498">
                  <c:v>4.9069484068991864E-2</c:v>
                </c:pt>
                <c:pt idx="7499">
                  <c:v>5.0375115512012243E-2</c:v>
                </c:pt>
                <c:pt idx="7500">
                  <c:v>4.1382025071931311E-2</c:v>
                </c:pt>
                <c:pt idx="7501">
                  <c:v>7.1169990708159866E-2</c:v>
                </c:pt>
                <c:pt idx="7502">
                  <c:v>6.5182581329623082E-2</c:v>
                </c:pt>
                <c:pt idx="7503">
                  <c:v>9.1063097220611594E-2</c:v>
                </c:pt>
                <c:pt idx="7504">
                  <c:v>6.9212107354163194E-2</c:v>
                </c:pt>
                <c:pt idx="7505">
                  <c:v>7.5500609844146388E-2</c:v>
                </c:pt>
                <c:pt idx="7506">
                  <c:v>6.7308220370247668E-2</c:v>
                </c:pt>
                <c:pt idx="7507">
                  <c:v>5.926722425721595E-2</c:v>
                </c:pt>
                <c:pt idx="7508">
                  <c:v>0.10079222640221817</c:v>
                </c:pt>
                <c:pt idx="7509">
                  <c:v>0.11967084481954969</c:v>
                </c:pt>
                <c:pt idx="7510">
                  <c:v>0.13107850759197812</c:v>
                </c:pt>
                <c:pt idx="7511">
                  <c:v>0.12895341601964636</c:v>
                </c:pt>
                <c:pt idx="7512">
                  <c:v>0.12759618051851512</c:v>
                </c:pt>
                <c:pt idx="7513">
                  <c:v>0.13003319706600905</c:v>
                </c:pt>
                <c:pt idx="7514">
                  <c:v>0.1509310433153257</c:v>
                </c:pt>
                <c:pt idx="7515">
                  <c:v>0.15905951795765358</c:v>
                </c:pt>
                <c:pt idx="7516">
                  <c:v>0.16104111008201213</c:v>
                </c:pt>
                <c:pt idx="7517">
                  <c:v>0.16745705464474511</c:v>
                </c:pt>
                <c:pt idx="7518">
                  <c:v>0.16394573704199131</c:v>
                </c:pt>
                <c:pt idx="7519">
                  <c:v>0.1662983549051143</c:v>
                </c:pt>
                <c:pt idx="7520">
                  <c:v>0.11689817259934165</c:v>
                </c:pt>
                <c:pt idx="7521">
                  <c:v>0.12787094363407159</c:v>
                </c:pt>
                <c:pt idx="7522">
                  <c:v>0.12266567268270705</c:v>
                </c:pt>
                <c:pt idx="7523">
                  <c:v>0.13920603810726517</c:v>
                </c:pt>
                <c:pt idx="7524">
                  <c:v>0.17172820837486569</c:v>
                </c:pt>
                <c:pt idx="7525">
                  <c:v>0.19601083969205851</c:v>
                </c:pt>
                <c:pt idx="7526">
                  <c:v>0.19965838240686051</c:v>
                </c:pt>
                <c:pt idx="7527">
                  <c:v>0.17874852311371256</c:v>
                </c:pt>
                <c:pt idx="7528">
                  <c:v>0.19026781015397767</c:v>
                </c:pt>
                <c:pt idx="7529">
                  <c:v>0.18435862808550768</c:v>
                </c:pt>
                <c:pt idx="7530">
                  <c:v>0.17266801213265748</c:v>
                </c:pt>
                <c:pt idx="7531">
                  <c:v>0.19682065190287285</c:v>
                </c:pt>
                <c:pt idx="7532">
                  <c:v>0.18699643102437799</c:v>
                </c:pt>
                <c:pt idx="7533">
                  <c:v>0.19844621053336448</c:v>
                </c:pt>
                <c:pt idx="7534">
                  <c:v>0.24595611263767733</c:v>
                </c:pt>
                <c:pt idx="7535">
                  <c:v>0.23752740152697918</c:v>
                </c:pt>
                <c:pt idx="7536">
                  <c:v>0.1980563557530417</c:v>
                </c:pt>
                <c:pt idx="7537">
                  <c:v>0.21294549265539195</c:v>
                </c:pt>
                <c:pt idx="7538">
                  <c:v>0.19751900993887297</c:v>
                </c:pt>
                <c:pt idx="7539">
                  <c:v>0.24433700229422267</c:v>
                </c:pt>
                <c:pt idx="7540">
                  <c:v>0.13934911272254236</c:v>
                </c:pt>
                <c:pt idx="7541">
                  <c:v>0.19845693553446156</c:v>
                </c:pt>
                <c:pt idx="7542">
                  <c:v>0.22589957258099505</c:v>
                </c:pt>
                <c:pt idx="7543">
                  <c:v>0.21192348371890826</c:v>
                </c:pt>
                <c:pt idx="7544">
                  <c:v>0.1804263924455202</c:v>
                </c:pt>
                <c:pt idx="7545">
                  <c:v>0.19026220549362458</c:v>
                </c:pt>
                <c:pt idx="7546">
                  <c:v>0.21223929036472494</c:v>
                </c:pt>
                <c:pt idx="7547">
                  <c:v>0.17898327471634851</c:v>
                </c:pt>
                <c:pt idx="7548">
                  <c:v>0.19233100790482946</c:v>
                </c:pt>
                <c:pt idx="7549">
                  <c:v>0.15381669294902417</c:v>
                </c:pt>
                <c:pt idx="7550">
                  <c:v>0.14422351724985483</c:v>
                </c:pt>
                <c:pt idx="7551">
                  <c:v>0.1313273263344911</c:v>
                </c:pt>
                <c:pt idx="7552">
                  <c:v>0.11148330232135653</c:v>
                </c:pt>
                <c:pt idx="7553">
                  <c:v>0.13816275383550536</c:v>
                </c:pt>
                <c:pt idx="7554">
                  <c:v>0.1278547668771241</c:v>
                </c:pt>
                <c:pt idx="7555">
                  <c:v>0.12405110938475947</c:v>
                </c:pt>
                <c:pt idx="7556">
                  <c:v>0.17936303886080029</c:v>
                </c:pt>
                <c:pt idx="7557">
                  <c:v>0.24974998907694851</c:v>
                </c:pt>
                <c:pt idx="7558">
                  <c:v>0.23487651611427027</c:v>
                </c:pt>
                <c:pt idx="7559">
                  <c:v>0.25172993570421215</c:v>
                </c:pt>
                <c:pt idx="7560">
                  <c:v>0.26489806566334956</c:v>
                </c:pt>
                <c:pt idx="7561">
                  <c:v>0.27875360095282892</c:v>
                </c:pt>
                <c:pt idx="7562">
                  <c:v>5.6171622716548117E-3</c:v>
                </c:pt>
                <c:pt idx="7563">
                  <c:v>3.9905820379340226E-3</c:v>
                </c:pt>
                <c:pt idx="7564">
                  <c:v>2.8344902411372125E-3</c:v>
                </c:pt>
                <c:pt idx="7565">
                  <c:v>4.4043548000624825E-3</c:v>
                </c:pt>
                <c:pt idx="7566">
                  <c:v>5.588437517921519E-3</c:v>
                </c:pt>
                <c:pt idx="7567">
                  <c:v>6.4797340761802895E-3</c:v>
                </c:pt>
                <c:pt idx="7568">
                  <c:v>2.8646920364640612E-3</c:v>
                </c:pt>
                <c:pt idx="7569">
                  <c:v>2.929834472459078E-3</c:v>
                </c:pt>
                <c:pt idx="7570">
                  <c:v>4.9165082588190955E-3</c:v>
                </c:pt>
                <c:pt idx="7571">
                  <c:v>5.5892950007675295E-3</c:v>
                </c:pt>
                <c:pt idx="7572">
                  <c:v>3.6901132413252589E-3</c:v>
                </c:pt>
                <c:pt idx="7573">
                  <c:v>3.1277902495976668E-3</c:v>
                </c:pt>
                <c:pt idx="7574">
                  <c:v>1.0657339093132516E-2</c:v>
                </c:pt>
                <c:pt idx="7575">
                  <c:v>3.4101200028121012E-3</c:v>
                </c:pt>
                <c:pt idx="7576">
                  <c:v>5.4743772100969762E-3</c:v>
                </c:pt>
                <c:pt idx="7577">
                  <c:v>4.0275881685450272E-3</c:v>
                </c:pt>
                <c:pt idx="7578">
                  <c:v>9.5239803053437377E-3</c:v>
                </c:pt>
                <c:pt idx="7579">
                  <c:v>5.3036595843487825E-3</c:v>
                </c:pt>
                <c:pt idx="7580">
                  <c:v>5.744471516531068E-3</c:v>
                </c:pt>
                <c:pt idx="7581">
                  <c:v>5.070208297713521E-3</c:v>
                </c:pt>
                <c:pt idx="7582">
                  <c:v>8.0552588334432736E-3</c:v>
                </c:pt>
                <c:pt idx="7583">
                  <c:v>5.4434985910392E-3</c:v>
                </c:pt>
                <c:pt idx="7584">
                  <c:v>5.9377216279673673E-3</c:v>
                </c:pt>
                <c:pt idx="7585">
                  <c:v>6.1143613048726682E-2</c:v>
                </c:pt>
                <c:pt idx="7586">
                  <c:v>1.6207988690757789E-3</c:v>
                </c:pt>
                <c:pt idx="7587">
                  <c:v>4.4593800993259734E-3</c:v>
                </c:pt>
                <c:pt idx="7588">
                  <c:v>4.5608147215001503E-3</c:v>
                </c:pt>
                <c:pt idx="7589">
                  <c:v>7.9819267261969414E-3</c:v>
                </c:pt>
                <c:pt idx="7590">
                  <c:v>5.8138971963424668E-3</c:v>
                </c:pt>
                <c:pt idx="7591">
                  <c:v>6.2807322658537616E-3</c:v>
                </c:pt>
                <c:pt idx="7592">
                  <c:v>5.3903136000379446E-3</c:v>
                </c:pt>
                <c:pt idx="7593">
                  <c:v>7.257747160048891E-3</c:v>
                </c:pt>
                <c:pt idx="7594">
                  <c:v>3.6797782383197843E-3</c:v>
                </c:pt>
                <c:pt idx="7595">
                  <c:v>2.5077451566276397E-3</c:v>
                </c:pt>
                <c:pt idx="7596">
                  <c:v>2.3047545621598191E-3</c:v>
                </c:pt>
                <c:pt idx="7597">
                  <c:v>6.6589716176917715E-3</c:v>
                </c:pt>
                <c:pt idx="7598">
                  <c:v>3.3704756036058449E-3</c:v>
                </c:pt>
                <c:pt idx="7599">
                  <c:v>2.7464615991518184E-3</c:v>
                </c:pt>
                <c:pt idx="7600">
                  <c:v>2.4533357091513696E-3</c:v>
                </c:pt>
                <c:pt idx="7601">
                  <c:v>4.348892561108147E-3</c:v>
                </c:pt>
                <c:pt idx="7602">
                  <c:v>3.7956023291153477E-3</c:v>
                </c:pt>
                <c:pt idx="7603">
                  <c:v>3.0230013721408255E-3</c:v>
                </c:pt>
                <c:pt idx="7604">
                  <c:v>3.6746106445863461E-3</c:v>
                </c:pt>
                <c:pt idx="7605">
                  <c:v>5.6797499310729744E-3</c:v>
                </c:pt>
                <c:pt idx="7606">
                  <c:v>2.5928002379346886E-3</c:v>
                </c:pt>
                <c:pt idx="7607">
                  <c:v>4.7722039727341103E-3</c:v>
                </c:pt>
                <c:pt idx="7608">
                  <c:v>6.1818393904889187E-3</c:v>
                </c:pt>
                <c:pt idx="7609">
                  <c:v>4.0073642786129134E-3</c:v>
                </c:pt>
                <c:pt idx="7610">
                  <c:v>7.4776464560033307E-3</c:v>
                </c:pt>
                <c:pt idx="7611">
                  <c:v>9.3935243430036622E-3</c:v>
                </c:pt>
                <c:pt idx="7612">
                  <c:v>1.1598775419266299E-2</c:v>
                </c:pt>
                <c:pt idx="7613">
                  <c:v>1.5459514304811586E-2</c:v>
                </c:pt>
                <c:pt idx="7614">
                  <c:v>1.3495756513587214E-2</c:v>
                </c:pt>
                <c:pt idx="7615">
                  <c:v>7.0266261724499356E-3</c:v>
                </c:pt>
                <c:pt idx="7616">
                  <c:v>8.9810767925244065E-3</c:v>
                </c:pt>
                <c:pt idx="7617">
                  <c:v>6.8167591956023949E-3</c:v>
                </c:pt>
                <c:pt idx="7618">
                  <c:v>9.8319048913311016E-3</c:v>
                </c:pt>
                <c:pt idx="7619">
                  <c:v>1.0960650211325074E-2</c:v>
                </c:pt>
                <c:pt idx="7620">
                  <c:v>1.2291695070370224E-2</c:v>
                </c:pt>
                <c:pt idx="7621">
                  <c:v>5.147037923628279E-3</c:v>
                </c:pt>
                <c:pt idx="7622">
                  <c:v>8.0330899673313871E-3</c:v>
                </c:pt>
                <c:pt idx="7623">
                  <c:v>6.5558869860076483E-3</c:v>
                </c:pt>
                <c:pt idx="7624">
                  <c:v>8.2521710079879219E-3</c:v>
                </c:pt>
                <c:pt idx="7625">
                  <c:v>5.8858824770771897E-3</c:v>
                </c:pt>
                <c:pt idx="7626">
                  <c:v>8.5337451731107693E-3</c:v>
                </c:pt>
                <c:pt idx="7627">
                  <c:v>7.8680668847743024E-3</c:v>
                </c:pt>
                <c:pt idx="7628">
                  <c:v>8.5090455168425911E-3</c:v>
                </c:pt>
                <c:pt idx="7629">
                  <c:v>7.3508443362605468E-3</c:v>
                </c:pt>
                <c:pt idx="7630">
                  <c:v>8.296485249705653E-3</c:v>
                </c:pt>
                <c:pt idx="7631">
                  <c:v>6.0045464445176418E-3</c:v>
                </c:pt>
                <c:pt idx="7632">
                  <c:v>4.636445461283379E-3</c:v>
                </c:pt>
                <c:pt idx="7633">
                  <c:v>3.6069956278085677E-3</c:v>
                </c:pt>
                <c:pt idx="7634">
                  <c:v>4.7172182966282034E-3</c:v>
                </c:pt>
                <c:pt idx="7635">
                  <c:v>5.4623691191235746E-3</c:v>
                </c:pt>
                <c:pt idx="7636">
                  <c:v>5.8987357360181895E-3</c:v>
                </c:pt>
                <c:pt idx="7637">
                  <c:v>8.3041545633048396E-3</c:v>
                </c:pt>
                <c:pt idx="7638">
                  <c:v>7.5591730442433275E-3</c:v>
                </c:pt>
                <c:pt idx="7639">
                  <c:v>1.7214118505204587E-2</c:v>
                </c:pt>
                <c:pt idx="7640">
                  <c:v>7.2483509234668436E-3</c:v>
                </c:pt>
                <c:pt idx="7641">
                  <c:v>6.0028331161213495E-3</c:v>
                </c:pt>
                <c:pt idx="7642">
                  <c:v>7.3196718161886469E-3</c:v>
                </c:pt>
                <c:pt idx="7643">
                  <c:v>8.2892418847248413E-3</c:v>
                </c:pt>
                <c:pt idx="7644">
                  <c:v>1.2985196933809697E-2</c:v>
                </c:pt>
                <c:pt idx="7645">
                  <c:v>6.115041850503637E-3</c:v>
                </c:pt>
                <c:pt idx="7646">
                  <c:v>7.3610923473021068E-3</c:v>
                </c:pt>
                <c:pt idx="7647">
                  <c:v>6.41041476301375E-3</c:v>
                </c:pt>
                <c:pt idx="7648">
                  <c:v>7.5395397675786938E-3</c:v>
                </c:pt>
                <c:pt idx="7649">
                  <c:v>9.3450714330750827E-3</c:v>
                </c:pt>
                <c:pt idx="7650">
                  <c:v>9.9677470148316939E-3</c:v>
                </c:pt>
                <c:pt idx="7651">
                  <c:v>6.2370680582991573E-3</c:v>
                </c:pt>
                <c:pt idx="7652">
                  <c:v>6.817614256645464E-3</c:v>
                </c:pt>
                <c:pt idx="7653">
                  <c:v>5.4563649491273028E-3</c:v>
                </c:pt>
                <c:pt idx="7654">
                  <c:v>4.7747812554964266E-3</c:v>
                </c:pt>
                <c:pt idx="7655">
                  <c:v>7.6120931085331836E-3</c:v>
                </c:pt>
                <c:pt idx="7656">
                  <c:v>4.7442824290862794E-3</c:v>
                </c:pt>
                <c:pt idx="7657">
                  <c:v>8.0757213978094617E-3</c:v>
                </c:pt>
                <c:pt idx="7658">
                  <c:v>8.2227677176306118E-3</c:v>
                </c:pt>
                <c:pt idx="7659">
                  <c:v>6.4176895315624927E-3</c:v>
                </c:pt>
                <c:pt idx="7660">
                  <c:v>7.5531977931289134E-3</c:v>
                </c:pt>
                <c:pt idx="7661">
                  <c:v>5.4100442759913965E-3</c:v>
                </c:pt>
                <c:pt idx="7662">
                  <c:v>6.6679529371413207E-3</c:v>
                </c:pt>
                <c:pt idx="7663">
                  <c:v>5.8228960089773685E-3</c:v>
                </c:pt>
                <c:pt idx="7664">
                  <c:v>5.4803811310786023E-3</c:v>
                </c:pt>
                <c:pt idx="7665">
                  <c:v>3.270917734272882E-3</c:v>
                </c:pt>
                <c:pt idx="7666">
                  <c:v>5.2547481995950419E-3</c:v>
                </c:pt>
                <c:pt idx="7667">
                  <c:v>4.7636129197298187E-3</c:v>
                </c:pt>
                <c:pt idx="7668">
                  <c:v>7.2150353555625454E-3</c:v>
                </c:pt>
                <c:pt idx="7669">
                  <c:v>1.5923636647331662E-2</c:v>
                </c:pt>
                <c:pt idx="7670">
                  <c:v>6.1129007337765006E-3</c:v>
                </c:pt>
                <c:pt idx="7671">
                  <c:v>7.2099096567322055E-3</c:v>
                </c:pt>
                <c:pt idx="7672">
                  <c:v>6.7885412367038713E-3</c:v>
                </c:pt>
                <c:pt idx="7673">
                  <c:v>6.2225123468323939E-3</c:v>
                </c:pt>
                <c:pt idx="7674">
                  <c:v>3.5919207813500755E-3</c:v>
                </c:pt>
                <c:pt idx="7675">
                  <c:v>6.4065633656245164E-3</c:v>
                </c:pt>
                <c:pt idx="7676">
                  <c:v>6.982182161467199E-3</c:v>
                </c:pt>
                <c:pt idx="7677">
                  <c:v>8.8406702400801191E-3</c:v>
                </c:pt>
                <c:pt idx="7678">
                  <c:v>8.4298267972299345E-3</c:v>
                </c:pt>
                <c:pt idx="7679">
                  <c:v>9.1809714289547324E-3</c:v>
                </c:pt>
                <c:pt idx="7680">
                  <c:v>7.1189184342476154E-3</c:v>
                </c:pt>
                <c:pt idx="7681">
                  <c:v>1.1886640315137167E-2</c:v>
                </c:pt>
                <c:pt idx="7682">
                  <c:v>6.0743588275149673E-3</c:v>
                </c:pt>
                <c:pt idx="7683">
                  <c:v>1.1114766302103979E-2</c:v>
                </c:pt>
                <c:pt idx="7684">
                  <c:v>4.3893076059183583E-3</c:v>
                </c:pt>
                <c:pt idx="7685">
                  <c:v>5.6188771222280146E-3</c:v>
                </c:pt>
                <c:pt idx="7686">
                  <c:v>7.9132732413498708E-3</c:v>
                </c:pt>
                <c:pt idx="7687">
                  <c:v>1.0453883359422848E-2</c:v>
                </c:pt>
                <c:pt idx="7688">
                  <c:v>5.8010414262612614E-3</c:v>
                </c:pt>
                <c:pt idx="7689">
                  <c:v>5.5935823896021072E-3</c:v>
                </c:pt>
                <c:pt idx="7690">
                  <c:v>8.0488640843516899E-3</c:v>
                </c:pt>
                <c:pt idx="7691">
                  <c:v>6.7556179672227899E-3</c:v>
                </c:pt>
                <c:pt idx="7692">
                  <c:v>6.0983408600821338E-3</c:v>
                </c:pt>
                <c:pt idx="7693">
                  <c:v>2.8957545492146147E-3</c:v>
                </c:pt>
                <c:pt idx="7694">
                  <c:v>3.5389393127461207E-3</c:v>
                </c:pt>
                <c:pt idx="7695">
                  <c:v>3.987139446866554E-3</c:v>
                </c:pt>
                <c:pt idx="7696">
                  <c:v>2.4939275299993282E-3</c:v>
                </c:pt>
                <c:pt idx="7697">
                  <c:v>3.4174452021936831E-3</c:v>
                </c:pt>
                <c:pt idx="7698">
                  <c:v>3.6009657520168154E-3</c:v>
                </c:pt>
                <c:pt idx="7699">
                  <c:v>5.2234248581359841E-3</c:v>
                </c:pt>
                <c:pt idx="7700">
                  <c:v>5.921870643543597E-3</c:v>
                </c:pt>
                <c:pt idx="7701">
                  <c:v>5.6317382856978957E-3</c:v>
                </c:pt>
                <c:pt idx="7702">
                  <c:v>5.9827010011397966E-3</c:v>
                </c:pt>
                <c:pt idx="7703">
                  <c:v>8.7274609984644459E-3</c:v>
                </c:pt>
                <c:pt idx="7704">
                  <c:v>7.4703894210520344E-3</c:v>
                </c:pt>
                <c:pt idx="7705">
                  <c:v>0.25274359439311939</c:v>
                </c:pt>
                <c:pt idx="7706">
                  <c:v>0.17945929267579735</c:v>
                </c:pt>
                <c:pt idx="7707">
                  <c:v>0.12337790373347961</c:v>
                </c:pt>
                <c:pt idx="7708">
                  <c:v>0.1164938429621226</c:v>
                </c:pt>
                <c:pt idx="7709">
                  <c:v>0.12266763725903487</c:v>
                </c:pt>
                <c:pt idx="7710">
                  <c:v>0.11224025551148684</c:v>
                </c:pt>
                <c:pt idx="7711">
                  <c:v>0.1219683418292634</c:v>
                </c:pt>
                <c:pt idx="7712">
                  <c:v>0.12329551873458786</c:v>
                </c:pt>
                <c:pt idx="7713">
                  <c:v>5.2123483799022707E-2</c:v>
                </c:pt>
                <c:pt idx="7714">
                  <c:v>0.1067625516586264</c:v>
                </c:pt>
                <c:pt idx="7715">
                  <c:v>0.11112601886839447</c:v>
                </c:pt>
                <c:pt idx="7716">
                  <c:v>9.4285212212303487E-2</c:v>
                </c:pt>
                <c:pt idx="7717">
                  <c:v>7.8944491033384412E-2</c:v>
                </c:pt>
                <c:pt idx="7718">
                  <c:v>9.2631531504645009E-2</c:v>
                </c:pt>
                <c:pt idx="7719">
                  <c:v>8.1380796883398568E-2</c:v>
                </c:pt>
                <c:pt idx="7720">
                  <c:v>7.9330690016471764E-2</c:v>
                </c:pt>
                <c:pt idx="7721">
                  <c:v>9.3335167886212156E-2</c:v>
                </c:pt>
                <c:pt idx="7722">
                  <c:v>9.704306045548336E-2</c:v>
                </c:pt>
                <c:pt idx="7723">
                  <c:v>0.11207924071105752</c:v>
                </c:pt>
                <c:pt idx="7724">
                  <c:v>8.969886086430337E-2</c:v>
                </c:pt>
                <c:pt idx="7725">
                  <c:v>8.3869393582528026E-2</c:v>
                </c:pt>
                <c:pt idx="7726">
                  <c:v>0.10162199011902273</c:v>
                </c:pt>
                <c:pt idx="7727">
                  <c:v>0.10569680613898573</c:v>
                </c:pt>
                <c:pt idx="7728">
                  <c:v>8.7325595257227759E-2</c:v>
                </c:pt>
                <c:pt idx="7729">
                  <c:v>0.11201783809689168</c:v>
                </c:pt>
                <c:pt idx="7730">
                  <c:v>0.1138728572505974</c:v>
                </c:pt>
                <c:pt idx="7731">
                  <c:v>9.7967707654847538E-2</c:v>
                </c:pt>
                <c:pt idx="7732">
                  <c:v>0.10294591216864066</c:v>
                </c:pt>
                <c:pt idx="7733">
                  <c:v>7.0804135781768252E-2</c:v>
                </c:pt>
                <c:pt idx="7734">
                  <c:v>8.8106307486424576E-2</c:v>
                </c:pt>
                <c:pt idx="7735">
                  <c:v>6.8377354524927283E-2</c:v>
                </c:pt>
                <c:pt idx="7736">
                  <c:v>8.5064986277894564E-2</c:v>
                </c:pt>
                <c:pt idx="7737">
                  <c:v>0.10051287387291481</c:v>
                </c:pt>
                <c:pt idx="7738">
                  <c:v>9.8968546561421789E-2</c:v>
                </c:pt>
                <c:pt idx="7739">
                  <c:v>0.11997537697943286</c:v>
                </c:pt>
                <c:pt idx="7740">
                  <c:v>0.11220369697237696</c:v>
                </c:pt>
                <c:pt idx="7741">
                  <c:v>0.11012183430422071</c:v>
                </c:pt>
                <c:pt idx="7742">
                  <c:v>9.019560317483151E-2</c:v>
                </c:pt>
                <c:pt idx="7743">
                  <c:v>0.11343760598185851</c:v>
                </c:pt>
                <c:pt idx="7744">
                  <c:v>0.10247555510789093</c:v>
                </c:pt>
                <c:pt idx="7745">
                  <c:v>0.11199065711867555</c:v>
                </c:pt>
                <c:pt idx="7746">
                  <c:v>0.10199335627204326</c:v>
                </c:pt>
                <c:pt idx="7747">
                  <c:v>9.8782470255674035E-2</c:v>
                </c:pt>
                <c:pt idx="7748">
                  <c:v>0.11117544435050092</c:v>
                </c:pt>
                <c:pt idx="7749">
                  <c:v>7.6141063850425336E-2</c:v>
                </c:pt>
                <c:pt idx="7750">
                  <c:v>8.2794343250240376E-2</c:v>
                </c:pt>
                <c:pt idx="7751">
                  <c:v>7.5026956636646838E-2</c:v>
                </c:pt>
                <c:pt idx="7752">
                  <c:v>5.5984620428127733E-2</c:v>
                </c:pt>
                <c:pt idx="7753">
                  <c:v>5.942367906341197E-2</c:v>
                </c:pt>
                <c:pt idx="7754">
                  <c:v>6.8083400705832714E-2</c:v>
                </c:pt>
                <c:pt idx="7755">
                  <c:v>6.9734678695697147E-2</c:v>
                </c:pt>
                <c:pt idx="7756">
                  <c:v>5.4135987838746728E-2</c:v>
                </c:pt>
                <c:pt idx="7757">
                  <c:v>4.8635988432648505E-2</c:v>
                </c:pt>
                <c:pt idx="7758">
                  <c:v>4.5376577590781897E-2</c:v>
                </c:pt>
                <c:pt idx="7759">
                  <c:v>3.4510533566607378E-3</c:v>
                </c:pt>
                <c:pt idx="7760">
                  <c:v>3.2847106624709394E-3</c:v>
                </c:pt>
                <c:pt idx="7761">
                  <c:v>2.499806267096271E-2</c:v>
                </c:pt>
                <c:pt idx="7762">
                  <c:v>3.0858683390925415E-2</c:v>
                </c:pt>
                <c:pt idx="7763">
                  <c:v>7.4849033696921261E-3</c:v>
                </c:pt>
                <c:pt idx="7764">
                  <c:v>4.3110537911514131E-3</c:v>
                </c:pt>
                <c:pt idx="7765">
                  <c:v>3.3200530416265281E-3</c:v>
                </c:pt>
                <c:pt idx="7766">
                  <c:v>6.9830368968793743E-3</c:v>
                </c:pt>
                <c:pt idx="7767">
                  <c:v>1.0926771210965341E-2</c:v>
                </c:pt>
                <c:pt idx="7768">
                  <c:v>1.6658598678005121E-2</c:v>
                </c:pt>
                <c:pt idx="7769">
                  <c:v>1.5033073304933767E-2</c:v>
                </c:pt>
                <c:pt idx="7770">
                  <c:v>1.2096183997411096E-2</c:v>
                </c:pt>
                <c:pt idx="7771">
                  <c:v>7.5506369460560134E-3</c:v>
                </c:pt>
                <c:pt idx="7772">
                  <c:v>1.5428499287769083E-2</c:v>
                </c:pt>
                <c:pt idx="7773">
                  <c:v>1.2814033603943476E-2</c:v>
                </c:pt>
                <c:pt idx="7774">
                  <c:v>2.7262740191327919E-2</c:v>
                </c:pt>
                <c:pt idx="7775">
                  <c:v>2.0875666595369095E-2</c:v>
                </c:pt>
                <c:pt idx="7776">
                  <c:v>2.6357550122203487E-2</c:v>
                </c:pt>
                <c:pt idx="7777">
                  <c:v>1.7847523882718634E-3</c:v>
                </c:pt>
                <c:pt idx="7778">
                  <c:v>6.0713609803268688E-3</c:v>
                </c:pt>
                <c:pt idx="7779">
                  <c:v>9.4313478576239125E-3</c:v>
                </c:pt>
                <c:pt idx="7780">
                  <c:v>5.1195696742621401E-3</c:v>
                </c:pt>
                <c:pt idx="7781">
                  <c:v>6.4673258763453317E-3</c:v>
                </c:pt>
                <c:pt idx="7782">
                  <c:v>3.416152528927774E-3</c:v>
                </c:pt>
                <c:pt idx="7783">
                  <c:v>7.4170251456567504E-3</c:v>
                </c:pt>
                <c:pt idx="7784">
                  <c:v>3.7904361133769475E-3</c:v>
                </c:pt>
                <c:pt idx="7785">
                  <c:v>4.7700562254153322E-3</c:v>
                </c:pt>
                <c:pt idx="7786">
                  <c:v>6.4977039440025424E-3</c:v>
                </c:pt>
                <c:pt idx="7787">
                  <c:v>5.7731859521848779E-3</c:v>
                </c:pt>
                <c:pt idx="7788">
                  <c:v>1.6268563006837018E-3</c:v>
                </c:pt>
                <c:pt idx="7789">
                  <c:v>2.4980432216009065E-2</c:v>
                </c:pt>
                <c:pt idx="7790">
                  <c:v>2.3409271317860251E-2</c:v>
                </c:pt>
                <c:pt idx="7791">
                  <c:v>2.2236133746555295E-2</c:v>
                </c:pt>
                <c:pt idx="7792">
                  <c:v>2.2003767656529827E-2</c:v>
                </c:pt>
                <c:pt idx="7793">
                  <c:v>8.5746242762839847E-3</c:v>
                </c:pt>
                <c:pt idx="7794">
                  <c:v>1.6597380267008664E-3</c:v>
                </c:pt>
                <c:pt idx="7795">
                  <c:v>4.2938532603575778E-3</c:v>
                </c:pt>
                <c:pt idx="7796">
                  <c:v>4.5221348212148528E-3</c:v>
                </c:pt>
                <c:pt idx="7797">
                  <c:v>2.7896151237416442E-3</c:v>
                </c:pt>
                <c:pt idx="7798">
                  <c:v>4.3979060664104796E-3</c:v>
                </c:pt>
                <c:pt idx="7799">
                  <c:v>7.6146535932523308E-3</c:v>
                </c:pt>
                <c:pt idx="7800">
                  <c:v>7.8748907873075723E-3</c:v>
                </c:pt>
                <c:pt idx="7801">
                  <c:v>2.6221554854150082E-3</c:v>
                </c:pt>
                <c:pt idx="7802">
                  <c:v>3.8309031586355427E-3</c:v>
                </c:pt>
                <c:pt idx="7803">
                  <c:v>5.1418877592046934E-3</c:v>
                </c:pt>
                <c:pt idx="7804">
                  <c:v>2.0212727963723393E-3</c:v>
                </c:pt>
                <c:pt idx="7805">
                  <c:v>3.5897671891398659E-3</c:v>
                </c:pt>
                <c:pt idx="7806">
                  <c:v>7.5301496258469132E-3</c:v>
                </c:pt>
                <c:pt idx="7807">
                  <c:v>2.057150380540944E-3</c:v>
                </c:pt>
                <c:pt idx="7808">
                  <c:v>2.226988350262857E-3</c:v>
                </c:pt>
                <c:pt idx="7809">
                  <c:v>3.7206861852828897E-3</c:v>
                </c:pt>
                <c:pt idx="7810">
                  <c:v>4.5083811375408508E-3</c:v>
                </c:pt>
                <c:pt idx="7811">
                  <c:v>2.6661846365809315E-3</c:v>
                </c:pt>
                <c:pt idx="7812">
                  <c:v>1.6017606768295839E-3</c:v>
                </c:pt>
                <c:pt idx="7813">
                  <c:v>4.8306186266543301E-3</c:v>
                </c:pt>
                <c:pt idx="7814">
                  <c:v>4.8477979120399965E-3</c:v>
                </c:pt>
                <c:pt idx="7815">
                  <c:v>2.9199127454451195E-3</c:v>
                </c:pt>
                <c:pt idx="7816">
                  <c:v>8.7317175188926701E-3</c:v>
                </c:pt>
                <c:pt idx="7817">
                  <c:v>2.4408119347624625E-3</c:v>
                </c:pt>
                <c:pt idx="7818">
                  <c:v>6.7239750704532475E-3</c:v>
                </c:pt>
                <c:pt idx="7819">
                  <c:v>1.8833542475028369E-3</c:v>
                </c:pt>
                <c:pt idx="7820">
                  <c:v>4.0224247117086765E-3</c:v>
                </c:pt>
                <c:pt idx="7821">
                  <c:v>2.3064825420505259E-3</c:v>
                </c:pt>
                <c:pt idx="7822">
                  <c:v>2.9186185904279331E-3</c:v>
                </c:pt>
                <c:pt idx="7823">
                  <c:v>2.6117950364026562E-3</c:v>
                </c:pt>
                <c:pt idx="7824">
                  <c:v>3.9303327540596142E-3</c:v>
                </c:pt>
                <c:pt idx="7825">
                  <c:v>8.0313846230651402E-3</c:v>
                </c:pt>
                <c:pt idx="7826">
                  <c:v>4.4103735317461302E-3</c:v>
                </c:pt>
                <c:pt idx="7827">
                  <c:v>1.0750981468979305E-2</c:v>
                </c:pt>
                <c:pt idx="7828">
                  <c:v>3.0462899744895509E-3</c:v>
                </c:pt>
                <c:pt idx="7829">
                  <c:v>8.6295495126335452E-3</c:v>
                </c:pt>
                <c:pt idx="7830">
                  <c:v>2.0982114480034516E-3</c:v>
                </c:pt>
                <c:pt idx="7831">
                  <c:v>2.5893465489542993E-3</c:v>
                </c:pt>
                <c:pt idx="7832">
                  <c:v>2.4183546073055203E-3</c:v>
                </c:pt>
                <c:pt idx="7833">
                  <c:v>7.0146609246001202E-3</c:v>
                </c:pt>
                <c:pt idx="7834">
                  <c:v>3.5212773867943073E-3</c:v>
                </c:pt>
                <c:pt idx="7835">
                  <c:v>3.1312396593217899E-3</c:v>
                </c:pt>
                <c:pt idx="7836">
                  <c:v>2.3354251832061975E-3</c:v>
                </c:pt>
                <c:pt idx="7837">
                  <c:v>6.0281040245652668E-3</c:v>
                </c:pt>
                <c:pt idx="7838">
                  <c:v>8.7223531188818631E-3</c:v>
                </c:pt>
                <c:pt idx="7839">
                  <c:v>1.7337128090005314E-3</c:v>
                </c:pt>
                <c:pt idx="7840">
                  <c:v>3.0307643783498979E-3</c:v>
                </c:pt>
                <c:pt idx="7841">
                  <c:v>3.2101374263408542E-3</c:v>
                </c:pt>
                <c:pt idx="7842">
                  <c:v>2.8280181545905585E-3</c:v>
                </c:pt>
                <c:pt idx="7843">
                  <c:v>1.3476940164272196E-3</c:v>
                </c:pt>
                <c:pt idx="7844">
                  <c:v>1.0880606818977352E-2</c:v>
                </c:pt>
                <c:pt idx="7845">
                  <c:v>1.0822152295518715E-3</c:v>
                </c:pt>
                <c:pt idx="7846">
                  <c:v>4.1988080462253266E-3</c:v>
                </c:pt>
                <c:pt idx="7847">
                  <c:v>1.4243192075001866E-3</c:v>
                </c:pt>
                <c:pt idx="7848">
                  <c:v>6.3684754857820372E-3</c:v>
                </c:pt>
                <c:pt idx="7849">
                  <c:v>5.3710109844068155E-3</c:v>
                </c:pt>
                <c:pt idx="7850">
                  <c:v>7.40549760097988E-3</c:v>
                </c:pt>
                <c:pt idx="7851">
                  <c:v>8.462197482355353E-3</c:v>
                </c:pt>
                <c:pt idx="7852">
                  <c:v>2.9807336815824543E-3</c:v>
                </c:pt>
                <c:pt idx="7853">
                  <c:v>6.4134102707035E-3</c:v>
                </c:pt>
                <c:pt idx="7854">
                  <c:v>6.7120014812413501E-3</c:v>
                </c:pt>
                <c:pt idx="7855">
                  <c:v>1.34300745702666E-2</c:v>
                </c:pt>
                <c:pt idx="7856">
                  <c:v>5.1496129829374229E-3</c:v>
                </c:pt>
                <c:pt idx="7857">
                  <c:v>4.1747208875387784E-3</c:v>
                </c:pt>
                <c:pt idx="7858">
                  <c:v>9.30001387680786E-3</c:v>
                </c:pt>
                <c:pt idx="7859">
                  <c:v>1.0110335529643093E-2</c:v>
                </c:pt>
                <c:pt idx="7860">
                  <c:v>7.984058648254428E-3</c:v>
                </c:pt>
                <c:pt idx="7861">
                  <c:v>5.5172605391273812E-3</c:v>
                </c:pt>
                <c:pt idx="7862">
                  <c:v>1.0292746612978246E-2</c:v>
                </c:pt>
                <c:pt idx="7863">
                  <c:v>4.8435031544016025E-3</c:v>
                </c:pt>
                <c:pt idx="7864">
                  <c:v>7.7784932236889398E-3</c:v>
                </c:pt>
                <c:pt idx="7865">
                  <c:v>8.7738548203824714E-3</c:v>
                </c:pt>
                <c:pt idx="7866">
                  <c:v>1.3932541294461354E-2</c:v>
                </c:pt>
                <c:pt idx="7867">
                  <c:v>6.1951120370420101E-3</c:v>
                </c:pt>
                <c:pt idx="7868">
                  <c:v>7.6385507226997829E-3</c:v>
                </c:pt>
                <c:pt idx="7869">
                  <c:v>5.9818442946943627E-3</c:v>
                </c:pt>
                <c:pt idx="7870">
                  <c:v>1.3458706382246246E-2</c:v>
                </c:pt>
                <c:pt idx="7871">
                  <c:v>4.8035598740824182E-3</c:v>
                </c:pt>
                <c:pt idx="7872">
                  <c:v>4.2547195147882638E-3</c:v>
                </c:pt>
                <c:pt idx="7873">
                  <c:v>4.1231010484840671E-3</c:v>
                </c:pt>
                <c:pt idx="7874">
                  <c:v>7.1466877299290995E-3</c:v>
                </c:pt>
                <c:pt idx="7875">
                  <c:v>3.6237926975007709E-3</c:v>
                </c:pt>
                <c:pt idx="7876">
                  <c:v>3.9514209541887625E-3</c:v>
                </c:pt>
                <c:pt idx="7877">
                  <c:v>3.2972101252831468E-3</c:v>
                </c:pt>
                <c:pt idx="7878">
                  <c:v>4.8387788719448264E-3</c:v>
                </c:pt>
                <c:pt idx="7879">
                  <c:v>3.7624513767408872E-3</c:v>
                </c:pt>
                <c:pt idx="7880">
                  <c:v>7.7217536813432826E-3</c:v>
                </c:pt>
                <c:pt idx="7881">
                  <c:v>9.6068228671416771E-3</c:v>
                </c:pt>
                <c:pt idx="7882">
                  <c:v>6.2845847792913287E-3</c:v>
                </c:pt>
                <c:pt idx="7883">
                  <c:v>1.1567906329017975E-2</c:v>
                </c:pt>
                <c:pt idx="7884">
                  <c:v>9.9168111976617162E-3</c:v>
                </c:pt>
                <c:pt idx="7885">
                  <c:v>1.4900904831351902E-2</c:v>
                </c:pt>
                <c:pt idx="7886">
                  <c:v>8.039058619529655E-3</c:v>
                </c:pt>
                <c:pt idx="7887">
                  <c:v>8.1571358020668169E-3</c:v>
                </c:pt>
                <c:pt idx="7888">
                  <c:v>9.5770863297496064E-3</c:v>
                </c:pt>
                <c:pt idx="7889">
                  <c:v>1.371714936706075E-2</c:v>
                </c:pt>
                <c:pt idx="7890">
                  <c:v>8.970866937363561E-3</c:v>
                </c:pt>
                <c:pt idx="7891">
                  <c:v>9.6543970923124306E-3</c:v>
                </c:pt>
                <c:pt idx="7892">
                  <c:v>7.7251667956878458E-3</c:v>
                </c:pt>
                <c:pt idx="7893">
                  <c:v>1.0800972298295589E-2</c:v>
                </c:pt>
                <c:pt idx="7894">
                  <c:v>5.6951811185104E-3</c:v>
                </c:pt>
                <c:pt idx="7895">
                  <c:v>6.1540083307189738E-3</c:v>
                </c:pt>
                <c:pt idx="7896">
                  <c:v>6.0559431536202375E-3</c:v>
                </c:pt>
                <c:pt idx="7897">
                  <c:v>7.9047441002663039E-3</c:v>
                </c:pt>
                <c:pt idx="7898">
                  <c:v>5.78432835621306E-3</c:v>
                </c:pt>
                <c:pt idx="7899">
                  <c:v>6.6226167605250436E-3</c:v>
                </c:pt>
                <c:pt idx="7900">
                  <c:v>1.1224815749743735E-2</c:v>
                </c:pt>
                <c:pt idx="7901">
                  <c:v>5.1049764601246994E-3</c:v>
                </c:pt>
                <c:pt idx="7902">
                  <c:v>5.5339838897802236E-3</c:v>
                </c:pt>
                <c:pt idx="7903">
                  <c:v>5.7834712583601424E-3</c:v>
                </c:pt>
                <c:pt idx="7904">
                  <c:v>4.0951377403394881E-3</c:v>
                </c:pt>
                <c:pt idx="7905">
                  <c:v>8.4907327958912218E-3</c:v>
                </c:pt>
                <c:pt idx="7906">
                  <c:v>6.5871143748167625E-3</c:v>
                </c:pt>
                <c:pt idx="7907">
                  <c:v>6.1296011643115419E-3</c:v>
                </c:pt>
                <c:pt idx="7908">
                  <c:v>4.5388965343067999E-3</c:v>
                </c:pt>
                <c:pt idx="7909">
                  <c:v>5.7569003858929874E-3</c:v>
                </c:pt>
                <c:pt idx="7910">
                  <c:v>1.1709125045688305E-2</c:v>
                </c:pt>
                <c:pt idx="7911">
                  <c:v>1.4181875458637722E-2</c:v>
                </c:pt>
                <c:pt idx="7912">
                  <c:v>2.1749797528269131E-2</c:v>
                </c:pt>
                <c:pt idx="7913">
                  <c:v>1.2001563886052689E-2</c:v>
                </c:pt>
                <c:pt idx="7914">
                  <c:v>6.8505328267863515E-3</c:v>
                </c:pt>
                <c:pt idx="7915">
                  <c:v>7.9141261462454815E-3</c:v>
                </c:pt>
                <c:pt idx="7916">
                  <c:v>7.6402576102018362E-3</c:v>
                </c:pt>
                <c:pt idx="7917">
                  <c:v>7.2487780295400423E-3</c:v>
                </c:pt>
                <c:pt idx="7918">
                  <c:v>5.4413541609651143E-3</c:v>
                </c:pt>
                <c:pt idx="7919">
                  <c:v>3.8123921058509061E-3</c:v>
                </c:pt>
                <c:pt idx="7920">
                  <c:v>2.7309252805531219E-3</c:v>
                </c:pt>
                <c:pt idx="7921">
                  <c:v>3.8941791713288159E-3</c:v>
                </c:pt>
                <c:pt idx="7922">
                  <c:v>6.0054031061811328E-3</c:v>
                </c:pt>
                <c:pt idx="7923">
                  <c:v>5.8837402302698207E-3</c:v>
                </c:pt>
                <c:pt idx="7924">
                  <c:v>6.8432653051463763E-3</c:v>
                </c:pt>
                <c:pt idx="7925">
                  <c:v>4.5251433814581989E-3</c:v>
                </c:pt>
                <c:pt idx="7926">
                  <c:v>6.3385163793876808E-3</c:v>
                </c:pt>
                <c:pt idx="7927">
                  <c:v>6.5674371038014923E-3</c:v>
                </c:pt>
                <c:pt idx="7928">
                  <c:v>5.738899838937485E-3</c:v>
                </c:pt>
                <c:pt idx="7929">
                  <c:v>1.2371478835567455E-2</c:v>
                </c:pt>
                <c:pt idx="7930">
                  <c:v>1.0269419235459905E-2</c:v>
                </c:pt>
                <c:pt idx="7931">
                  <c:v>8.6985155531337371E-3</c:v>
                </c:pt>
                <c:pt idx="7932">
                  <c:v>9.19457793174072E-3</c:v>
                </c:pt>
                <c:pt idx="7933">
                  <c:v>1.7700971224116763E-2</c:v>
                </c:pt>
                <c:pt idx="7934">
                  <c:v>2.1323702752934808E-2</c:v>
                </c:pt>
                <c:pt idx="7935">
                  <c:v>1.0997067189319931E-2</c:v>
                </c:pt>
                <c:pt idx="7936">
                  <c:v>5.9163012413996794E-3</c:v>
                </c:pt>
                <c:pt idx="7937">
                  <c:v>4.7928218065949645E-3</c:v>
                </c:pt>
                <c:pt idx="7938">
                  <c:v>5.8421785510560818E-3</c:v>
                </c:pt>
                <c:pt idx="7939">
                  <c:v>5.4868138114540256E-3</c:v>
                </c:pt>
                <c:pt idx="7940">
                  <c:v>9.0146825371509708E-3</c:v>
                </c:pt>
                <c:pt idx="7941">
                  <c:v>5.9711353215328687E-3</c:v>
                </c:pt>
                <c:pt idx="7942">
                  <c:v>1.0185006072346297E-2</c:v>
                </c:pt>
                <c:pt idx="7943">
                  <c:v>6.0375266988003939E-3</c:v>
                </c:pt>
                <c:pt idx="7944">
                  <c:v>4.990359759324191E-3</c:v>
                </c:pt>
                <c:pt idx="7945">
                  <c:v>5.4336341250235424E-3</c:v>
                </c:pt>
                <c:pt idx="7946">
                  <c:v>8.781515708700182E-3</c:v>
                </c:pt>
                <c:pt idx="7947">
                  <c:v>6.9159350494351346E-3</c:v>
                </c:pt>
                <c:pt idx="7948">
                  <c:v>4.656640078535992E-3</c:v>
                </c:pt>
                <c:pt idx="7949">
                  <c:v>4.2852527394894062E-3</c:v>
                </c:pt>
                <c:pt idx="7950">
                  <c:v>7.0244895452254907E-3</c:v>
                </c:pt>
                <c:pt idx="7951">
                  <c:v>3.6057035186153755E-3</c:v>
                </c:pt>
                <c:pt idx="7952">
                  <c:v>6.4942811693611407E-3</c:v>
                </c:pt>
                <c:pt idx="7953">
                  <c:v>2.9121477574945405E-3</c:v>
                </c:pt>
                <c:pt idx="7954">
                  <c:v>7.1176367315793597E-3</c:v>
                </c:pt>
                <c:pt idx="7955">
                  <c:v>6.5982359162491495E-3</c:v>
                </c:pt>
                <c:pt idx="7956">
                  <c:v>2.8413936938120814E-3</c:v>
                </c:pt>
                <c:pt idx="7957">
                  <c:v>3.6001043343550179E-3</c:v>
                </c:pt>
                <c:pt idx="7958">
                  <c:v>4.4727054903615443E-3</c:v>
                </c:pt>
                <c:pt idx="7959">
                  <c:v>5.076647056309256E-3</c:v>
                </c:pt>
                <c:pt idx="7960">
                  <c:v>4.1605260434190456E-3</c:v>
                </c:pt>
                <c:pt idx="7961">
                  <c:v>8.4511235721221375E-3</c:v>
                </c:pt>
                <c:pt idx="7962">
                  <c:v>3.6677204239586496E-3</c:v>
                </c:pt>
                <c:pt idx="7963">
                  <c:v>6.7607490305397434E-3</c:v>
                </c:pt>
                <c:pt idx="7964">
                  <c:v>3.3239319080876264E-3</c:v>
                </c:pt>
                <c:pt idx="7965">
                  <c:v>4.8211697300230543E-3</c:v>
                </c:pt>
                <c:pt idx="7966">
                  <c:v>3.5940743628810421E-3</c:v>
                </c:pt>
                <c:pt idx="7967">
                  <c:v>7.7686816524863977E-3</c:v>
                </c:pt>
                <c:pt idx="7968">
                  <c:v>6.5635870986675716E-3</c:v>
                </c:pt>
                <c:pt idx="7969">
                  <c:v>1.0386891657632404E-2</c:v>
                </c:pt>
                <c:pt idx="7970">
                  <c:v>3.3536687334012462E-3</c:v>
                </c:pt>
                <c:pt idx="7971">
                  <c:v>6.8415552823803318E-3</c:v>
                </c:pt>
                <c:pt idx="7972">
                  <c:v>4.1880550154582332E-3</c:v>
                </c:pt>
                <c:pt idx="7973">
                  <c:v>5.469659785382666E-3</c:v>
                </c:pt>
                <c:pt idx="7974">
                  <c:v>2.8392363766391762E-3</c:v>
                </c:pt>
                <c:pt idx="7975">
                  <c:v>7.2919135794622782E-3</c:v>
                </c:pt>
                <c:pt idx="7976">
                  <c:v>7.6645800282130047E-3</c:v>
                </c:pt>
                <c:pt idx="7977">
                  <c:v>6.7192711997751736E-3</c:v>
                </c:pt>
                <c:pt idx="7978">
                  <c:v>3.8795447226364142E-3</c:v>
                </c:pt>
                <c:pt idx="7979">
                  <c:v>6.4523499906128526E-3</c:v>
                </c:pt>
                <c:pt idx="7980">
                  <c:v>5.8297521220251492E-3</c:v>
                </c:pt>
                <c:pt idx="7981">
                  <c:v>7.697861129840603E-3</c:v>
                </c:pt>
                <c:pt idx="7982">
                  <c:v>5.5880087758636721E-3</c:v>
                </c:pt>
                <c:pt idx="7983">
                  <c:v>4.1076139002720526E-3</c:v>
                </c:pt>
                <c:pt idx="7984">
                  <c:v>5.3242522037466582E-3</c:v>
                </c:pt>
                <c:pt idx="7985">
                  <c:v>5.3847373769774602E-3</c:v>
                </c:pt>
                <c:pt idx="7986">
                  <c:v>5.666890189358737E-3</c:v>
                </c:pt>
                <c:pt idx="7987">
                  <c:v>4.9384073972814401E-3</c:v>
                </c:pt>
                <c:pt idx="7988">
                  <c:v>6.7611766164130515E-3</c:v>
                </c:pt>
                <c:pt idx="7989">
                  <c:v>6.7868309984491938E-3</c:v>
                </c:pt>
                <c:pt idx="7990">
                  <c:v>1.2264675023367233E-2</c:v>
                </c:pt>
                <c:pt idx="7991">
                  <c:v>2.0669075079646805E-2</c:v>
                </c:pt>
                <c:pt idx="7992">
                  <c:v>4.1704194686179438E-3</c:v>
                </c:pt>
                <c:pt idx="7993">
                  <c:v>4.1605260434190456E-3</c:v>
                </c:pt>
                <c:pt idx="7994">
                  <c:v>1.7617573339673596E-2</c:v>
                </c:pt>
                <c:pt idx="7995">
                  <c:v>1.4038515293381328E-2</c:v>
                </c:pt>
                <c:pt idx="7996">
                  <c:v>1.7157346074737477E-2</c:v>
                </c:pt>
                <c:pt idx="7997">
                  <c:v>2.4123082053425422E-3</c:v>
                </c:pt>
                <c:pt idx="7998">
                  <c:v>2.5176763042278495E-3</c:v>
                </c:pt>
                <c:pt idx="7999">
                  <c:v>6.2820164407968041E-3</c:v>
                </c:pt>
                <c:pt idx="8000">
                  <c:v>1.2433408010159347E-3</c:v>
                </c:pt>
                <c:pt idx="8001">
                  <c:v>2.2732177214019396E-3</c:v>
                </c:pt>
                <c:pt idx="8002">
                  <c:v>2.0891351252131109E-3</c:v>
                </c:pt>
                <c:pt idx="8003">
                  <c:v>9.545223494376226E-3</c:v>
                </c:pt>
                <c:pt idx="8004">
                  <c:v>5.6227355112604066E-3</c:v>
                </c:pt>
                <c:pt idx="8005">
                  <c:v>6.5952416831110703E-3</c:v>
                </c:pt>
                <c:pt idx="8006">
                  <c:v>3.5031839373611835E-3</c:v>
                </c:pt>
                <c:pt idx="8007">
                  <c:v>7.4639860542128301E-3</c:v>
                </c:pt>
                <c:pt idx="8008">
                  <c:v>2.0839485698806374E-3</c:v>
                </c:pt>
                <c:pt idx="8009">
                  <c:v>2.139268633648668E-3</c:v>
                </c:pt>
                <c:pt idx="8010">
                  <c:v>2.2637130189265648E-3</c:v>
                </c:pt>
                <c:pt idx="8011">
                  <c:v>2.4913366760630829E-3</c:v>
                </c:pt>
                <c:pt idx="8012">
                  <c:v>4.2732117241293709E-3</c:v>
                </c:pt>
                <c:pt idx="8013">
                  <c:v>2.5206987823348363E-3</c:v>
                </c:pt>
                <c:pt idx="8014">
                  <c:v>3.2778142531287853E-3</c:v>
                </c:pt>
                <c:pt idx="8015">
                  <c:v>2.6010026391895657E-3</c:v>
                </c:pt>
                <c:pt idx="8016">
                  <c:v>7.8083531635039201E-3</c:v>
                </c:pt>
                <c:pt idx="8017">
                  <c:v>3.5630617584596715E-3</c:v>
                </c:pt>
                <c:pt idx="8018">
                  <c:v>1.0595040899295555E-2</c:v>
                </c:pt>
                <c:pt idx="8019">
                  <c:v>1.3680421369409777E-3</c:v>
                </c:pt>
                <c:pt idx="8020">
                  <c:v>4.8606819301346546E-3</c:v>
                </c:pt>
                <c:pt idx="8021">
                  <c:v>2.395464213124943E-3</c:v>
                </c:pt>
                <c:pt idx="8022">
                  <c:v>2.4632681010131265E-3</c:v>
                </c:pt>
                <c:pt idx="8023">
                  <c:v>3.7077683025198939E-3</c:v>
                </c:pt>
                <c:pt idx="8024">
                  <c:v>1.9464822792002749E-3</c:v>
                </c:pt>
                <c:pt idx="8025">
                  <c:v>2.0467764439385089E-3</c:v>
                </c:pt>
                <c:pt idx="8026">
                  <c:v>2.8927346801954374E-3</c:v>
                </c:pt>
                <c:pt idx="8027">
                  <c:v>2.7486193772228258E-3</c:v>
                </c:pt>
                <c:pt idx="8028">
                  <c:v>3.8860011578487016E-3</c:v>
                </c:pt>
                <c:pt idx="8029">
                  <c:v>9.9367617710820512E-3</c:v>
                </c:pt>
                <c:pt idx="8030">
                  <c:v>2.844413919850945E-3</c:v>
                </c:pt>
                <c:pt idx="8031">
                  <c:v>2.4732002657246095E-3</c:v>
                </c:pt>
                <c:pt idx="8032">
                  <c:v>1.577529043237052E-3</c:v>
                </c:pt>
                <c:pt idx="8033">
                  <c:v>6.3736111250872413E-3</c:v>
                </c:pt>
                <c:pt idx="8034">
                  <c:v>2.0683885322308982E-3</c:v>
                </c:pt>
                <c:pt idx="8035">
                  <c:v>1.6091164409496681E-3</c:v>
                </c:pt>
                <c:pt idx="8036">
                  <c:v>3.3222079717152371E-3</c:v>
                </c:pt>
                <c:pt idx="8037">
                  <c:v>3.7516875363201745E-3</c:v>
                </c:pt>
                <c:pt idx="8038">
                  <c:v>1.7596658870180483E-3</c:v>
                </c:pt>
                <c:pt idx="8039">
                  <c:v>1.8336236516895933E-3</c:v>
                </c:pt>
                <c:pt idx="8040">
                  <c:v>4.072765797392513E-3</c:v>
                </c:pt>
                <c:pt idx="8041">
                  <c:v>3.5178310735896061E-3</c:v>
                </c:pt>
                <c:pt idx="8042">
                  <c:v>1.5519978237341627E-3</c:v>
                </c:pt>
                <c:pt idx="8043">
                  <c:v>4.4413256914841385E-3</c:v>
                </c:pt>
                <c:pt idx="8044">
                  <c:v>5.8803126133982345E-3</c:v>
                </c:pt>
                <c:pt idx="8045">
                  <c:v>1.7890775006525184E-3</c:v>
                </c:pt>
                <c:pt idx="8046">
                  <c:v>2.0882707036257516E-3</c:v>
                </c:pt>
                <c:pt idx="8047">
                  <c:v>8.8483299498850858E-3</c:v>
                </c:pt>
                <c:pt idx="8048">
                  <c:v>3.5531544875397367E-3</c:v>
                </c:pt>
                <c:pt idx="8049">
                  <c:v>2.3833706876111617E-3</c:v>
                </c:pt>
                <c:pt idx="8050">
                  <c:v>2.54833189259162E-3</c:v>
                </c:pt>
                <c:pt idx="8051">
                  <c:v>2.7011457829682096E-3</c:v>
                </c:pt>
                <c:pt idx="8052">
                  <c:v>4.5775749418262533E-3</c:v>
                </c:pt>
                <c:pt idx="8053">
                  <c:v>5.2963661308253699E-3</c:v>
                </c:pt>
                <c:pt idx="8054">
                  <c:v>1.0675136935814599E-2</c:v>
                </c:pt>
                <c:pt idx="8055">
                  <c:v>4.9899304264278436E-3</c:v>
                </c:pt>
                <c:pt idx="8056">
                  <c:v>6.5802702077579819E-3</c:v>
                </c:pt>
                <c:pt idx="8057">
                  <c:v>4.8009827620990589E-3</c:v>
                </c:pt>
                <c:pt idx="8058">
                  <c:v>2.7844369271881977E-3</c:v>
                </c:pt>
                <c:pt idx="8059">
                  <c:v>5.8404645819836272E-3</c:v>
                </c:pt>
                <c:pt idx="8060">
                  <c:v>4.9581586142571051E-3</c:v>
                </c:pt>
                <c:pt idx="8061">
                  <c:v>8.7547020083434488E-3</c:v>
                </c:pt>
                <c:pt idx="8062">
                  <c:v>6.4566288678036743E-3</c:v>
                </c:pt>
                <c:pt idx="8063">
                  <c:v>4.4903287666883994E-3</c:v>
                </c:pt>
                <c:pt idx="8064">
                  <c:v>5.5609971728880206E-3</c:v>
                </c:pt>
                <c:pt idx="8065">
                  <c:v>8.713414185053326E-3</c:v>
                </c:pt>
                <c:pt idx="8066">
                  <c:v>3.6608300940136687E-3</c:v>
                </c:pt>
                <c:pt idx="8067">
                  <c:v>5.4923887240432715E-3</c:v>
                </c:pt>
                <c:pt idx="8068">
                  <c:v>2.9695191139899376E-3</c:v>
                </c:pt>
                <c:pt idx="8069">
                  <c:v>3.4928444849466789E-3</c:v>
                </c:pt>
                <c:pt idx="8070">
                  <c:v>3.0842390952987016E-3</c:v>
                </c:pt>
                <c:pt idx="8071">
                  <c:v>1.432014585149086E-2</c:v>
                </c:pt>
                <c:pt idx="8072">
                  <c:v>4.0521137501967541E-3</c:v>
                </c:pt>
                <c:pt idx="8073">
                  <c:v>7.1548045733101076E-3</c:v>
                </c:pt>
                <c:pt idx="8074">
                  <c:v>4.5685502881771386E-3</c:v>
                </c:pt>
                <c:pt idx="8075">
                  <c:v>8.1916577213913769E-3</c:v>
                </c:pt>
                <c:pt idx="8076">
                  <c:v>2.6968297443339586E-3</c:v>
                </c:pt>
                <c:pt idx="8077">
                  <c:v>4.0663121381388457E-3</c:v>
                </c:pt>
                <c:pt idx="8078">
                  <c:v>4.7150702773669723E-3</c:v>
                </c:pt>
                <c:pt idx="8079">
                  <c:v>6.3218239807346357E-3</c:v>
                </c:pt>
                <c:pt idx="8080">
                  <c:v>2.3086425072454848E-3</c:v>
                </c:pt>
                <c:pt idx="8081">
                  <c:v>2.6161119201943027E-3</c:v>
                </c:pt>
                <c:pt idx="8082">
                  <c:v>3.9570156109257557E-3</c:v>
                </c:pt>
                <c:pt idx="8083">
                  <c:v>4.2198832142439262E-3</c:v>
                </c:pt>
                <c:pt idx="8084">
                  <c:v>1.4841730670779358E-2</c:v>
                </c:pt>
                <c:pt idx="8085">
                  <c:v>7.6769540689697151E-3</c:v>
                </c:pt>
                <c:pt idx="8086">
                  <c:v>1.1415643100150202E-2</c:v>
                </c:pt>
                <c:pt idx="8087">
                  <c:v>4.0542650509349173E-3</c:v>
                </c:pt>
                <c:pt idx="8088">
                  <c:v>5.1337332072933142E-3</c:v>
                </c:pt>
                <c:pt idx="8089">
                  <c:v>6.3012786092919212E-3</c:v>
                </c:pt>
                <c:pt idx="8090">
                  <c:v>1.1993114659256938E-2</c:v>
                </c:pt>
                <c:pt idx="8091">
                  <c:v>1.0912371835477899E-2</c:v>
                </c:pt>
                <c:pt idx="8092">
                  <c:v>4.4069342667120252E-3</c:v>
                </c:pt>
                <c:pt idx="8093">
                  <c:v>8.160971706396283E-3</c:v>
                </c:pt>
                <c:pt idx="8094">
                  <c:v>1.3301629246686403E-2</c:v>
                </c:pt>
                <c:pt idx="8095">
                  <c:v>4.1360065834609439E-3</c:v>
                </c:pt>
                <c:pt idx="8096">
                  <c:v>5.6137325501946474E-3</c:v>
                </c:pt>
                <c:pt idx="8097">
                  <c:v>3.7572847666328228E-3</c:v>
                </c:pt>
                <c:pt idx="8098">
                  <c:v>3.628530215085557E-3</c:v>
                </c:pt>
                <c:pt idx="8099">
                  <c:v>2.4516083134654737E-3</c:v>
                </c:pt>
                <c:pt idx="8100">
                  <c:v>6.8009402626394797E-3</c:v>
                </c:pt>
                <c:pt idx="8101">
                  <c:v>7.3047252937974705E-3</c:v>
                </c:pt>
                <c:pt idx="8102">
                  <c:v>5.0135431054707733E-3</c:v>
                </c:pt>
                <c:pt idx="8103">
                  <c:v>2.621292124103915E-3</c:v>
                </c:pt>
                <c:pt idx="8104">
                  <c:v>2.7076197604961965E-3</c:v>
                </c:pt>
                <c:pt idx="8105">
                  <c:v>1.4338214413342371E-2</c:v>
                </c:pt>
                <c:pt idx="8106">
                  <c:v>3.3907291727429353E-3</c:v>
                </c:pt>
                <c:pt idx="8107">
                  <c:v>1.3910249820532877E-2</c:v>
                </c:pt>
                <c:pt idx="8108">
                  <c:v>2.9604609825987132E-3</c:v>
                </c:pt>
                <c:pt idx="8109">
                  <c:v>5.4765214771186734E-3</c:v>
                </c:pt>
                <c:pt idx="8110">
                  <c:v>3.9789631837107388E-3</c:v>
                </c:pt>
                <c:pt idx="8111">
                  <c:v>4.234506199213982E-3</c:v>
                </c:pt>
                <c:pt idx="8112">
                  <c:v>1.0465330274704549E-2</c:v>
                </c:pt>
                <c:pt idx="8113">
                  <c:v>1.1422834509226385E-2</c:v>
                </c:pt>
                <c:pt idx="8114">
                  <c:v>2.7149568183638026E-3</c:v>
                </c:pt>
                <c:pt idx="8115">
                  <c:v>6.5858311017090573E-3</c:v>
                </c:pt>
                <c:pt idx="8116">
                  <c:v>7.7742273504025098E-3</c:v>
                </c:pt>
                <c:pt idx="8117">
                  <c:v>1.8441675227710314E-2</c:v>
                </c:pt>
                <c:pt idx="8118">
                  <c:v>5.0401594953462751E-3</c:v>
                </c:pt>
                <c:pt idx="8119">
                  <c:v>1.5100191096998965E-2</c:v>
                </c:pt>
                <c:pt idx="8120">
                  <c:v>7.0616653592035844E-3</c:v>
                </c:pt>
                <c:pt idx="8121">
                  <c:v>1.9858245614747046E-3</c:v>
                </c:pt>
                <c:pt idx="8122">
                  <c:v>1.2784166709773066E-3</c:v>
                </c:pt>
                <c:pt idx="8123">
                  <c:v>3.0070436458090591E-3</c:v>
                </c:pt>
                <c:pt idx="8124">
                  <c:v>5.1925283904123484E-3</c:v>
                </c:pt>
                <c:pt idx="8125">
                  <c:v>3.7547014385293244E-3</c:v>
                </c:pt>
                <c:pt idx="8126">
                  <c:v>1.1659661439071371E-2</c:v>
                </c:pt>
                <c:pt idx="8127">
                  <c:v>2.5353790910784498E-3</c:v>
                </c:pt>
                <c:pt idx="8128">
                  <c:v>4.5191262401296636E-3</c:v>
                </c:pt>
                <c:pt idx="8129">
                  <c:v>9.2808842553588986E-3</c:v>
                </c:pt>
                <c:pt idx="8130">
                  <c:v>4.105462863784666E-3</c:v>
                </c:pt>
                <c:pt idx="8131">
                  <c:v>1.4074675105661818E-2</c:v>
                </c:pt>
                <c:pt idx="8132">
                  <c:v>3.5393700824549422E-3</c:v>
                </c:pt>
                <c:pt idx="8133">
                  <c:v>4.1613863502094062E-3</c:v>
                </c:pt>
                <c:pt idx="8134">
                  <c:v>9.449620959791823E-3</c:v>
                </c:pt>
                <c:pt idx="8135">
                  <c:v>6.1360242358286712E-3</c:v>
                </c:pt>
                <c:pt idx="8136">
                  <c:v>9.7847747274312606E-3</c:v>
                </c:pt>
                <c:pt idx="8137">
                  <c:v>0</c:v>
                </c:pt>
                <c:pt idx="8138">
                  <c:v>5.4928175605091171E-3</c:v>
                </c:pt>
                <c:pt idx="8139">
                  <c:v>6.0109713658052762E-3</c:v>
                </c:pt>
                <c:pt idx="8140">
                  <c:v>7.6999944468093967E-3</c:v>
                </c:pt>
                <c:pt idx="8141">
                  <c:v>7.3696321717825943E-3</c:v>
                </c:pt>
                <c:pt idx="8142">
                  <c:v>6.8317225208075786E-3</c:v>
                </c:pt>
                <c:pt idx="8143">
                  <c:v>3.6961418795020506E-3</c:v>
                </c:pt>
                <c:pt idx="8144">
                  <c:v>1.0048383176431121E-2</c:v>
                </c:pt>
                <c:pt idx="8145">
                  <c:v>8.7615119938395086E-3</c:v>
                </c:pt>
                <c:pt idx="8146">
                  <c:v>3.4807814793407351E-3</c:v>
                </c:pt>
                <c:pt idx="8147">
                  <c:v>8.2257507508660122E-3</c:v>
                </c:pt>
                <c:pt idx="8148">
                  <c:v>8.2236200149314424E-3</c:v>
                </c:pt>
                <c:pt idx="8149">
                  <c:v>5.722184377260929E-3</c:v>
                </c:pt>
                <c:pt idx="8150">
                  <c:v>7.2346833073423916E-3</c:v>
                </c:pt>
                <c:pt idx="8151">
                  <c:v>7.7921437366327779E-3</c:v>
                </c:pt>
                <c:pt idx="8152">
                  <c:v>7.4072054046837423E-3</c:v>
                </c:pt>
                <c:pt idx="8153">
                  <c:v>4.914790632630432E-3</c:v>
                </c:pt>
                <c:pt idx="8154">
                  <c:v>6.8210344839828695E-3</c:v>
                </c:pt>
                <c:pt idx="8155">
                  <c:v>7.8006750893480931E-3</c:v>
                </c:pt>
                <c:pt idx="8156">
                  <c:v>4.4877497953095232E-3</c:v>
                </c:pt>
                <c:pt idx="8157">
                  <c:v>4.1820332019318843E-3</c:v>
                </c:pt>
                <c:pt idx="8158">
                  <c:v>6.6149176944088938E-3</c:v>
                </c:pt>
                <c:pt idx="8159">
                  <c:v>9.0827368391239154E-3</c:v>
                </c:pt>
                <c:pt idx="8160">
                  <c:v>5.6583168166636794E-3</c:v>
                </c:pt>
                <c:pt idx="8161">
                  <c:v>5.3324031791867387E-3</c:v>
                </c:pt>
                <c:pt idx="8162">
                  <c:v>4.9736154618598089E-3</c:v>
                </c:pt>
                <c:pt idx="8163">
                  <c:v>4.4542217736721389E-3</c:v>
                </c:pt>
                <c:pt idx="8164">
                  <c:v>2.8521801189353721E-3</c:v>
                </c:pt>
                <c:pt idx="8165">
                  <c:v>5.9698502270081281E-3</c:v>
                </c:pt>
                <c:pt idx="8166">
                  <c:v>3.8752403791696239E-3</c:v>
                </c:pt>
                <c:pt idx="8167">
                  <c:v>4.7112038159238855E-3</c:v>
                </c:pt>
                <c:pt idx="8168">
                  <c:v>3.6388664377092531E-3</c:v>
                </c:pt>
                <c:pt idx="8169">
                  <c:v>7.2304120890913847E-3</c:v>
                </c:pt>
                <c:pt idx="8170">
                  <c:v>4.7777880660551404E-3</c:v>
                </c:pt>
                <c:pt idx="8171">
                  <c:v>6.4570567532041667E-3</c:v>
                </c:pt>
                <c:pt idx="8172">
                  <c:v>4.1557943256092583E-3</c:v>
                </c:pt>
                <c:pt idx="8173">
                  <c:v>6.5943861841371351E-3</c:v>
                </c:pt>
                <c:pt idx="8174">
                  <c:v>5.0998257968799723E-3</c:v>
                </c:pt>
                <c:pt idx="8175">
                  <c:v>8.7078804671465188E-3</c:v>
                </c:pt>
                <c:pt idx="8176">
                  <c:v>5.4276295577467652E-3</c:v>
                </c:pt>
                <c:pt idx="8177">
                  <c:v>5.5820063426105428E-3</c:v>
                </c:pt>
                <c:pt idx="8178">
                  <c:v>5.6557447718517066E-3</c:v>
                </c:pt>
                <c:pt idx="8179">
                  <c:v>6.4181174553292822E-3</c:v>
                </c:pt>
                <c:pt idx="8180">
                  <c:v>3.8769621216756265E-3</c:v>
                </c:pt>
                <c:pt idx="8181">
                  <c:v>3.8872924333730749E-3</c:v>
                </c:pt>
                <c:pt idx="8182">
                  <c:v>7.7068209906906984E-3</c:v>
                </c:pt>
                <c:pt idx="8183">
                  <c:v>4.2929932159351796E-3</c:v>
                </c:pt>
                <c:pt idx="8184">
                  <c:v>3.7577153198228423E-3</c:v>
                </c:pt>
                <c:pt idx="8185">
                  <c:v>4.0929866420573325E-3</c:v>
                </c:pt>
                <c:pt idx="8186">
                  <c:v>9.3051149668894554E-3</c:v>
                </c:pt>
                <c:pt idx="8187">
                  <c:v>2.1470474525061831E-3</c:v>
                </c:pt>
                <c:pt idx="8188">
                  <c:v>0.18564866150979778</c:v>
                </c:pt>
                <c:pt idx="8189">
                  <c:v>6.4074192346627026E-3</c:v>
                </c:pt>
                <c:pt idx="8190">
                  <c:v>8.9206649913424786E-3</c:v>
                </c:pt>
                <c:pt idx="8191">
                  <c:v>5.9398636085176947E-3</c:v>
                </c:pt>
                <c:pt idx="8192">
                  <c:v>6.9667966363825776E-3</c:v>
                </c:pt>
                <c:pt idx="8193">
                  <c:v>4.643320330028693E-3</c:v>
                </c:pt>
                <c:pt idx="8194">
                  <c:v>4.8392083542917385E-3</c:v>
                </c:pt>
                <c:pt idx="8195">
                  <c:v>3.9953155560945091E-3</c:v>
                </c:pt>
                <c:pt idx="8196">
                  <c:v>6.1737043421032168E-3</c:v>
                </c:pt>
                <c:pt idx="8197">
                  <c:v>8.9802259804285054E-3</c:v>
                </c:pt>
                <c:pt idx="8198">
                  <c:v>8.4179001471051621E-3</c:v>
                </c:pt>
                <c:pt idx="8199">
                  <c:v>6.0893477530605863E-3</c:v>
                </c:pt>
                <c:pt idx="8200">
                  <c:v>6.6901915954783869E-3</c:v>
                </c:pt>
                <c:pt idx="8201">
                  <c:v>9.8866713593162431E-3</c:v>
                </c:pt>
                <c:pt idx="8202">
                  <c:v>9.1937275378055246E-3</c:v>
                </c:pt>
                <c:pt idx="8203">
                  <c:v>5.9548571765726949E-3</c:v>
                </c:pt>
                <c:pt idx="8204">
                  <c:v>9.0206377143253972E-3</c:v>
                </c:pt>
                <c:pt idx="8205">
                  <c:v>9.7635432529231039E-3</c:v>
                </c:pt>
                <c:pt idx="8206">
                  <c:v>1.1755201456929319E-2</c:v>
                </c:pt>
                <c:pt idx="8207">
                  <c:v>6.8180417865356443E-3</c:v>
                </c:pt>
                <c:pt idx="8208">
                  <c:v>7.7895842981375732E-3</c:v>
                </c:pt>
                <c:pt idx="8209">
                  <c:v>1.2088581357280782E-2</c:v>
                </c:pt>
                <c:pt idx="8210">
                  <c:v>5.2800626741587387E-3</c:v>
                </c:pt>
                <c:pt idx="8211">
                  <c:v>8.6614795965585453E-3</c:v>
                </c:pt>
                <c:pt idx="8212">
                  <c:v>7.0979834836524466E-3</c:v>
                </c:pt>
                <c:pt idx="8213">
                  <c:v>9.6314601700625592E-3</c:v>
                </c:pt>
                <c:pt idx="8214">
                  <c:v>4.4572308044159674E-3</c:v>
                </c:pt>
                <c:pt idx="8215">
                  <c:v>5.8237530290275435E-3</c:v>
                </c:pt>
                <c:pt idx="8216">
                  <c:v>8.0330899673313871E-3</c:v>
                </c:pt>
                <c:pt idx="8217">
                  <c:v>1.3819389713956937E-2</c:v>
                </c:pt>
                <c:pt idx="8218">
                  <c:v>6.3034187975003191E-3</c:v>
                </c:pt>
                <c:pt idx="8219">
                  <c:v>6.1274601193623034E-3</c:v>
                </c:pt>
                <c:pt idx="8220">
                  <c:v>7.1894062564363025E-3</c:v>
                </c:pt>
                <c:pt idx="8221">
                  <c:v>4.9117847704539712E-3</c:v>
                </c:pt>
                <c:pt idx="8222">
                  <c:v>4.5973425754953163E-3</c:v>
                </c:pt>
                <c:pt idx="8223">
                  <c:v>7.4827689959006474E-3</c:v>
                </c:pt>
                <c:pt idx="8224">
                  <c:v>5.9111601914120567E-3</c:v>
                </c:pt>
                <c:pt idx="8225">
                  <c:v>7.8403436781011946E-3</c:v>
                </c:pt>
                <c:pt idx="8226">
                  <c:v>3.1717681714961729E-3</c:v>
                </c:pt>
                <c:pt idx="8227">
                  <c:v>6.3402283839995334E-3</c:v>
                </c:pt>
                <c:pt idx="8228">
                  <c:v>5.6908947325539985E-3</c:v>
                </c:pt>
                <c:pt idx="8229">
                  <c:v>7.8143249051121945E-3</c:v>
                </c:pt>
                <c:pt idx="8230">
                  <c:v>6.6593993037820159E-3</c:v>
                </c:pt>
                <c:pt idx="8231">
                  <c:v>6.7094356691754353E-3</c:v>
                </c:pt>
                <c:pt idx="8232">
                  <c:v>1.0869594404247625E-2</c:v>
                </c:pt>
                <c:pt idx="8233">
                  <c:v>7.5433811306790692E-3</c:v>
                </c:pt>
                <c:pt idx="8234">
                  <c:v>5.4160490864059024E-3</c:v>
                </c:pt>
                <c:pt idx="8235">
                  <c:v>8.0032454758406282E-3</c:v>
                </c:pt>
                <c:pt idx="8236">
                  <c:v>1.6638118579901578E-2</c:v>
                </c:pt>
                <c:pt idx="8237">
                  <c:v>8.5554626757733069E-3</c:v>
                </c:pt>
                <c:pt idx="8238">
                  <c:v>6.6940404784364945E-3</c:v>
                </c:pt>
                <c:pt idx="8239">
                  <c:v>1.0530190429580021E-2</c:v>
                </c:pt>
                <c:pt idx="8240">
                  <c:v>6.9317497944082675E-3</c:v>
                </c:pt>
                <c:pt idx="8241">
                  <c:v>5.0981088955570275E-3</c:v>
                </c:pt>
                <c:pt idx="8242">
                  <c:v>6.7962372255067696E-3</c:v>
                </c:pt>
                <c:pt idx="8243">
                  <c:v>4.9955117209744861E-3</c:v>
                </c:pt>
                <c:pt idx="8244">
                  <c:v>8.312249802955014E-3</c:v>
                </c:pt>
                <c:pt idx="8245">
                  <c:v>3.5350623661398704E-3</c:v>
                </c:pt>
                <c:pt idx="8246">
                  <c:v>9.4525955780755504E-3</c:v>
                </c:pt>
                <c:pt idx="8247">
                  <c:v>1.2345307998882222E-2</c:v>
                </c:pt>
                <c:pt idx="8248">
                  <c:v>7.8535657358729614E-3</c:v>
                </c:pt>
                <c:pt idx="8249">
                  <c:v>3.0626775016372168E-3</c:v>
                </c:pt>
                <c:pt idx="8250">
                  <c:v>6.291433607688586E-3</c:v>
                </c:pt>
                <c:pt idx="8251">
                  <c:v>9.4389971567418775E-3</c:v>
                </c:pt>
                <c:pt idx="8252">
                  <c:v>9.1937275378055246E-3</c:v>
                </c:pt>
                <c:pt idx="8253">
                  <c:v>7.3841494880240895E-3</c:v>
                </c:pt>
                <c:pt idx="8254">
                  <c:v>5.3529944357483018E-3</c:v>
                </c:pt>
                <c:pt idx="8255">
                  <c:v>6.7787072747654388E-3</c:v>
                </c:pt>
                <c:pt idx="8256">
                  <c:v>8.907900859451607E-3</c:v>
                </c:pt>
                <c:pt idx="8257">
                  <c:v>3.9798238502391763E-3</c:v>
                </c:pt>
                <c:pt idx="8258">
                  <c:v>1.2945995526027359E-2</c:v>
                </c:pt>
                <c:pt idx="8259">
                  <c:v>9.0937946560005548E-3</c:v>
                </c:pt>
                <c:pt idx="8260">
                  <c:v>4.7593173294974448E-3</c:v>
                </c:pt>
                <c:pt idx="8261">
                  <c:v>1.0895007247679981E-2</c:v>
                </c:pt>
                <c:pt idx="8262">
                  <c:v>7.8096328293326559E-3</c:v>
                </c:pt>
                <c:pt idx="8263">
                  <c:v>7.9486673869611762E-3</c:v>
                </c:pt>
                <c:pt idx="8264">
                  <c:v>5.5850075696070988E-3</c:v>
                </c:pt>
                <c:pt idx="8265">
                  <c:v>7.4806346116195726E-3</c:v>
                </c:pt>
                <c:pt idx="8266">
                  <c:v>7.4208675925550392E-3</c:v>
                </c:pt>
                <c:pt idx="8267">
                  <c:v>3.9974671382032399E-3</c:v>
                </c:pt>
                <c:pt idx="8268">
                  <c:v>2.0636339650833648E-3</c:v>
                </c:pt>
                <c:pt idx="8269">
                  <c:v>5.8366081268386638E-3</c:v>
                </c:pt>
                <c:pt idx="8270">
                  <c:v>4.2680511867766334E-3</c:v>
                </c:pt>
                <c:pt idx="8271">
                  <c:v>6.3423683802737718E-3</c:v>
                </c:pt>
                <c:pt idx="8272">
                  <c:v>5.5048248096347873E-3</c:v>
                </c:pt>
                <c:pt idx="8273">
                  <c:v>5.572573779881582E-3</c:v>
                </c:pt>
                <c:pt idx="8274">
                  <c:v>5.9694218613215453E-3</c:v>
                </c:pt>
                <c:pt idx="8275">
                  <c:v>7.669700363700494E-3</c:v>
                </c:pt>
                <c:pt idx="8276">
                  <c:v>5.2508865398643526E-3</c:v>
                </c:pt>
                <c:pt idx="8277">
                  <c:v>7.7234602418685639E-3</c:v>
                </c:pt>
                <c:pt idx="8278">
                  <c:v>6.8227445875507524E-3</c:v>
                </c:pt>
                <c:pt idx="8279">
                  <c:v>8.3088412993887629E-3</c:v>
                </c:pt>
                <c:pt idx="8280">
                  <c:v>1.1537035044478661E-2</c:v>
                </c:pt>
                <c:pt idx="8281">
                  <c:v>2.8914404441876236E-3</c:v>
                </c:pt>
                <c:pt idx="8282">
                  <c:v>5.0028102286939604E-3</c:v>
                </c:pt>
                <c:pt idx="8283">
                  <c:v>8.8547129381929442E-3</c:v>
                </c:pt>
                <c:pt idx="8284">
                  <c:v>4.3093337687275003E-3</c:v>
                </c:pt>
                <c:pt idx="8285">
                  <c:v>1.8414618858240341E-2</c:v>
                </c:pt>
                <c:pt idx="8286">
                  <c:v>1.0928465223753065E-2</c:v>
                </c:pt>
                <c:pt idx="8287">
                  <c:v>1.2140107756869932E-2</c:v>
                </c:pt>
                <c:pt idx="8288">
                  <c:v>4.4967761281342958E-3</c:v>
                </c:pt>
                <c:pt idx="8289">
                  <c:v>7.0437188118345354E-3</c:v>
                </c:pt>
                <c:pt idx="8290">
                  <c:v>1.036568959930328E-2</c:v>
                </c:pt>
                <c:pt idx="8291">
                  <c:v>6.1450163763638365E-3</c:v>
                </c:pt>
                <c:pt idx="8292">
                  <c:v>1.5825240581581513E-2</c:v>
                </c:pt>
                <c:pt idx="8293">
                  <c:v>3.5497084272852384E-3</c:v>
                </c:pt>
                <c:pt idx="8294">
                  <c:v>5.067632767546279E-3</c:v>
                </c:pt>
                <c:pt idx="8295">
                  <c:v>3.4488990657979787E-3</c:v>
                </c:pt>
                <c:pt idx="8296">
                  <c:v>3.7572847666328228E-3</c:v>
                </c:pt>
                <c:pt idx="8297">
                  <c:v>4.326533686428157E-3</c:v>
                </c:pt>
                <c:pt idx="8298">
                  <c:v>1.769888647217608E-2</c:v>
                </c:pt>
                <c:pt idx="8299">
                  <c:v>2.3203061336697791E-3</c:v>
                </c:pt>
                <c:pt idx="8300">
                  <c:v>1.1506584504535166E-2</c:v>
                </c:pt>
                <c:pt idx="8301">
                  <c:v>1.7639912492397141E-3</c:v>
                </c:pt>
                <c:pt idx="8302">
                  <c:v>5.7521860290408837E-3</c:v>
                </c:pt>
                <c:pt idx="8303">
                  <c:v>2.7801217162299295E-3</c:v>
                </c:pt>
                <c:pt idx="8304">
                  <c:v>3.4919828528007929E-3</c:v>
                </c:pt>
                <c:pt idx="8305">
                  <c:v>7.1026832542842129E-3</c:v>
                </c:pt>
                <c:pt idx="8306">
                  <c:v>2.0570091620260144E-2</c:v>
                </c:pt>
                <c:pt idx="8307">
                  <c:v>2.2809941414363181E-3</c:v>
                </c:pt>
                <c:pt idx="8308">
                  <c:v>7.1889790919701223E-3</c:v>
                </c:pt>
                <c:pt idx="8309">
                  <c:v>4.7494373107199823E-3</c:v>
                </c:pt>
                <c:pt idx="8310">
                  <c:v>2.8189570713855394E-3</c:v>
                </c:pt>
                <c:pt idx="8311">
                  <c:v>4.2082704930696494E-3</c:v>
                </c:pt>
                <c:pt idx="8312">
                  <c:v>1.5995971930837804E-3</c:v>
                </c:pt>
                <c:pt idx="8313">
                  <c:v>7.6833542965382608E-3</c:v>
                </c:pt>
                <c:pt idx="8314">
                  <c:v>5.3444148641610071E-3</c:v>
                </c:pt>
                <c:pt idx="8315">
                  <c:v>1.0640198766124929E-3</c:v>
                </c:pt>
                <c:pt idx="8316">
                  <c:v>1.3455292666481235E-3</c:v>
                </c:pt>
                <c:pt idx="8317">
                  <c:v>4.1927863817968732E-3</c:v>
                </c:pt>
                <c:pt idx="8318">
                  <c:v>2.3444963602922151E-3</c:v>
                </c:pt>
                <c:pt idx="8319">
                  <c:v>1.5714256565682753E-2</c:v>
                </c:pt>
                <c:pt idx="8320">
                  <c:v>2.3829387697571892E-3</c:v>
                </c:pt>
                <c:pt idx="8321">
                  <c:v>4.1308444154903885E-3</c:v>
                </c:pt>
                <c:pt idx="8322">
                  <c:v>2.1288966584323997E-3</c:v>
                </c:pt>
                <c:pt idx="8323">
                  <c:v>1.9071364326269046E-3</c:v>
                </c:pt>
                <c:pt idx="8324">
                  <c:v>9.0971970045510796E-3</c:v>
                </c:pt>
                <c:pt idx="8325">
                  <c:v>1.0394948168408608E-2</c:v>
                </c:pt>
                <c:pt idx="8326">
                  <c:v>1.1679109341078979E-2</c:v>
                </c:pt>
                <c:pt idx="8327">
                  <c:v>2.2550721998008129E-3</c:v>
                </c:pt>
                <c:pt idx="8328">
                  <c:v>6.5879698881153382E-3</c:v>
                </c:pt>
                <c:pt idx="8329">
                  <c:v>2.1215496927798091E-3</c:v>
                </c:pt>
                <c:pt idx="8330">
                  <c:v>3.2308295499996857E-3</c:v>
                </c:pt>
                <c:pt idx="8331">
                  <c:v>1.543775586077312E-3</c:v>
                </c:pt>
                <c:pt idx="8332">
                  <c:v>7.8429028174733361E-3</c:v>
                </c:pt>
                <c:pt idx="8333">
                  <c:v>3.4432978595427726E-3</c:v>
                </c:pt>
                <c:pt idx="8334">
                  <c:v>3.6870988908543228E-3</c:v>
                </c:pt>
                <c:pt idx="8335">
                  <c:v>3.0531900612884837E-3</c:v>
                </c:pt>
                <c:pt idx="8336">
                  <c:v>3.886862008624906E-3</c:v>
                </c:pt>
                <c:pt idx="8337">
                  <c:v>7.9461088707472108E-3</c:v>
                </c:pt>
                <c:pt idx="8338">
                  <c:v>3.6582461921002545E-3</c:v>
                </c:pt>
                <c:pt idx="8339">
                  <c:v>6.2768797182412468E-3</c:v>
                </c:pt>
                <c:pt idx="8340">
                  <c:v>2.7559557424733441E-3</c:v>
                </c:pt>
                <c:pt idx="8341">
                  <c:v>2.3233299856843326E-3</c:v>
                </c:pt>
                <c:pt idx="8342">
                  <c:v>3.6009657520168154E-3</c:v>
                </c:pt>
                <c:pt idx="8343">
                  <c:v>4.5376071947286984E-3</c:v>
                </c:pt>
                <c:pt idx="8344">
                  <c:v>2.2173823957732371E-2</c:v>
                </c:pt>
                <c:pt idx="8345">
                  <c:v>2.4339021115369701E-3</c:v>
                </c:pt>
                <c:pt idx="8346">
                  <c:v>5.801469958061742E-3</c:v>
                </c:pt>
                <c:pt idx="8347">
                  <c:v>1.9278907299962928E-3</c:v>
                </c:pt>
                <c:pt idx="8348">
                  <c:v>5.8486058748338458E-3</c:v>
                </c:pt>
                <c:pt idx="8349">
                  <c:v>2.9677937701953596E-3</c:v>
                </c:pt>
                <c:pt idx="8350">
                  <c:v>5.8623171809862058E-3</c:v>
                </c:pt>
                <c:pt idx="8351">
                  <c:v>4.6330079860993799E-3</c:v>
                </c:pt>
                <c:pt idx="8352">
                  <c:v>8.2350966296574528E-4</c:v>
                </c:pt>
                <c:pt idx="8353">
                  <c:v>1.5675763734624975E-3</c:v>
                </c:pt>
                <c:pt idx="8354">
                  <c:v>4.8881665579911509E-3</c:v>
                </c:pt>
                <c:pt idx="8355">
                  <c:v>7.8569778144696612E-3</c:v>
                </c:pt>
                <c:pt idx="8356">
                  <c:v>1.7670189771633914E-3</c:v>
                </c:pt>
                <c:pt idx="8357">
                  <c:v>6.6106403764788942E-3</c:v>
                </c:pt>
                <c:pt idx="8358">
                  <c:v>4.8310096251578542E-4</c:v>
                </c:pt>
                <c:pt idx="8359">
                  <c:v>4.0297395907750895E-3</c:v>
                </c:pt>
                <c:pt idx="8360">
                  <c:v>1.9283231006450552E-3</c:v>
                </c:pt>
                <c:pt idx="8361">
                  <c:v>5.1127023404571263E-3</c:v>
                </c:pt>
                <c:pt idx="8362">
                  <c:v>4.7700562254153322E-3</c:v>
                </c:pt>
                <c:pt idx="8363">
                  <c:v>5.6853223675630195E-3</c:v>
                </c:pt>
                <c:pt idx="8364">
                  <c:v>2.9181872045652446E-3</c:v>
                </c:pt>
                <c:pt idx="8365">
                  <c:v>3.2049642413780294E-3</c:v>
                </c:pt>
                <c:pt idx="8366">
                  <c:v>1.9884184328718829E-3</c:v>
                </c:pt>
                <c:pt idx="8367">
                  <c:v>4.7481485960477457E-3</c:v>
                </c:pt>
                <c:pt idx="8368">
                  <c:v>5.2187047067064722E-3</c:v>
                </c:pt>
                <c:pt idx="8369">
                  <c:v>5.2826369448482581E-3</c:v>
                </c:pt>
                <c:pt idx="8370">
                  <c:v>1.357279382636655E-2</c:v>
                </c:pt>
                <c:pt idx="8371">
                  <c:v>5.9689934952123491E-3</c:v>
                </c:pt>
                <c:pt idx="8372">
                  <c:v>1.8496245516971808E-3</c:v>
                </c:pt>
                <c:pt idx="8373">
                  <c:v>2.0169499958039875E-3</c:v>
                </c:pt>
                <c:pt idx="8374">
                  <c:v>7.0544013698446411E-3</c:v>
                </c:pt>
                <c:pt idx="8375">
                  <c:v>7.670980438139797E-3</c:v>
                </c:pt>
                <c:pt idx="8376">
                  <c:v>1.3389228865523123E-2</c:v>
                </c:pt>
                <c:pt idx="8377">
                  <c:v>3.2084130382000293E-3</c:v>
                </c:pt>
                <c:pt idx="8378">
                  <c:v>5.1702129077710966E-3</c:v>
                </c:pt>
                <c:pt idx="8379">
                  <c:v>2.1902605758369414E-3</c:v>
                </c:pt>
                <c:pt idx="8380">
                  <c:v>9.6956508122475276E-4</c:v>
                </c:pt>
                <c:pt idx="8381">
                  <c:v>2.6286306405405202E-3</c:v>
                </c:pt>
                <c:pt idx="8382">
                  <c:v>1.0980552891658432E-2</c:v>
                </c:pt>
                <c:pt idx="8383">
                  <c:v>1.1931007797580903E-2</c:v>
                </c:pt>
                <c:pt idx="8384">
                  <c:v>2.4939275299993282E-3</c:v>
                </c:pt>
                <c:pt idx="8385">
                  <c:v>1.621743602992911E-2</c:v>
                </c:pt>
                <c:pt idx="8386">
                  <c:v>4.5535087820103579E-3</c:v>
                </c:pt>
                <c:pt idx="8387">
                  <c:v>1.0299956639811961E-2</c:v>
                </c:pt>
                <c:pt idx="8388">
                  <c:v>9.759721477278941E-3</c:v>
                </c:pt>
                <c:pt idx="8389">
                  <c:v>7.5058196777604757E-3</c:v>
                </c:pt>
                <c:pt idx="8390">
                  <c:v>6.8052157067469109E-3</c:v>
                </c:pt>
                <c:pt idx="8391">
                  <c:v>3.3398779951304232E-3</c:v>
                </c:pt>
                <c:pt idx="8392">
                  <c:v>8.7981138364750071E-3</c:v>
                </c:pt>
                <c:pt idx="8393">
                  <c:v>4.1394479946865285E-3</c:v>
                </c:pt>
                <c:pt idx="8394">
                  <c:v>5.7453286913549447E-3</c:v>
                </c:pt>
                <c:pt idx="8395">
                  <c:v>1.1138386720002543E-3</c:v>
                </c:pt>
                <c:pt idx="8396">
                  <c:v>2.3470880903735964E-3</c:v>
                </c:pt>
                <c:pt idx="8397">
                  <c:v>7.6402576102018362E-3</c:v>
                </c:pt>
                <c:pt idx="8398">
                  <c:v>3.8210019959889672E-3</c:v>
                </c:pt>
                <c:pt idx="8399">
                  <c:v>1.4845927685400091E-2</c:v>
                </c:pt>
                <c:pt idx="8400">
                  <c:v>3.3010891957682854E-3</c:v>
                </c:pt>
                <c:pt idx="8401">
                  <c:v>6.7859758767963687E-3</c:v>
                </c:pt>
                <c:pt idx="8402">
                  <c:v>1.239443307254703E-3</c:v>
                </c:pt>
                <c:pt idx="8403">
                  <c:v>3.4652714083505689E-3</c:v>
                </c:pt>
                <c:pt idx="8404">
                  <c:v>9.5996013238254171E-3</c:v>
                </c:pt>
                <c:pt idx="8405">
                  <c:v>4.3514723571923732E-3</c:v>
                </c:pt>
                <c:pt idx="8406">
                  <c:v>1.9693963495197833E-3</c:v>
                </c:pt>
                <c:pt idx="8407">
                  <c:v>2.6756805349859086E-3</c:v>
                </c:pt>
                <c:pt idx="8408">
                  <c:v>4.2082704930696494E-3</c:v>
                </c:pt>
                <c:pt idx="8409">
                  <c:v>2.0589558768859328E-2</c:v>
                </c:pt>
                <c:pt idx="8410">
                  <c:v>3.0881200684756134E-3</c:v>
                </c:pt>
                <c:pt idx="8411">
                  <c:v>8.21765389869979E-3</c:v>
                </c:pt>
                <c:pt idx="8412">
                  <c:v>7.7767868794025299E-3</c:v>
                </c:pt>
                <c:pt idx="8413">
                  <c:v>6.1874053884283095E-3</c:v>
                </c:pt>
                <c:pt idx="8414">
                  <c:v>9.8735110555461612E-3</c:v>
                </c:pt>
                <c:pt idx="8415">
                  <c:v>1.1214658507367792E-2</c:v>
                </c:pt>
                <c:pt idx="8416">
                  <c:v>4.3295436019921991E-3</c:v>
                </c:pt>
                <c:pt idx="8417">
                  <c:v>5.4070418396491423E-3</c:v>
                </c:pt>
                <c:pt idx="8418">
                  <c:v>2.3825068514737578E-3</c:v>
                </c:pt>
                <c:pt idx="8419">
                  <c:v>4.0400662691255458E-3</c:v>
                </c:pt>
                <c:pt idx="8420">
                  <c:v>5.5005365444846209E-3</c:v>
                </c:pt>
                <c:pt idx="8421">
                  <c:v>1.3134897082586728E-3</c:v>
                </c:pt>
                <c:pt idx="8422">
                  <c:v>1.0832743139717636E-2</c:v>
                </c:pt>
                <c:pt idx="8423">
                  <c:v>3.7637430196640486E-3</c:v>
                </c:pt>
                <c:pt idx="8424">
                  <c:v>6.1604310412750095E-3</c:v>
                </c:pt>
                <c:pt idx="8425">
                  <c:v>5.6990388297001185E-3</c:v>
                </c:pt>
                <c:pt idx="8426">
                  <c:v>9.002346553229899E-3</c:v>
                </c:pt>
                <c:pt idx="8427">
                  <c:v>7.41062099194458E-3</c:v>
                </c:pt>
                <c:pt idx="8428">
                  <c:v>1.2210629885604053E-2</c:v>
                </c:pt>
                <c:pt idx="8429">
                  <c:v>5.8610317644234682E-3</c:v>
                </c:pt>
                <c:pt idx="8430">
                  <c:v>9.9257253969226057E-3</c:v>
                </c:pt>
                <c:pt idx="8431">
                  <c:v>6.0426662531249363E-3</c:v>
                </c:pt>
                <c:pt idx="8432">
                  <c:v>1.2303937975739707E-2</c:v>
                </c:pt>
                <c:pt idx="8433">
                  <c:v>6.4001442940750664E-3</c:v>
                </c:pt>
                <c:pt idx="8434">
                  <c:v>1.2384141577493638E-2</c:v>
                </c:pt>
                <c:pt idx="8435">
                  <c:v>6.3402283839995334E-3</c:v>
                </c:pt>
                <c:pt idx="8436">
                  <c:v>1.2001141428616942E-2</c:v>
                </c:pt>
                <c:pt idx="8437">
                  <c:v>8.1613979158970257E-3</c:v>
                </c:pt>
                <c:pt idx="8438">
                  <c:v>5.4100442759913965E-3</c:v>
                </c:pt>
                <c:pt idx="8439">
                  <c:v>8.0036718401593505E-3</c:v>
                </c:pt>
                <c:pt idx="8440">
                  <c:v>4.0706145882970527E-3</c:v>
                </c:pt>
                <c:pt idx="8441">
                  <c:v>9.639105945412842E-3</c:v>
                </c:pt>
                <c:pt idx="8442">
                  <c:v>3.5988122046587156E-3</c:v>
                </c:pt>
                <c:pt idx="8443">
                  <c:v>5.6690335060880573E-3</c:v>
                </c:pt>
                <c:pt idx="8444">
                  <c:v>6.7196988264875291E-3</c:v>
                </c:pt>
                <c:pt idx="8445">
                  <c:v>5.9471462633676891E-3</c:v>
                </c:pt>
                <c:pt idx="8446">
                  <c:v>3.9673440186352776E-3</c:v>
                </c:pt>
                <c:pt idx="8447">
                  <c:v>7.238527367852788E-3</c:v>
                </c:pt>
                <c:pt idx="8448">
                  <c:v>4.4017753180923521E-3</c:v>
                </c:pt>
                <c:pt idx="8449">
                  <c:v>5.7440429284847435E-3</c:v>
                </c:pt>
                <c:pt idx="8450">
                  <c:v>4.435307388743169E-3</c:v>
                </c:pt>
                <c:pt idx="8451">
                  <c:v>6.1223215684185015E-3</c:v>
                </c:pt>
                <c:pt idx="8452">
                  <c:v>6.5186678500839491E-3</c:v>
                </c:pt>
                <c:pt idx="8453">
                  <c:v>8.7061777705280726E-3</c:v>
                </c:pt>
                <c:pt idx="8454">
                  <c:v>4.5174070415805222E-3</c:v>
                </c:pt>
                <c:pt idx="8455">
                  <c:v>8.584417656738003E-3</c:v>
                </c:pt>
                <c:pt idx="8456">
                  <c:v>5.2641876677176694E-3</c:v>
                </c:pt>
                <c:pt idx="8457">
                  <c:v>6.9877379115775261E-3</c:v>
                </c:pt>
                <c:pt idx="8458">
                  <c:v>5.0225585169861638E-3</c:v>
                </c:pt>
                <c:pt idx="8459">
                  <c:v>4.6377345074628653E-3</c:v>
                </c:pt>
                <c:pt idx="8460">
                  <c:v>3.8778229903690159E-3</c:v>
                </c:pt>
                <c:pt idx="8461">
                  <c:v>3.2532449048101441E-3</c:v>
                </c:pt>
                <c:pt idx="8462">
                  <c:v>4.6841376219477456E-3</c:v>
                </c:pt>
                <c:pt idx="8463">
                  <c:v>4.848227385467899E-3</c:v>
                </c:pt>
                <c:pt idx="8464">
                  <c:v>3.8606052922708738E-3</c:v>
                </c:pt>
                <c:pt idx="8465">
                  <c:v>3.4622554968882294E-3</c:v>
                </c:pt>
                <c:pt idx="8466">
                  <c:v>4.7283878255293408E-3</c:v>
                </c:pt>
                <c:pt idx="8467">
                  <c:v>3.3657352701707316E-3</c:v>
                </c:pt>
                <c:pt idx="8468">
                  <c:v>6.259328791084256E-3</c:v>
                </c:pt>
                <c:pt idx="8469">
                  <c:v>2.2131617879725032E-3</c:v>
                </c:pt>
                <c:pt idx="8470">
                  <c:v>4.5040830220661552E-3</c:v>
                </c:pt>
                <c:pt idx="8471">
                  <c:v>2.7434406918413427E-3</c:v>
                </c:pt>
                <c:pt idx="8472">
                  <c:v>4.1962273431224561E-3</c:v>
                </c:pt>
                <c:pt idx="8473">
                  <c:v>6.1989653100658704E-3</c:v>
                </c:pt>
                <c:pt idx="8474">
                  <c:v>5.5588533229134832E-3</c:v>
                </c:pt>
                <c:pt idx="8475">
                  <c:v>3.0376647118225261E-3</c:v>
                </c:pt>
                <c:pt idx="8476">
                  <c:v>4.7537329986758756E-3</c:v>
                </c:pt>
                <c:pt idx="8477">
                  <c:v>5.3950318867061441E-3</c:v>
                </c:pt>
                <c:pt idx="8478">
                  <c:v>5.046169422147956E-3</c:v>
                </c:pt>
                <c:pt idx="8479">
                  <c:v>3.4988758621032246E-3</c:v>
                </c:pt>
                <c:pt idx="8480">
                  <c:v>5.6278799766480052E-3</c:v>
                </c:pt>
                <c:pt idx="8481">
                  <c:v>4.3596416103614567E-3</c:v>
                </c:pt>
                <c:pt idx="8482">
                  <c:v>3.182977517796341E-3</c:v>
                </c:pt>
                <c:pt idx="8483">
                  <c:v>0.17397165998031558</c:v>
                </c:pt>
                <c:pt idx="8484">
                  <c:v>3.5286007115517938E-3</c:v>
                </c:pt>
                <c:pt idx="8485">
                  <c:v>3.1355513829500938E-3</c:v>
                </c:pt>
                <c:pt idx="8486">
                  <c:v>3.6638446268160065E-3</c:v>
                </c:pt>
                <c:pt idx="8487">
                  <c:v>4.4314384357977427E-3</c:v>
                </c:pt>
                <c:pt idx="8488">
                  <c:v>7.4362370401944797E-3</c:v>
                </c:pt>
                <c:pt idx="8489">
                  <c:v>6.6307434044675043E-3</c:v>
                </c:pt>
                <c:pt idx="8490">
                  <c:v>3.3269487802728521E-3</c:v>
                </c:pt>
                <c:pt idx="8491">
                  <c:v>8.2491881562201247E-3</c:v>
                </c:pt>
                <c:pt idx="8492">
                  <c:v>3.0622462588449683E-3</c:v>
                </c:pt>
                <c:pt idx="8493">
                  <c:v>5.2208502364431957E-3</c:v>
                </c:pt>
                <c:pt idx="8494">
                  <c:v>3.4195996490866466E-3</c:v>
                </c:pt>
                <c:pt idx="8495">
                  <c:v>6.3248200995315775E-3</c:v>
                </c:pt>
                <c:pt idx="8496">
                  <c:v>2.5004045972198169E-3</c:v>
                </c:pt>
                <c:pt idx="8497">
                  <c:v>2.6963981381113522E-3</c:v>
                </c:pt>
                <c:pt idx="8498">
                  <c:v>2.19458165169114E-3</c:v>
                </c:pt>
                <c:pt idx="8499">
                  <c:v>7.7618560809125589E-3</c:v>
                </c:pt>
                <c:pt idx="8500">
                  <c:v>4.0413570866543944E-3</c:v>
                </c:pt>
                <c:pt idx="8501">
                  <c:v>3.9557245426910057E-3</c:v>
                </c:pt>
                <c:pt idx="8502">
                  <c:v>5.0195534006085866E-3</c:v>
                </c:pt>
                <c:pt idx="8503">
                  <c:v>3.0704397986749061E-3</c:v>
                </c:pt>
                <c:pt idx="8504">
                  <c:v>3.3506520468238169E-3</c:v>
                </c:pt>
                <c:pt idx="8505">
                  <c:v>4.3493225281863558E-3</c:v>
                </c:pt>
                <c:pt idx="8506">
                  <c:v>5.9621395800030065E-3</c:v>
                </c:pt>
                <c:pt idx="8507">
                  <c:v>6.4549173219862668E-3</c:v>
                </c:pt>
                <c:pt idx="8508">
                  <c:v>5.8164683046933027E-3</c:v>
                </c:pt>
                <c:pt idx="8509">
                  <c:v>5.8901669389911605E-3</c:v>
                </c:pt>
                <c:pt idx="8510">
                  <c:v>3.7602986299988877E-3</c:v>
                </c:pt>
                <c:pt idx="8511">
                  <c:v>7.0091055188962227E-3</c:v>
                </c:pt>
                <c:pt idx="8512">
                  <c:v>4.3089037620570505E-3</c:v>
                </c:pt>
                <c:pt idx="8513">
                  <c:v>4.4073641763307369E-3</c:v>
                </c:pt>
                <c:pt idx="8514">
                  <c:v>5.1466087455923661E-3</c:v>
                </c:pt>
                <c:pt idx="8515">
                  <c:v>6.3736111250872413E-3</c:v>
                </c:pt>
                <c:pt idx="8516">
                  <c:v>5.9394352132528224E-3</c:v>
                </c:pt>
                <c:pt idx="8517">
                  <c:v>5.4503606961215593E-3</c:v>
                </c:pt>
                <c:pt idx="8518">
                  <c:v>4.4782934358925993E-3</c:v>
                </c:pt>
                <c:pt idx="8519">
                  <c:v>6.4793062131219834E-3</c:v>
                </c:pt>
                <c:pt idx="8520">
                  <c:v>7.128317471570598E-3</c:v>
                </c:pt>
                <c:pt idx="8521">
                  <c:v>6.0533734626206787E-3</c:v>
                </c:pt>
                <c:pt idx="8522">
                  <c:v>6.2743113341797597E-3</c:v>
                </c:pt>
                <c:pt idx="8523">
                  <c:v>5.7697574626624617E-3</c:v>
                </c:pt>
                <c:pt idx="8524">
                  <c:v>5.1895244499215029E-3</c:v>
                </c:pt>
                <c:pt idx="8525">
                  <c:v>1.9352409724830075E-3</c:v>
                </c:pt>
                <c:pt idx="8526">
                  <c:v>6.1959683228907667E-3</c:v>
                </c:pt>
                <c:pt idx="8527">
                  <c:v>9.9083213139682449E-3</c:v>
                </c:pt>
                <c:pt idx="8528">
                  <c:v>8.1771673733857173E-3</c:v>
                </c:pt>
                <c:pt idx="8529">
                  <c:v>3.4540693459157762E-3</c:v>
                </c:pt>
                <c:pt idx="8530">
                  <c:v>4.6334376719852789E-3</c:v>
                </c:pt>
                <c:pt idx="8531">
                  <c:v>5.338838051738402E-3</c:v>
                </c:pt>
                <c:pt idx="8532">
                  <c:v>8.6418960901206501E-3</c:v>
                </c:pt>
                <c:pt idx="8533">
                  <c:v>4.5045128355278739E-3</c:v>
                </c:pt>
                <c:pt idx="8534">
                  <c:v>1.3634666362161535E-2</c:v>
                </c:pt>
                <c:pt idx="8535">
                  <c:v>9.2455985208485178E-3</c:v>
                </c:pt>
                <c:pt idx="8536">
                  <c:v>5.6141612668584567E-3</c:v>
                </c:pt>
                <c:pt idx="8537">
                  <c:v>5.5575670078489717E-3</c:v>
                </c:pt>
                <c:pt idx="8538">
                  <c:v>5.8224674983181242E-3</c:v>
                </c:pt>
                <c:pt idx="8539">
                  <c:v>9.9393085868293533E-3</c:v>
                </c:pt>
                <c:pt idx="8540">
                  <c:v>4.9512887276257096E-3</c:v>
                </c:pt>
                <c:pt idx="8541">
                  <c:v>5.3791610823188674E-3</c:v>
                </c:pt>
                <c:pt idx="8542">
                  <c:v>8.7244814093421046E-3</c:v>
                </c:pt>
                <c:pt idx="8543">
                  <c:v>2.6605733262913393E-3</c:v>
                </c:pt>
                <c:pt idx="8544">
                  <c:v>5.4778080322499256E-3</c:v>
                </c:pt>
                <c:pt idx="8545">
                  <c:v>4.3936068574441977E-3</c:v>
                </c:pt>
                <c:pt idx="8546">
                  <c:v>8.517562798375667E-3</c:v>
                </c:pt>
                <c:pt idx="8547">
                  <c:v>2.4922002957591832E-3</c:v>
                </c:pt>
                <c:pt idx="8548">
                  <c:v>3.4816431337102013E-3</c:v>
                </c:pt>
                <c:pt idx="8549">
                  <c:v>1.0044139541164534E-2</c:v>
                </c:pt>
                <c:pt idx="8550">
                  <c:v>6.1689945075987518E-3</c:v>
                </c:pt>
                <c:pt idx="8551">
                  <c:v>3.7267143990806027E-3</c:v>
                </c:pt>
                <c:pt idx="8552">
                  <c:v>4.0503927019335086E-3</c:v>
                </c:pt>
                <c:pt idx="8553">
                  <c:v>7.7639890835529725E-3</c:v>
                </c:pt>
                <c:pt idx="8554">
                  <c:v>6.5208069672763897E-3</c:v>
                </c:pt>
                <c:pt idx="8555">
                  <c:v>5.6523153550739154E-3</c:v>
                </c:pt>
                <c:pt idx="8556">
                  <c:v>4.1003003327464236E-3</c:v>
                </c:pt>
                <c:pt idx="8557">
                  <c:v>6.6397253076966546E-3</c:v>
                </c:pt>
                <c:pt idx="8558">
                  <c:v>9.6144690762413557E-3</c:v>
                </c:pt>
                <c:pt idx="8559">
                  <c:v>4.8173042130569971E-3</c:v>
                </c:pt>
                <c:pt idx="8560">
                  <c:v>4.9843490601528947E-3</c:v>
                </c:pt>
                <c:pt idx="8561">
                  <c:v>6.8770368751816784E-3</c:v>
                </c:pt>
                <c:pt idx="8562">
                  <c:v>7.346147250381554E-3</c:v>
                </c:pt>
                <c:pt idx="8563">
                  <c:v>1.0667933134973627E-2</c:v>
                </c:pt>
                <c:pt idx="8564">
                  <c:v>6.9642323292095458E-3</c:v>
                </c:pt>
                <c:pt idx="8565">
                  <c:v>1.288486799124856E-2</c:v>
                </c:pt>
                <c:pt idx="8566">
                  <c:v>8.1567095883831875E-3</c:v>
                </c:pt>
                <c:pt idx="8567">
                  <c:v>1.2854933439501332E-2</c:v>
                </c:pt>
                <c:pt idx="8568">
                  <c:v>1.649354592702254E-3</c:v>
                </c:pt>
                <c:pt idx="8569">
                  <c:v>1.397047384009052E-3</c:v>
                </c:pt>
                <c:pt idx="8570">
                  <c:v>1.3368701596277279E-3</c:v>
                </c:pt>
                <c:pt idx="8571">
                  <c:v>5.0474572527852519E-3</c:v>
                </c:pt>
                <c:pt idx="8572">
                  <c:v>1.2181071105904913E-2</c:v>
                </c:pt>
                <c:pt idx="8573">
                  <c:v>3.653508998663992E-3</c:v>
                </c:pt>
                <c:pt idx="8574">
                  <c:v>2.2360617925452604E-3</c:v>
                </c:pt>
                <c:pt idx="8575">
                  <c:v>7.7162073133230655E-3</c:v>
                </c:pt>
                <c:pt idx="8576">
                  <c:v>4.1919261372055762E-3</c:v>
                </c:pt>
                <c:pt idx="8577">
                  <c:v>1.1488820703545687E-2</c:v>
                </c:pt>
                <c:pt idx="8578">
                  <c:v>4.8808661233643996E-3</c:v>
                </c:pt>
                <c:pt idx="8579">
                  <c:v>7.6001439802378824E-3</c:v>
                </c:pt>
                <c:pt idx="8580">
                  <c:v>1.9966322567591416E-3</c:v>
                </c:pt>
                <c:pt idx="8581">
                  <c:v>1.6510851822753182E-3</c:v>
                </c:pt>
                <c:pt idx="8582">
                  <c:v>4.0972888279671195E-3</c:v>
                </c:pt>
                <c:pt idx="8583">
                  <c:v>2.5677603705470354E-3</c:v>
                </c:pt>
                <c:pt idx="8584">
                  <c:v>5.2461666868956966E-3</c:v>
                </c:pt>
                <c:pt idx="8585">
                  <c:v>8.584417656738003E-3</c:v>
                </c:pt>
                <c:pt idx="8586">
                  <c:v>9.0010703969629763E-3</c:v>
                </c:pt>
                <c:pt idx="8587">
                  <c:v>3.5165386990871727E-3</c:v>
                </c:pt>
                <c:pt idx="8588">
                  <c:v>2.0364022595292615E-3</c:v>
                </c:pt>
                <c:pt idx="8589">
                  <c:v>3.225225530522255E-3</c:v>
                </c:pt>
                <c:pt idx="8590">
                  <c:v>7.358957364943553E-3</c:v>
                </c:pt>
                <c:pt idx="8591">
                  <c:v>6.4202570678387454E-3</c:v>
                </c:pt>
                <c:pt idx="8592">
                  <c:v>1.1507430381697197E-2</c:v>
                </c:pt>
                <c:pt idx="8593">
                  <c:v>2.356159023860454E-3</c:v>
                </c:pt>
                <c:pt idx="8594">
                  <c:v>6.6534116601905616E-3</c:v>
                </c:pt>
                <c:pt idx="8595">
                  <c:v>4.2607403205565594E-3</c:v>
                </c:pt>
                <c:pt idx="8596">
                  <c:v>2.6644580872906966E-3</c:v>
                </c:pt>
                <c:pt idx="8597">
                  <c:v>6.8629300830251724E-3</c:v>
                </c:pt>
                <c:pt idx="8598">
                  <c:v>7.222723790380952E-3</c:v>
                </c:pt>
                <c:pt idx="8599">
                  <c:v>2.2568003773795514E-3</c:v>
                </c:pt>
                <c:pt idx="8600">
                  <c:v>4.9504299841557605E-3</c:v>
                </c:pt>
                <c:pt idx="8601">
                  <c:v>4.7283878255293408E-3</c:v>
                </c:pt>
                <c:pt idx="8602">
                  <c:v>2.3984875418852931E-3</c:v>
                </c:pt>
                <c:pt idx="8603">
                  <c:v>3.7258532308038122E-3</c:v>
                </c:pt>
                <c:pt idx="8604">
                  <c:v>4.6428906539204744E-3</c:v>
                </c:pt>
                <c:pt idx="8605">
                  <c:v>5.693037930820404E-3</c:v>
                </c:pt>
                <c:pt idx="8606">
                  <c:v>1.7337128090005314E-3</c:v>
                </c:pt>
                <c:pt idx="8607">
                  <c:v>1.7670189771633914E-3</c:v>
                </c:pt>
                <c:pt idx="8608">
                  <c:v>1.1172334106914534E-2</c:v>
                </c:pt>
                <c:pt idx="8609">
                  <c:v>1.0857734568395649E-2</c:v>
                </c:pt>
                <c:pt idx="8610">
                  <c:v>3.3053992334496846E-3</c:v>
                </c:pt>
                <c:pt idx="8611">
                  <c:v>2.7917726874169464E-3</c:v>
                </c:pt>
                <c:pt idx="8612">
                  <c:v>4.3132038096018403E-3</c:v>
                </c:pt>
                <c:pt idx="8613">
                  <c:v>3.7943107809421893E-3</c:v>
                </c:pt>
                <c:pt idx="8614">
                  <c:v>1.6424321654479326E-3</c:v>
                </c:pt>
                <c:pt idx="8615">
                  <c:v>5.7603289769152695E-3</c:v>
                </c:pt>
                <c:pt idx="8616">
                  <c:v>8.3101194913610382E-3</c:v>
                </c:pt>
                <c:pt idx="8617">
                  <c:v>3.6280995338042986E-3</c:v>
                </c:pt>
                <c:pt idx="8618">
                  <c:v>2.9617550129358615E-3</c:v>
                </c:pt>
                <c:pt idx="8619">
                  <c:v>8.2875375459959006E-3</c:v>
                </c:pt>
                <c:pt idx="8620">
                  <c:v>3.5850292486859846E-3</c:v>
                </c:pt>
                <c:pt idx="8621">
                  <c:v>2.5643064824327532E-3</c:v>
                </c:pt>
                <c:pt idx="8622">
                  <c:v>2.0299182684288841E-3</c:v>
                </c:pt>
                <c:pt idx="8623">
                  <c:v>2.8884205451700402E-3</c:v>
                </c:pt>
                <c:pt idx="8624">
                  <c:v>3.2808314456910376E-3</c:v>
                </c:pt>
                <c:pt idx="8625">
                  <c:v>1.5407463013843293E-3</c:v>
                </c:pt>
                <c:pt idx="8626">
                  <c:v>2.2546401543315389E-3</c:v>
                </c:pt>
                <c:pt idx="8627">
                  <c:v>2.4369251727257494E-3</c:v>
                </c:pt>
                <c:pt idx="8628">
                  <c:v>4.8761422473290574E-3</c:v>
                </c:pt>
                <c:pt idx="8629">
                  <c:v>2.793498730639781E-3</c:v>
                </c:pt>
                <c:pt idx="8630">
                  <c:v>3.1683190836584245E-3</c:v>
                </c:pt>
                <c:pt idx="8631">
                  <c:v>4.181172936040551E-3</c:v>
                </c:pt>
                <c:pt idx="8632">
                  <c:v>4.8916020141760172E-3</c:v>
                </c:pt>
                <c:pt idx="8633">
                  <c:v>1.4160945522022103E-3</c:v>
                </c:pt>
                <c:pt idx="8634">
                  <c:v>1.5563252547131996E-3</c:v>
                </c:pt>
                <c:pt idx="8635">
                  <c:v>4.7945399152348354E-3</c:v>
                </c:pt>
                <c:pt idx="8636">
                  <c:v>7.3837225150611046E-3</c:v>
                </c:pt>
                <c:pt idx="8637">
                  <c:v>1.6013279809426707E-3</c:v>
                </c:pt>
                <c:pt idx="8638">
                  <c:v>2.3051865577771056E-3</c:v>
                </c:pt>
                <c:pt idx="8639">
                  <c:v>2.9470891100032235E-3</c:v>
                </c:pt>
                <c:pt idx="8640">
                  <c:v>3.7142272919308788E-3</c:v>
                </c:pt>
                <c:pt idx="8641">
                  <c:v>3.4402817954831849E-3</c:v>
                </c:pt>
                <c:pt idx="8642">
                  <c:v>1.901947703309301E-3</c:v>
                </c:pt>
                <c:pt idx="8643">
                  <c:v>5.2903596653645912E-3</c:v>
                </c:pt>
                <c:pt idx="8644">
                  <c:v>2.0333764090626999E-3</c:v>
                </c:pt>
                <c:pt idx="8645">
                  <c:v>4.9220904970174962E-3</c:v>
                </c:pt>
                <c:pt idx="8646">
                  <c:v>1.9784751750503999E-3</c:v>
                </c:pt>
                <c:pt idx="8647">
                  <c:v>7.2688515411909686E-3</c:v>
                </c:pt>
                <c:pt idx="8648">
                  <c:v>1.1796773558958218E-3</c:v>
                </c:pt>
                <c:pt idx="8649">
                  <c:v>2.1232784017621701E-3</c:v>
                </c:pt>
                <c:pt idx="8650">
                  <c:v>1.3095928439875375E-3</c:v>
                </c:pt>
                <c:pt idx="8651">
                  <c:v>1.4399023377710638E-3</c:v>
                </c:pt>
                <c:pt idx="8652">
                  <c:v>7.4550211820208082E-3</c:v>
                </c:pt>
                <c:pt idx="8653">
                  <c:v>2.698987769012708E-3</c:v>
                </c:pt>
                <c:pt idx="8654">
                  <c:v>2.4999727957437713E-3</c:v>
                </c:pt>
                <c:pt idx="8655">
                  <c:v>2.9626176976852684E-3</c:v>
                </c:pt>
                <c:pt idx="8656">
                  <c:v>4.5642527681447843E-3</c:v>
                </c:pt>
                <c:pt idx="8657">
                  <c:v>1.9017933683856131E-4</c:v>
                </c:pt>
                <c:pt idx="8658">
                  <c:v>5.8069761665566222E-4</c:v>
                </c:pt>
                <c:pt idx="8659">
                  <c:v>3.0747521259701103E-3</c:v>
                </c:pt>
                <c:pt idx="8660">
                  <c:v>4.7268935812603088E-4</c:v>
                </c:pt>
                <c:pt idx="8661">
                  <c:v>2.580712206341291E-3</c:v>
                </c:pt>
                <c:pt idx="8662">
                  <c:v>1.674014843107451E-3</c:v>
                </c:pt>
                <c:pt idx="8663">
                  <c:v>5.6638481312135363E-4</c:v>
                </c:pt>
                <c:pt idx="8664">
                  <c:v>4.4839464382505194E-4</c:v>
                </c:pt>
                <c:pt idx="8665">
                  <c:v>1.3591290357574222E-4</c:v>
                </c:pt>
                <c:pt idx="8666">
                  <c:v>1.0389011806537323E-2</c:v>
                </c:pt>
                <c:pt idx="8667">
                  <c:v>3.8924574970778769E-3</c:v>
                </c:pt>
                <c:pt idx="8668">
                  <c:v>1.4260506940316229E-3</c:v>
                </c:pt>
                <c:pt idx="8669">
                  <c:v>1.8119998771854633E-3</c:v>
                </c:pt>
                <c:pt idx="8670">
                  <c:v>1.242474694313911E-3</c:v>
                </c:pt>
                <c:pt idx="8671">
                  <c:v>3.8418064161437499E-4</c:v>
                </c:pt>
                <c:pt idx="8672">
                  <c:v>7.4894612103285042E-4</c:v>
                </c:pt>
                <c:pt idx="8673">
                  <c:v>2.8284496300277537E-3</c:v>
                </c:pt>
                <c:pt idx="8674">
                  <c:v>6.4964204066732386E-3</c:v>
                </c:pt>
                <c:pt idx="8675">
                  <c:v>1.5718615347140187E-4</c:v>
                </c:pt>
                <c:pt idx="8676">
                  <c:v>7.1787270187334638E-3</c:v>
                </c:pt>
                <c:pt idx="8677">
                  <c:v>1.3494258084814996E-3</c:v>
                </c:pt>
                <c:pt idx="8678">
                  <c:v>3.4545001998139368E-3</c:v>
                </c:pt>
                <c:pt idx="8679">
                  <c:v>1.1095068296930869E-3</c:v>
                </c:pt>
                <c:pt idx="8680">
                  <c:v>6.5054050883173384E-3</c:v>
                </c:pt>
                <c:pt idx="8681">
                  <c:v>1.9118927133767566E-3</c:v>
                </c:pt>
                <c:pt idx="8682">
                  <c:v>3.3312585613267391E-3</c:v>
                </c:pt>
                <c:pt idx="8683">
                  <c:v>9.8863100663787841E-4</c:v>
                </c:pt>
                <c:pt idx="8684">
                  <c:v>1.0328260693341759E-3</c:v>
                </c:pt>
                <c:pt idx="8685">
                  <c:v>7.5190519238544995E-3</c:v>
                </c:pt>
                <c:pt idx="8686">
                  <c:v>2.4390844892628388E-3</c:v>
                </c:pt>
                <c:pt idx="8687">
                  <c:v>9.5694394624534114E-3</c:v>
                </c:pt>
                <c:pt idx="8688">
                  <c:v>2.2948185443621553E-3</c:v>
                </c:pt>
                <c:pt idx="8689">
                  <c:v>2.2395182921235903E-3</c:v>
                </c:pt>
                <c:pt idx="8690">
                  <c:v>2.26198486885497E-3</c:v>
                </c:pt>
                <c:pt idx="8691">
                  <c:v>3.6444651222509086E-3</c:v>
                </c:pt>
                <c:pt idx="8692">
                  <c:v>1.4329765711253548E-3</c:v>
                </c:pt>
                <c:pt idx="8693">
                  <c:v>6.8026504453332281E-3</c:v>
                </c:pt>
                <c:pt idx="8694">
                  <c:v>5.7676146429664916E-3</c:v>
                </c:pt>
                <c:pt idx="8695">
                  <c:v>4.1108225762072722E-4</c:v>
                </c:pt>
                <c:pt idx="8696">
                  <c:v>1.1965685672187213E-3</c:v>
                </c:pt>
                <c:pt idx="8697">
                  <c:v>5.5356990688215047E-3</c:v>
                </c:pt>
                <c:pt idx="8698">
                  <c:v>1.0098625294426766E-3</c:v>
                </c:pt>
                <c:pt idx="8699">
                  <c:v>0</c:v>
                </c:pt>
                <c:pt idx="8700">
                  <c:v>3.1070932158931519E-3</c:v>
                </c:pt>
                <c:pt idx="8701">
                  <c:v>2.4710411188052636E-3</c:v>
                </c:pt>
                <c:pt idx="8702">
                  <c:v>1.1991671568056879E-3</c:v>
                </c:pt>
                <c:pt idx="8703">
                  <c:v>5.5424024626312025E-4</c:v>
                </c:pt>
                <c:pt idx="8704">
                  <c:v>5.3096658658704794E-3</c:v>
                </c:pt>
                <c:pt idx="8705">
                  <c:v>1.459813301678801E-3</c:v>
                </c:pt>
                <c:pt idx="8706">
                  <c:v>5.5380650545139884E-4</c:v>
                </c:pt>
                <c:pt idx="8707">
                  <c:v>1.2281836843517095E-3</c:v>
                </c:pt>
                <c:pt idx="8708">
                  <c:v>1.469774850903446E-2</c:v>
                </c:pt>
                <c:pt idx="8709">
                  <c:v>1.7618285735136947E-3</c:v>
                </c:pt>
                <c:pt idx="8710">
                  <c:v>1.9166489420376234E-3</c:v>
                </c:pt>
                <c:pt idx="8711">
                  <c:v>0</c:v>
                </c:pt>
                <c:pt idx="8712">
                  <c:v>5.8717434528646195E-3</c:v>
                </c:pt>
                <c:pt idx="8713">
                  <c:v>6.8697697970530273E-3</c:v>
                </c:pt>
                <c:pt idx="8714">
                  <c:v>2.7973823028096174E-3</c:v>
                </c:pt>
                <c:pt idx="8715">
                  <c:v>1.2559693553166157E-2</c:v>
                </c:pt>
                <c:pt idx="8716">
                  <c:v>8.6738252663501186E-3</c:v>
                </c:pt>
                <c:pt idx="8717">
                  <c:v>6.9898747196186139E-3</c:v>
                </c:pt>
                <c:pt idx="8718">
                  <c:v>6.3582040249773398E-3</c:v>
                </c:pt>
                <c:pt idx="8719">
                  <c:v>7.5382593056613966E-3</c:v>
                </c:pt>
                <c:pt idx="8720">
                  <c:v>3.1377072287115306E-3</c:v>
                </c:pt>
                <c:pt idx="8721">
                  <c:v>9.7953900754671613E-3</c:v>
                </c:pt>
                <c:pt idx="8722">
                  <c:v>3.1239096309096368E-3</c:v>
                </c:pt>
                <c:pt idx="8723">
                  <c:v>5.1530463715991582E-3</c:v>
                </c:pt>
                <c:pt idx="8724">
                  <c:v>4.9847783985667816E-3</c:v>
                </c:pt>
                <c:pt idx="8725">
                  <c:v>6.9031118604587155E-3</c:v>
                </c:pt>
                <c:pt idx="8726">
                  <c:v>2.5897782615788159E-3</c:v>
                </c:pt>
                <c:pt idx="8727">
                  <c:v>2.9634803807210373E-3</c:v>
                </c:pt>
                <c:pt idx="8728">
                  <c:v>5.1414585760791625E-3</c:v>
                </c:pt>
                <c:pt idx="8729">
                  <c:v>1.1794933152340046E-2</c:v>
                </c:pt>
                <c:pt idx="8730">
                  <c:v>3.490690401376762E-3</c:v>
                </c:pt>
                <c:pt idx="8731">
                  <c:v>2.490473054649717E-3</c:v>
                </c:pt>
                <c:pt idx="8732">
                  <c:v>7.4780733366359084E-3</c:v>
                </c:pt>
                <c:pt idx="8733">
                  <c:v>3.7486736131951979E-3</c:v>
                </c:pt>
                <c:pt idx="8734">
                  <c:v>3.2200525252823278E-3</c:v>
                </c:pt>
                <c:pt idx="8735">
                  <c:v>4.2504188881354304E-3</c:v>
                </c:pt>
                <c:pt idx="8736">
                  <c:v>1.0181612235275648E-2</c:v>
                </c:pt>
                <c:pt idx="8737">
                  <c:v>2.8375105151851616E-3</c:v>
                </c:pt>
                <c:pt idx="8738">
                  <c:v>3.5609080231373833E-3</c:v>
                </c:pt>
                <c:pt idx="8739">
                  <c:v>5.1770793322507358E-3</c:v>
                </c:pt>
                <c:pt idx="8740">
                  <c:v>1.006747902200605E-2</c:v>
                </c:pt>
                <c:pt idx="8741">
                  <c:v>6.0229642979036007E-3</c:v>
                </c:pt>
                <c:pt idx="8742">
                  <c:v>7.5421006800875075E-3</c:v>
                </c:pt>
                <c:pt idx="8743">
                  <c:v>4.9504299841557605E-3</c:v>
                </c:pt>
                <c:pt idx="8744">
                  <c:v>1.1376722820191901E-2</c:v>
                </c:pt>
                <c:pt idx="8745">
                  <c:v>3.3549615926626625E-3</c:v>
                </c:pt>
                <c:pt idx="8746">
                  <c:v>6.1664254854314057E-3</c:v>
                </c:pt>
                <c:pt idx="8747">
                  <c:v>6.1852646284320609E-3</c:v>
                </c:pt>
                <c:pt idx="8748">
                  <c:v>7.5254544788437155E-3</c:v>
                </c:pt>
                <c:pt idx="8749">
                  <c:v>4.193216503453584E-3</c:v>
                </c:pt>
                <c:pt idx="8750">
                  <c:v>6.3166877289934529E-3</c:v>
                </c:pt>
                <c:pt idx="8751">
                  <c:v>8.5239506499080395E-3</c:v>
                </c:pt>
                <c:pt idx="8752">
                  <c:v>3.8162665775360585E-3</c:v>
                </c:pt>
                <c:pt idx="8753">
                  <c:v>4.5724180198470597E-3</c:v>
                </c:pt>
                <c:pt idx="8754">
                  <c:v>5.9839860576392087E-3</c:v>
                </c:pt>
                <c:pt idx="8755">
                  <c:v>8.5439653096458963E-3</c:v>
                </c:pt>
                <c:pt idx="8756">
                  <c:v>7.5869142046937265E-3</c:v>
                </c:pt>
                <c:pt idx="8757">
                  <c:v>6.1017667566307015E-3</c:v>
                </c:pt>
                <c:pt idx="8758">
                  <c:v>5.9964080744350171E-3</c:v>
                </c:pt>
                <c:pt idx="8759">
                  <c:v>5.298082248556147E-3</c:v>
                </c:pt>
                <c:pt idx="8760">
                  <c:v>4.6613663427146684E-3</c:v>
                </c:pt>
                <c:pt idx="8761">
                  <c:v>3.4833664373205E-3</c:v>
                </c:pt>
                <c:pt idx="8762">
                  <c:v>6.8603651624932378E-3</c:v>
                </c:pt>
                <c:pt idx="8763">
                  <c:v>4.7915332206545664E-3</c:v>
                </c:pt>
                <c:pt idx="8764">
                  <c:v>6.1719916809204788E-3</c:v>
                </c:pt>
                <c:pt idx="8765">
                  <c:v>3.9621798454843871E-3</c:v>
                </c:pt>
                <c:pt idx="8766">
                  <c:v>5.7856139998208019E-3</c:v>
                </c:pt>
                <c:pt idx="8767">
                  <c:v>5.7470430359271565E-3</c:v>
                </c:pt>
                <c:pt idx="8768">
                  <c:v>3.8515657275088847E-3</c:v>
                </c:pt>
                <c:pt idx="8769">
                  <c:v>3.3778014716902222E-3</c:v>
                </c:pt>
                <c:pt idx="8770">
                  <c:v>4.9289608455329332E-3</c:v>
                </c:pt>
                <c:pt idx="8771">
                  <c:v>3.5867521421043187E-3</c:v>
                </c:pt>
                <c:pt idx="8772">
                  <c:v>3.3773705416942023E-3</c:v>
                </c:pt>
                <c:pt idx="8773">
                  <c:v>7.9456824499128387E-3</c:v>
                </c:pt>
                <c:pt idx="8774">
                  <c:v>4.3089037620570505E-3</c:v>
                </c:pt>
                <c:pt idx="8775">
                  <c:v>4.9272432685933025E-3</c:v>
                </c:pt>
                <c:pt idx="8776">
                  <c:v>1.2487962137114193E-2</c:v>
                </c:pt>
                <c:pt idx="8777">
                  <c:v>1.1778026492189116E-2</c:v>
                </c:pt>
                <c:pt idx="8778">
                  <c:v>1.4869849894278137E-2</c:v>
                </c:pt>
                <c:pt idx="8779">
                  <c:v>1.0899242577015977E-2</c:v>
                </c:pt>
                <c:pt idx="8780">
                  <c:v>6.1904024346951395E-3</c:v>
                </c:pt>
                <c:pt idx="8781">
                  <c:v>5.1109854900385134E-3</c:v>
                </c:pt>
                <c:pt idx="8782">
                  <c:v>6.0131129851123833E-3</c:v>
                </c:pt>
                <c:pt idx="8783">
                  <c:v>3.854148479497417E-3</c:v>
                </c:pt>
                <c:pt idx="8784">
                  <c:v>1.0153187808584962E-2</c:v>
                </c:pt>
                <c:pt idx="8785">
                  <c:v>4.1699893243827297E-3</c:v>
                </c:pt>
                <c:pt idx="8786">
                  <c:v>5.2011109630414436E-3</c:v>
                </c:pt>
                <c:pt idx="8787">
                  <c:v>4.3493225281863558E-3</c:v>
                </c:pt>
                <c:pt idx="8788">
                  <c:v>4.5367476328834616E-3</c:v>
                </c:pt>
                <c:pt idx="8789">
                  <c:v>4.8546694359228246E-3</c:v>
                </c:pt>
                <c:pt idx="8790">
                  <c:v>7.1159277888043198E-3</c:v>
                </c:pt>
                <c:pt idx="8791">
                  <c:v>4.993365077714221E-3</c:v>
                </c:pt>
                <c:pt idx="8792">
                  <c:v>5.5871512904780976E-3</c:v>
                </c:pt>
                <c:pt idx="8793">
                  <c:v>4.9645990342799626E-3</c:v>
                </c:pt>
                <c:pt idx="8794">
                  <c:v>2.9104221857623458E-3</c:v>
                </c:pt>
                <c:pt idx="8795">
                  <c:v>4.1334255071455708E-3</c:v>
                </c:pt>
                <c:pt idx="8796">
                  <c:v>4.5401858700571994E-3</c:v>
                </c:pt>
                <c:pt idx="8797">
                  <c:v>3.1911687802094399E-3</c:v>
                </c:pt>
                <c:pt idx="8798">
                  <c:v>3.2385888422056522E-3</c:v>
                </c:pt>
                <c:pt idx="8799">
                  <c:v>3.191599895004235E-3</c:v>
                </c:pt>
                <c:pt idx="8800">
                  <c:v>4.5204156345754649E-3</c:v>
                </c:pt>
                <c:pt idx="8801">
                  <c:v>5.6180196977878181E-3</c:v>
                </c:pt>
                <c:pt idx="8802">
                  <c:v>8.7827925102815785E-3</c:v>
                </c:pt>
                <c:pt idx="8803">
                  <c:v>2.3760280256746695E-3</c:v>
                </c:pt>
                <c:pt idx="8804">
                  <c:v>2.7197042603451828E-3</c:v>
                </c:pt>
                <c:pt idx="8805">
                  <c:v>3.6569542353785283E-3</c:v>
                </c:pt>
                <c:pt idx="8806">
                  <c:v>4.7447120048927016E-3</c:v>
                </c:pt>
                <c:pt idx="8807">
                  <c:v>2.2308769915960003E-3</c:v>
                </c:pt>
                <c:pt idx="8808">
                  <c:v>3.448468206343115E-3</c:v>
                </c:pt>
                <c:pt idx="8809">
                  <c:v>1.9434558021691512E-3</c:v>
                </c:pt>
                <c:pt idx="8810">
                  <c:v>1.2883759695175355E-3</c:v>
                </c:pt>
                <c:pt idx="8811">
                  <c:v>9.5266503847314806E-4</c:v>
                </c:pt>
                <c:pt idx="8812">
                  <c:v>5.4237694349434642E-3</c:v>
                </c:pt>
                <c:pt idx="8813">
                  <c:v>2.0683885322308982E-3</c:v>
                </c:pt>
                <c:pt idx="8814">
                  <c:v>1.7497173904223546E-3</c:v>
                </c:pt>
                <c:pt idx="8815">
                  <c:v>9.2493020979113371E-4</c:v>
                </c:pt>
                <c:pt idx="8816">
                  <c:v>3.2860037270309034E-3</c:v>
                </c:pt>
                <c:pt idx="8817">
                  <c:v>1.277117615199456E-3</c:v>
                </c:pt>
                <c:pt idx="8818">
                  <c:v>1.6337789762116473E-3</c:v>
                </c:pt>
                <c:pt idx="8819">
                  <c:v>1.9815014080519773E-3</c:v>
                </c:pt>
                <c:pt idx="8820">
                  <c:v>4.5956236865460709E-3</c:v>
                </c:pt>
                <c:pt idx="8821">
                  <c:v>3.3514599031576176E-4</c:v>
                </c:pt>
                <c:pt idx="8822">
                  <c:v>2.5599890836621817E-3</c:v>
                </c:pt>
                <c:pt idx="8823">
                  <c:v>8.5125096909620022E-4</c:v>
                </c:pt>
                <c:pt idx="8824">
                  <c:v>5.331974184293287E-3</c:v>
                </c:pt>
                <c:pt idx="8825">
                  <c:v>2.2784020168963664E-3</c:v>
                </c:pt>
                <c:pt idx="8826">
                  <c:v>4.032751563992131E-3</c:v>
                </c:pt>
                <c:pt idx="8827">
                  <c:v>5.8763698797247661E-4</c:v>
                </c:pt>
                <c:pt idx="8828">
                  <c:v>5.0775055502429219E-3</c:v>
                </c:pt>
                <c:pt idx="8829">
                  <c:v>1.8431377713960377E-3</c:v>
                </c:pt>
                <c:pt idx="8830">
                  <c:v>1.7224659935236866E-3</c:v>
                </c:pt>
                <c:pt idx="8831">
                  <c:v>6.670091319158333E-3</c:v>
                </c:pt>
                <c:pt idx="8832">
                  <c:v>6.7239750704532475E-3</c:v>
                </c:pt>
                <c:pt idx="8833">
                  <c:v>3.6302529359398135E-3</c:v>
                </c:pt>
                <c:pt idx="8834">
                  <c:v>9.010003412083965E-3</c:v>
                </c:pt>
                <c:pt idx="8835">
                  <c:v>4.9572998843710947E-3</c:v>
                </c:pt>
                <c:pt idx="8836">
                  <c:v>2.4554949440968514E-3</c:v>
                </c:pt>
                <c:pt idx="8837">
                  <c:v>3.2679004728355587E-3</c:v>
                </c:pt>
                <c:pt idx="8838">
                  <c:v>3.5320469392960963E-3</c:v>
                </c:pt>
                <c:pt idx="8839">
                  <c:v>8.4881774711108842E-3</c:v>
                </c:pt>
                <c:pt idx="8840">
                  <c:v>4.670389067869229E-3</c:v>
                </c:pt>
                <c:pt idx="8841">
                  <c:v>8.0382059599520533E-3</c:v>
                </c:pt>
                <c:pt idx="8842">
                  <c:v>3.7736454877872775E-3</c:v>
                </c:pt>
                <c:pt idx="8843">
                  <c:v>5.4833830604442092E-3</c:v>
                </c:pt>
                <c:pt idx="8844">
                  <c:v>1.491391367206104E-2</c:v>
                </c:pt>
                <c:pt idx="8845">
                  <c:v>3.6207778866755597E-3</c:v>
                </c:pt>
                <c:pt idx="8846">
                  <c:v>6.3706153428729814E-3</c:v>
                </c:pt>
                <c:pt idx="8847">
                  <c:v>6.3680475130986616E-3</c:v>
                </c:pt>
                <c:pt idx="8848">
                  <c:v>2.0809230506653714E-3</c:v>
                </c:pt>
                <c:pt idx="8849">
                  <c:v>2.6286306405405202E-3</c:v>
                </c:pt>
                <c:pt idx="8850">
                  <c:v>3.3226389564498353E-3</c:v>
                </c:pt>
                <c:pt idx="8851">
                  <c:v>3.5212773867943073E-3</c:v>
                </c:pt>
                <c:pt idx="8852">
                  <c:v>1.5394480300475533E-3</c:v>
                </c:pt>
                <c:pt idx="8853">
                  <c:v>1.5182423821473046E-3</c:v>
                </c:pt>
                <c:pt idx="8854">
                  <c:v>1.1602581045590482E-2</c:v>
                </c:pt>
                <c:pt idx="8855">
                  <c:v>3.02170752428165E-3</c:v>
                </c:pt>
                <c:pt idx="8856">
                  <c:v>1.9041096813920855E-3</c:v>
                </c:pt>
                <c:pt idx="8857">
                  <c:v>1.7531777629123705E-3</c:v>
                </c:pt>
                <c:pt idx="8858">
                  <c:v>2.3164182929997458E-3</c:v>
                </c:pt>
                <c:pt idx="8859">
                  <c:v>6.6816384001128848E-3</c:v>
                </c:pt>
                <c:pt idx="8860">
                  <c:v>3.0730272001903551E-3</c:v>
                </c:pt>
                <c:pt idx="8861">
                  <c:v>5.1303293484077084E-4</c:v>
                </c:pt>
                <c:pt idx="8862">
                  <c:v>1.3256130623862036E-3</c:v>
                </c:pt>
                <c:pt idx="8863">
                  <c:v>2.1574189942529689E-3</c:v>
                </c:pt>
                <c:pt idx="8864">
                  <c:v>2.3194421720841994E-3</c:v>
                </c:pt>
                <c:pt idx="8865">
                  <c:v>1.4850332019040197E-4</c:v>
                </c:pt>
                <c:pt idx="8866">
                  <c:v>7.6542056344523215E-4</c:v>
                </c:pt>
                <c:pt idx="8867">
                  <c:v>1.0012310954868861E-2</c:v>
                </c:pt>
                <c:pt idx="8868">
                  <c:v>2.0783297317049755E-3</c:v>
                </c:pt>
                <c:pt idx="8869">
                  <c:v>5.2214225609549839E-4</c:v>
                </c:pt>
                <c:pt idx="8870">
                  <c:v>5.1780450789874104E-4</c:v>
                </c:pt>
                <c:pt idx="8871">
                  <c:v>4.231065541163679E-3</c:v>
                </c:pt>
                <c:pt idx="8872">
                  <c:v>5.8156504413400399E-4</c:v>
                </c:pt>
                <c:pt idx="8873">
                  <c:v>5.9457624841036702E-4</c:v>
                </c:pt>
                <c:pt idx="8874">
                  <c:v>1.1125391238448949E-3</c:v>
                </c:pt>
                <c:pt idx="8875">
                  <c:v>1.1173041147367838E-3</c:v>
                </c:pt>
                <c:pt idx="8876">
                  <c:v>1.3667433492223484E-3</c:v>
                </c:pt>
                <c:pt idx="8877">
                  <c:v>1.0046630688073173E-3</c:v>
                </c:pt>
                <c:pt idx="8878">
                  <c:v>7.3463886138912964E-4</c:v>
                </c:pt>
                <c:pt idx="8879">
                  <c:v>5.3529944357483018E-3</c:v>
                </c:pt>
                <c:pt idx="8880">
                  <c:v>4.9047569794260463E-4</c:v>
                </c:pt>
                <c:pt idx="8881">
                  <c:v>1.1277002770349424E-3</c:v>
                </c:pt>
                <c:pt idx="8882">
                  <c:v>4.5969128538957543E-3</c:v>
                </c:pt>
                <c:pt idx="8883">
                  <c:v>3.5100767688866115E-3</c:v>
                </c:pt>
                <c:pt idx="8884">
                  <c:v>3.4794889945811681E-3</c:v>
                </c:pt>
                <c:pt idx="8885">
                  <c:v>2.6985561649347637E-3</c:v>
                </c:pt>
                <c:pt idx="8886">
                  <c:v>1.7194657165907958E-4</c:v>
                </c:pt>
                <c:pt idx="8887">
                  <c:v>2.9686564429494437E-3</c:v>
                </c:pt>
                <c:pt idx="8888">
                  <c:v>9.2536358011079459E-4</c:v>
                </c:pt>
                <c:pt idx="8889">
                  <c:v>1.6890770304163756E-4</c:v>
                </c:pt>
                <c:pt idx="8890">
                  <c:v>2.0199759607197054E-3</c:v>
                </c:pt>
                <c:pt idx="8891">
                  <c:v>6.9258146000815695E-4</c:v>
                </c:pt>
                <c:pt idx="8892">
                  <c:v>3.8330555554284044E-3</c:v>
                </c:pt>
                <c:pt idx="8893">
                  <c:v>1.4827530631445261E-3</c:v>
                </c:pt>
                <c:pt idx="8894">
                  <c:v>6.4125544134718462E-3</c:v>
                </c:pt>
                <c:pt idx="8895">
                  <c:v>1.9944707392186393E-3</c:v>
                </c:pt>
                <c:pt idx="8896">
                  <c:v>6.604936931612509E-4</c:v>
                </c:pt>
                <c:pt idx="8897">
                  <c:v>1.2375629290828279E-4</c:v>
                </c:pt>
                <c:pt idx="8898">
                  <c:v>4.7245214826490889E-3</c:v>
                </c:pt>
                <c:pt idx="8899">
                  <c:v>2.9652188044082729E-4</c:v>
                </c:pt>
                <c:pt idx="8900">
                  <c:v>2.0809230506653714E-3</c:v>
                </c:pt>
                <c:pt idx="8901">
                  <c:v>5.7722788941655119E-4</c:v>
                </c:pt>
                <c:pt idx="8902">
                  <c:v>5.4876714949719275E-3</c:v>
                </c:pt>
                <c:pt idx="8903">
                  <c:v>2.8219774534594152E-3</c:v>
                </c:pt>
                <c:pt idx="8904">
                  <c:v>5.8763698797247661E-4</c:v>
                </c:pt>
                <c:pt idx="8905">
                  <c:v>4.922109116083039E-4</c:v>
                </c:pt>
                <c:pt idx="8906">
                  <c:v>2.0294859989134651E-3</c:v>
                </c:pt>
                <c:pt idx="8907">
                  <c:v>2.1665889457010804E-4</c:v>
                </c:pt>
                <c:pt idx="8908">
                  <c:v>7.1512820225634252E-4</c:v>
                </c:pt>
                <c:pt idx="8909">
                  <c:v>2.8849692062937584E-3</c:v>
                </c:pt>
                <c:pt idx="8910">
                  <c:v>2.8957785594675375E-4</c:v>
                </c:pt>
                <c:pt idx="8911">
                  <c:v>1.3585176034719645E-3</c:v>
                </c:pt>
                <c:pt idx="8912">
                  <c:v>3.398485608664755E-3</c:v>
                </c:pt>
                <c:pt idx="8913">
                  <c:v>2.1768649674609392E-3</c:v>
                </c:pt>
                <c:pt idx="8914">
                  <c:v>3.6380050952198807E-3</c:v>
                </c:pt>
                <c:pt idx="8915">
                  <c:v>1.0159284881757612E-3</c:v>
                </c:pt>
                <c:pt idx="8916">
                  <c:v>2.0960504359726516E-3</c:v>
                </c:pt>
                <c:pt idx="8917">
                  <c:v>1.9936061291902546E-3</c:v>
                </c:pt>
                <c:pt idx="8918">
                  <c:v>2.6351056991256228E-3</c:v>
                </c:pt>
                <c:pt idx="8919">
                  <c:v>1.3797310516268908E-3</c:v>
                </c:pt>
                <c:pt idx="8920">
                  <c:v>1.4749623366381393E-3</c:v>
                </c:pt>
                <c:pt idx="8921">
                  <c:v>1.3771335422178962E-3</c:v>
                </c:pt>
                <c:pt idx="8922">
                  <c:v>2.8707321435016628E-3</c:v>
                </c:pt>
                <c:pt idx="8923">
                  <c:v>2.8737521655189413E-3</c:v>
                </c:pt>
                <c:pt idx="8924">
                  <c:v>1.6783410584518112E-3</c:v>
                </c:pt>
                <c:pt idx="8925">
                  <c:v>2.2667372650050717E-3</c:v>
                </c:pt>
                <c:pt idx="8926">
                  <c:v>1.5762308818533851E-3</c:v>
                </c:pt>
                <c:pt idx="8927">
                  <c:v>2.8142107142572191E-3</c:v>
                </c:pt>
                <c:pt idx="8928">
                  <c:v>1.4260506940316229E-3</c:v>
                </c:pt>
                <c:pt idx="8929">
                  <c:v>3.016963382485912E-3</c:v>
                </c:pt>
                <c:pt idx="8930">
                  <c:v>4.2499888231277844E-3</c:v>
                </c:pt>
                <c:pt idx="8931">
                  <c:v>2.043318410003435E-3</c:v>
                </c:pt>
                <c:pt idx="8932">
                  <c:v>5.842607042267231E-3</c:v>
                </c:pt>
                <c:pt idx="8933">
                  <c:v>1.7311174158953669E-3</c:v>
                </c:pt>
                <c:pt idx="8934">
                  <c:v>1.9685316895707598E-3</c:v>
                </c:pt>
                <c:pt idx="8935">
                  <c:v>1.4899226242876387E-2</c:v>
                </c:pt>
                <c:pt idx="8936">
                  <c:v>9.2825847002753828E-3</c:v>
                </c:pt>
                <c:pt idx="8937">
                  <c:v>2.8560273198871743E-2</c:v>
                </c:pt>
                <c:pt idx="8938">
                  <c:v>2.9947183138366654E-2</c:v>
                </c:pt>
                <c:pt idx="8939">
                  <c:v>1.1053803837285285E-2</c:v>
                </c:pt>
                <c:pt idx="8940">
                  <c:v>1.1454598119342351E-3</c:v>
                </c:pt>
                <c:pt idx="8941">
                  <c:v>8.6321040057394261E-3</c:v>
                </c:pt>
                <c:pt idx="8942">
                  <c:v>4.3402931301486083E-3</c:v>
                </c:pt>
                <c:pt idx="8943">
                  <c:v>1.4840515039749248E-3</c:v>
                </c:pt>
                <c:pt idx="8944">
                  <c:v>4.7829425500096855E-3</c:v>
                </c:pt>
                <c:pt idx="8945">
                  <c:v>1.7021344725441751E-3</c:v>
                </c:pt>
                <c:pt idx="8946">
                  <c:v>1.0856005103481612E-4</c:v>
                </c:pt>
                <c:pt idx="8947">
                  <c:v>1.4827530631445261E-3</c:v>
                </c:pt>
                <c:pt idx="8948">
                  <c:v>3.3868509028331505E-3</c:v>
                </c:pt>
                <c:pt idx="8949">
                  <c:v>1.0986770348875494E-3</c:v>
                </c:pt>
                <c:pt idx="8950">
                  <c:v>2.9673624331757668E-3</c:v>
                </c:pt>
                <c:pt idx="8951">
                  <c:v>2.9703817833168483E-3</c:v>
                </c:pt>
                <c:pt idx="8952">
                  <c:v>2.086974068018724E-3</c:v>
                </c:pt>
                <c:pt idx="8953">
                  <c:v>1.3996447743167156E-3</c:v>
                </c:pt>
                <c:pt idx="8954">
                  <c:v>5.5129723967676427E-3</c:v>
                </c:pt>
                <c:pt idx="8955">
                  <c:v>2.4321746385526275E-3</c:v>
                </c:pt>
                <c:pt idx="8956">
                  <c:v>4.5053724611750822E-3</c:v>
                </c:pt>
                <c:pt idx="8957">
                  <c:v>1.5284475853029873E-4</c:v>
                </c:pt>
                <c:pt idx="8958">
                  <c:v>4.5371774140187376E-3</c:v>
                </c:pt>
                <c:pt idx="8959">
                  <c:v>4.9250962878665053E-3</c:v>
                </c:pt>
                <c:pt idx="8960">
                  <c:v>3.5690921605412342E-3</c:v>
                </c:pt>
                <c:pt idx="8961">
                  <c:v>1.9365215770698549E-4</c:v>
                </c:pt>
                <c:pt idx="8962">
                  <c:v>3.1062308180831977E-3</c:v>
                </c:pt>
                <c:pt idx="8963">
                  <c:v>3.1601273902599979E-3</c:v>
                </c:pt>
                <c:pt idx="8964">
                  <c:v>1.4057052912910299E-3</c:v>
                </c:pt>
                <c:pt idx="8965">
                  <c:v>1.2710553035244312E-3</c:v>
                </c:pt>
                <c:pt idx="8966">
                  <c:v>1.1545558778358199E-3</c:v>
                </c:pt>
                <c:pt idx="8967">
                  <c:v>3.9660529811044419E-3</c:v>
                </c:pt>
                <c:pt idx="8968">
                  <c:v>3.8504846168962011E-4</c:v>
                </c:pt>
                <c:pt idx="8969">
                  <c:v>2.7684704324698155E-3</c:v>
                </c:pt>
                <c:pt idx="8970">
                  <c:v>3.1911687802094399E-3</c:v>
                </c:pt>
                <c:pt idx="8971">
                  <c:v>4.0559860838526845E-3</c:v>
                </c:pt>
                <c:pt idx="8972">
                  <c:v>2.566465165723134E-3</c:v>
                </c:pt>
                <c:pt idx="8973">
                  <c:v>4.2005285064410751E-3</c:v>
                </c:pt>
                <c:pt idx="8974">
                  <c:v>4.6338673574460509E-3</c:v>
                </c:pt>
                <c:pt idx="8975">
                  <c:v>2.5530811563544012E-3</c:v>
                </c:pt>
                <c:pt idx="8976">
                  <c:v>4.3828586488286825E-3</c:v>
                </c:pt>
                <c:pt idx="8977">
                  <c:v>1.8889756087926617E-3</c:v>
                </c:pt>
                <c:pt idx="8978">
                  <c:v>5.7208985458682433E-3</c:v>
                </c:pt>
                <c:pt idx="8979">
                  <c:v>5.1606939648886135E-4</c:v>
                </c:pt>
                <c:pt idx="8980">
                  <c:v>6.0529451793092286E-3</c:v>
                </c:pt>
                <c:pt idx="8981">
                  <c:v>2.667047908651981E-3</c:v>
                </c:pt>
                <c:pt idx="8982">
                  <c:v>6.2409209590884064E-3</c:v>
                </c:pt>
                <c:pt idx="8983">
                  <c:v>3.8938753605428748E-4</c:v>
                </c:pt>
                <c:pt idx="8984">
                  <c:v>4.0224247117086765E-3</c:v>
                </c:pt>
                <c:pt idx="8985">
                  <c:v>3.0704397986749061E-3</c:v>
                </c:pt>
                <c:pt idx="8986">
                  <c:v>8.8683296663801502E-3</c:v>
                </c:pt>
                <c:pt idx="8987">
                  <c:v>2.8703007100705931E-3</c:v>
                </c:pt>
                <c:pt idx="8988">
                  <c:v>4.0211338379073872E-3</c:v>
                </c:pt>
                <c:pt idx="8989">
                  <c:v>5.5494202572987771E-3</c:v>
                </c:pt>
                <c:pt idx="8990">
                  <c:v>5.3971765455188732E-3</c:v>
                </c:pt>
                <c:pt idx="8991">
                  <c:v>1.0527557046618994E-3</c:v>
                </c:pt>
                <c:pt idx="8992">
                  <c:v>6.3855940472984825E-3</c:v>
                </c:pt>
                <c:pt idx="8993">
                  <c:v>4.4314384357977427E-3</c:v>
                </c:pt>
                <c:pt idx="8994">
                  <c:v>0</c:v>
                </c:pt>
                <c:pt idx="8995">
                  <c:v>2.2006310856593448E-3</c:v>
                </c:pt>
                <c:pt idx="8996">
                  <c:v>9.0227645435265839E-3</c:v>
                </c:pt>
                <c:pt idx="8997">
                  <c:v>2.8349217101442869E-3</c:v>
                </c:pt>
                <c:pt idx="8998">
                  <c:v>9.2276335170589125E-4</c:v>
                </c:pt>
                <c:pt idx="8999">
                  <c:v>1.6272889711371188E-3</c:v>
                </c:pt>
                <c:pt idx="9000">
                  <c:v>3.7491041749221736E-3</c:v>
                </c:pt>
                <c:pt idx="9001">
                  <c:v>1.2212545405432184E-3</c:v>
                </c:pt>
                <c:pt idx="9002">
                  <c:v>1.0445240096282381E-3</c:v>
                </c:pt>
                <c:pt idx="9003">
                  <c:v>1.9330791493709332E-3</c:v>
                </c:pt>
                <c:pt idx="9004">
                  <c:v>2.9656370808132902E-3</c:v>
                </c:pt>
                <c:pt idx="9005">
                  <c:v>8.3292919195303572E-3</c:v>
                </c:pt>
                <c:pt idx="9006">
                  <c:v>5.4122783347000398E-4</c:v>
                </c:pt>
                <c:pt idx="9007">
                  <c:v>4.4348775067846648E-3</c:v>
                </c:pt>
                <c:pt idx="9008">
                  <c:v>2.5353790910784498E-3</c:v>
                </c:pt>
                <c:pt idx="9009">
                  <c:v>1.4797233527767198E-3</c:v>
                </c:pt>
                <c:pt idx="9010">
                  <c:v>1.6104145040380894E-3</c:v>
                </c:pt>
                <c:pt idx="9011">
                  <c:v>4.0899750865625905E-3</c:v>
                </c:pt>
                <c:pt idx="9012">
                  <c:v>3.02170752428165E-3</c:v>
                </c:pt>
                <c:pt idx="9013">
                  <c:v>4.8177337166411356E-3</c:v>
                </c:pt>
                <c:pt idx="9014">
                  <c:v>4.3506124268669873E-3</c:v>
                </c:pt>
                <c:pt idx="9015">
                  <c:v>4.8765716927282963E-3</c:v>
                </c:pt>
                <c:pt idx="9016">
                  <c:v>8.068048049155712E-3</c:v>
                </c:pt>
                <c:pt idx="9017">
                  <c:v>1.5866160642740994E-3</c:v>
                </c:pt>
                <c:pt idx="9018">
                  <c:v>2.7110725090509886E-3</c:v>
                </c:pt>
                <c:pt idx="9019">
                  <c:v>3.5182618642358491E-3</c:v>
                </c:pt>
                <c:pt idx="9020">
                  <c:v>4.3428729773155282E-3</c:v>
                </c:pt>
                <c:pt idx="9021">
                  <c:v>2.6273356172387503E-3</c:v>
                </c:pt>
                <c:pt idx="9022">
                  <c:v>3.2265187722045922E-3</c:v>
                </c:pt>
                <c:pt idx="9023">
                  <c:v>4.7846606977330697E-3</c:v>
                </c:pt>
                <c:pt idx="9024">
                  <c:v>4.1424592071390024E-3</c:v>
                </c:pt>
                <c:pt idx="9025">
                  <c:v>2.8953231406403089E-3</c:v>
                </c:pt>
                <c:pt idx="9026">
                  <c:v>4.4512127220800437E-3</c:v>
                </c:pt>
                <c:pt idx="9027">
                  <c:v>2.5854611160215694E-3</c:v>
                </c:pt>
                <c:pt idx="9028">
                  <c:v>4.5513599528877033E-3</c:v>
                </c:pt>
                <c:pt idx="9029">
                  <c:v>5.5365566558018692E-3</c:v>
                </c:pt>
                <c:pt idx="9030">
                  <c:v>5.8160397876919068E-3</c:v>
                </c:pt>
                <c:pt idx="9031">
                  <c:v>1.8638951273200958E-3</c:v>
                </c:pt>
                <c:pt idx="9032">
                  <c:v>2.4023746479371237E-3</c:v>
                </c:pt>
                <c:pt idx="9033">
                  <c:v>1.9637760290792637E-3</c:v>
                </c:pt>
                <c:pt idx="9034">
                  <c:v>4.4709861080409934E-3</c:v>
                </c:pt>
                <c:pt idx="9035">
                  <c:v>2.1639010820687001E-3</c:v>
                </c:pt>
                <c:pt idx="9036">
                  <c:v>3.1885820824538885E-3</c:v>
                </c:pt>
                <c:pt idx="9037">
                  <c:v>8.0790439951087373E-4</c:v>
                </c:pt>
                <c:pt idx="9038">
                  <c:v>4.5706990322462821E-3</c:v>
                </c:pt>
                <c:pt idx="9039">
                  <c:v>5.8263240790307558E-3</c:v>
                </c:pt>
                <c:pt idx="9040">
                  <c:v>4.5143984277432811E-3</c:v>
                </c:pt>
                <c:pt idx="9041">
                  <c:v>2.4472897941914869E-3</c:v>
                </c:pt>
                <c:pt idx="9042">
                  <c:v>3.1834086407224989E-3</c:v>
                </c:pt>
                <c:pt idx="9043">
                  <c:v>2.640285676486399E-3</c:v>
                </c:pt>
                <c:pt idx="9044">
                  <c:v>2.1984705832010418E-3</c:v>
                </c:pt>
                <c:pt idx="9045">
                  <c:v>6.4823012456783876E-3</c:v>
                </c:pt>
                <c:pt idx="9046">
                  <c:v>1.918378466818039E-3</c:v>
                </c:pt>
                <c:pt idx="9047">
                  <c:v>1.0683521726479346E-3</c:v>
                </c:pt>
                <c:pt idx="9048">
                  <c:v>3.3670280935116999E-3</c:v>
                </c:pt>
                <c:pt idx="9049">
                  <c:v>3.8700751106963849E-3</c:v>
                </c:pt>
                <c:pt idx="9050">
                  <c:v>3.6526476852148651E-3</c:v>
                </c:pt>
                <c:pt idx="9051">
                  <c:v>1.1645180171406474E-3</c:v>
                </c:pt>
                <c:pt idx="9052">
                  <c:v>3.2653142320619934E-3</c:v>
                </c:pt>
                <c:pt idx="9053">
                  <c:v>5.1268660974489906E-3</c:v>
                </c:pt>
                <c:pt idx="9054">
                  <c:v>4.0392057219748373E-3</c:v>
                </c:pt>
                <c:pt idx="9055">
                  <c:v>4.9298196314554593E-3</c:v>
                </c:pt>
                <c:pt idx="9056">
                  <c:v>5.5854363146278863E-3</c:v>
                </c:pt>
                <c:pt idx="9057">
                  <c:v>5.6548874201961209E-3</c:v>
                </c:pt>
                <c:pt idx="9058">
                  <c:v>5.933437635173208E-3</c:v>
                </c:pt>
                <c:pt idx="9059">
                  <c:v>3.788283505347875E-3</c:v>
                </c:pt>
                <c:pt idx="9060">
                  <c:v>4.9087788874730316E-3</c:v>
                </c:pt>
                <c:pt idx="9061">
                  <c:v>6.1381652385578654E-3</c:v>
                </c:pt>
                <c:pt idx="9062">
                  <c:v>4.4103735317461302E-3</c:v>
                </c:pt>
                <c:pt idx="9063">
                  <c:v>4.6935895004092797E-3</c:v>
                </c:pt>
                <c:pt idx="9064">
                  <c:v>6.5118226042639163E-3</c:v>
                </c:pt>
                <c:pt idx="9065">
                  <c:v>4.4327280906092141E-3</c:v>
                </c:pt>
                <c:pt idx="9066">
                  <c:v>3.7150884832611833E-3</c:v>
                </c:pt>
                <c:pt idx="9067">
                  <c:v>2.2248279789214599E-3</c:v>
                </c:pt>
                <c:pt idx="9068">
                  <c:v>4.670389067869229E-3</c:v>
                </c:pt>
                <c:pt idx="9069">
                  <c:v>3.5169694910153647E-3</c:v>
                </c:pt>
                <c:pt idx="9070">
                  <c:v>2.3051865577771056E-3</c:v>
                </c:pt>
                <c:pt idx="9071">
                  <c:v>1.4567834312746275E-3</c:v>
                </c:pt>
                <c:pt idx="9072">
                  <c:v>5.1796542134422497E-3</c:v>
                </c:pt>
                <c:pt idx="9073">
                  <c:v>1.7042974455512786E-3</c:v>
                </c:pt>
                <c:pt idx="9074">
                  <c:v>9.0629487693641181E-4</c:v>
                </c:pt>
                <c:pt idx="9075">
                  <c:v>1.8855163181481706E-3</c:v>
                </c:pt>
                <c:pt idx="9076">
                  <c:v>3.5010299050740614E-3</c:v>
                </c:pt>
                <c:pt idx="9077">
                  <c:v>2.444266805148732E-3</c:v>
                </c:pt>
                <c:pt idx="9078">
                  <c:v>8.4561615970113306E-4</c:v>
                </c:pt>
                <c:pt idx="9079">
                  <c:v>2.1427259036753475E-3</c:v>
                </c:pt>
                <c:pt idx="9080">
                  <c:v>1.0363993389920924E-2</c:v>
                </c:pt>
                <c:pt idx="9081">
                  <c:v>1.3381648827615285E-2</c:v>
                </c:pt>
                <c:pt idx="9082">
                  <c:v>1.4784227485925059E-2</c:v>
                </c:pt>
                <c:pt idx="9083">
                  <c:v>1.0282991680263575E-2</c:v>
                </c:pt>
                <c:pt idx="9084">
                  <c:v>1.6898854225331217E-2</c:v>
                </c:pt>
                <c:pt idx="9085">
                  <c:v>4.0559860838526845E-3</c:v>
                </c:pt>
                <c:pt idx="9086">
                  <c:v>3.1972043483919385E-3</c:v>
                </c:pt>
                <c:pt idx="9087">
                  <c:v>4.3256737067212669E-3</c:v>
                </c:pt>
                <c:pt idx="9088">
                  <c:v>4.7541625651345166E-3</c:v>
                </c:pt>
                <c:pt idx="9089">
                  <c:v>4.9972290279432161E-3</c:v>
                </c:pt>
                <c:pt idx="9090">
                  <c:v>6.4172616073739615E-3</c:v>
                </c:pt>
                <c:pt idx="9091">
                  <c:v>5.4297740555901766E-3</c:v>
                </c:pt>
                <c:pt idx="9092">
                  <c:v>4.6665222086134167E-3</c:v>
                </c:pt>
                <c:pt idx="9093">
                  <c:v>5.2907887013666985E-3</c:v>
                </c:pt>
                <c:pt idx="9094">
                  <c:v>2.4999727957437713E-3</c:v>
                </c:pt>
                <c:pt idx="9095">
                  <c:v>7.4101940450060511E-3</c:v>
                </c:pt>
                <c:pt idx="9096">
                  <c:v>4.6304298618560155E-3</c:v>
                </c:pt>
                <c:pt idx="9097">
                  <c:v>7.1377163054832347E-3</c:v>
                </c:pt>
                <c:pt idx="9098">
                  <c:v>6.0268190986023616E-3</c:v>
                </c:pt>
                <c:pt idx="9099">
                  <c:v>5.6304521864899097E-3</c:v>
                </c:pt>
                <c:pt idx="9100">
                  <c:v>3.0764770448989485E-3</c:v>
                </c:pt>
                <c:pt idx="9101">
                  <c:v>3.8123921058509061E-3</c:v>
                </c:pt>
                <c:pt idx="9102">
                  <c:v>2.9557161717077714E-3</c:v>
                </c:pt>
                <c:pt idx="9103">
                  <c:v>8.6729738521142529E-3</c:v>
                </c:pt>
                <c:pt idx="9104">
                  <c:v>6.7936719110588926E-3</c:v>
                </c:pt>
                <c:pt idx="9105">
                  <c:v>8.0441745418404452E-3</c:v>
                </c:pt>
                <c:pt idx="9106">
                  <c:v>5.255177270778854E-3</c:v>
                </c:pt>
                <c:pt idx="9107">
                  <c:v>3.384696293473767E-3</c:v>
                </c:pt>
                <c:pt idx="9108">
                  <c:v>4.4232705330567767E-3</c:v>
                </c:pt>
                <c:pt idx="9109">
                  <c:v>3.057502559867612E-3</c:v>
                </c:pt>
                <c:pt idx="9110">
                  <c:v>3.698725555959743E-3</c:v>
                </c:pt>
                <c:pt idx="9111">
                  <c:v>1.9118927133767566E-3</c:v>
                </c:pt>
                <c:pt idx="9112">
                  <c:v>2.874615025095091E-3</c:v>
                </c:pt>
                <c:pt idx="9113">
                  <c:v>4.0129582147293667E-3</c:v>
                </c:pt>
                <c:pt idx="9114">
                  <c:v>8.1047083803569876E-3</c:v>
                </c:pt>
                <c:pt idx="9115">
                  <c:v>5.8923091540978752E-3</c:v>
                </c:pt>
                <c:pt idx="9116">
                  <c:v>9.5881315670358781E-3</c:v>
                </c:pt>
                <c:pt idx="9117">
                  <c:v>5.7093258920154237E-3</c:v>
                </c:pt>
                <c:pt idx="9118">
                  <c:v>1.2519609810554031E-2</c:v>
                </c:pt>
                <c:pt idx="9119">
                  <c:v>7.3538333644609412E-3</c:v>
                </c:pt>
                <c:pt idx="9120">
                  <c:v>1.6183964651510552E-2</c:v>
                </c:pt>
                <c:pt idx="9121">
                  <c:v>7.0321813540391897E-3</c:v>
                </c:pt>
                <c:pt idx="9122">
                  <c:v>1.040258051444168E-2</c:v>
                </c:pt>
                <c:pt idx="9123">
                  <c:v>8.6350842287058732E-3</c:v>
                </c:pt>
                <c:pt idx="9124">
                  <c:v>1.1069468620863126E-2</c:v>
                </c:pt>
                <c:pt idx="9125">
                  <c:v>6.4275316715244222E-3</c:v>
                </c:pt>
                <c:pt idx="9126">
                  <c:v>2.7598396503751782E-3</c:v>
                </c:pt>
                <c:pt idx="9127">
                  <c:v>3.4725956775660963E-3</c:v>
                </c:pt>
                <c:pt idx="9128">
                  <c:v>7.8629488875094598E-3</c:v>
                </c:pt>
                <c:pt idx="9129">
                  <c:v>5.7586146847875093E-3</c:v>
                </c:pt>
                <c:pt idx="9130">
                  <c:v>3.3683209130040618E-3</c:v>
                </c:pt>
                <c:pt idx="9131">
                  <c:v>8.4604938222368597E-3</c:v>
                </c:pt>
                <c:pt idx="9132">
                  <c:v>5.5888662595562017E-3</c:v>
                </c:pt>
                <c:pt idx="9133">
                  <c:v>7.8446089020102194E-3</c:v>
                </c:pt>
                <c:pt idx="9134">
                  <c:v>4.0521137501967541E-3</c:v>
                </c:pt>
                <c:pt idx="9135">
                  <c:v>3.2640211058997505E-3</c:v>
                </c:pt>
                <c:pt idx="9136">
                  <c:v>8.2432223912225436E-3</c:v>
                </c:pt>
                <c:pt idx="9137">
                  <c:v>9.3816241290840038E-3</c:v>
                </c:pt>
                <c:pt idx="9138">
                  <c:v>6.4887191030341554E-3</c:v>
                </c:pt>
                <c:pt idx="9139">
                  <c:v>8.2385349469478175E-3</c:v>
                </c:pt>
                <c:pt idx="9140">
                  <c:v>4.1846139893815639E-3</c:v>
                </c:pt>
                <c:pt idx="9141">
                  <c:v>5.3053756732598205E-3</c:v>
                </c:pt>
                <c:pt idx="9142">
                  <c:v>1.9974968607631188E-3</c:v>
                </c:pt>
                <c:pt idx="9143">
                  <c:v>3.4855205572171112E-3</c:v>
                </c:pt>
                <c:pt idx="9144">
                  <c:v>2.3371530410684575E-3</c:v>
                </c:pt>
                <c:pt idx="9145">
                  <c:v>7.1753096072064903E-3</c:v>
                </c:pt>
                <c:pt idx="9146">
                  <c:v>1.3645786943931979E-3</c:v>
                </c:pt>
                <c:pt idx="9147">
                  <c:v>2.3933046796959703E-3</c:v>
                </c:pt>
                <c:pt idx="9148">
                  <c:v>5.3431279138041994E-3</c:v>
                </c:pt>
                <c:pt idx="9149">
                  <c:v>3.4195996490866466E-3</c:v>
                </c:pt>
                <c:pt idx="9150">
                  <c:v>2.6294939872630531E-3</c:v>
                </c:pt>
                <c:pt idx="9151">
                  <c:v>3.1415877241143548E-3</c:v>
                </c:pt>
                <c:pt idx="9152">
                  <c:v>5.40403938254971E-3</c:v>
                </c:pt>
                <c:pt idx="9153">
                  <c:v>1.3156546177450995E-3</c:v>
                </c:pt>
                <c:pt idx="9154">
                  <c:v>4.2018188471301069E-3</c:v>
                </c:pt>
                <c:pt idx="9155">
                  <c:v>4.4073641763307369E-3</c:v>
                </c:pt>
                <c:pt idx="9156">
                  <c:v>6.6435746379302132E-3</c:v>
                </c:pt>
                <c:pt idx="9157">
                  <c:v>1.0891465920621149E-3</c:v>
                </c:pt>
                <c:pt idx="9158">
                  <c:v>2.4265603038980338E-3</c:v>
                </c:pt>
                <c:pt idx="9159">
                  <c:v>1.7492848419224107E-3</c:v>
                </c:pt>
                <c:pt idx="9160">
                  <c:v>6.4651864957149434E-3</c:v>
                </c:pt>
                <c:pt idx="9161">
                  <c:v>4.6158202020492225E-3</c:v>
                </c:pt>
                <c:pt idx="9162">
                  <c:v>1.936105698714666E-3</c:v>
                </c:pt>
                <c:pt idx="9163">
                  <c:v>5.2877854404510512E-3</c:v>
                </c:pt>
                <c:pt idx="9164">
                  <c:v>3.9591673827880057E-3</c:v>
                </c:pt>
                <c:pt idx="9165">
                  <c:v>1.9693963495197833E-3</c:v>
                </c:pt>
                <c:pt idx="9166">
                  <c:v>4.0598583829818289E-3</c:v>
                </c:pt>
                <c:pt idx="9167">
                  <c:v>5.0830857194468218E-3</c:v>
                </c:pt>
                <c:pt idx="9168">
                  <c:v>2.5565351337430561E-3</c:v>
                </c:pt>
                <c:pt idx="9169">
                  <c:v>3.6118277773422987E-4</c:v>
                </c:pt>
                <c:pt idx="9170">
                  <c:v>4.9001905357452949E-3</c:v>
                </c:pt>
                <c:pt idx="9171">
                  <c:v>8.2538754855142442E-3</c:v>
                </c:pt>
                <c:pt idx="9172">
                  <c:v>3.6255154371474573E-3</c:v>
                </c:pt>
                <c:pt idx="9173">
                  <c:v>1.5615181149706684E-3</c:v>
                </c:pt>
                <c:pt idx="9174">
                  <c:v>1.0908794154047201E-3</c:v>
                </c:pt>
                <c:pt idx="9175">
                  <c:v>6.875326985385369E-3</c:v>
                </c:pt>
                <c:pt idx="9176">
                  <c:v>1.6212315455640151E-3</c:v>
                </c:pt>
                <c:pt idx="9177">
                  <c:v>2.6294939872630531E-3</c:v>
                </c:pt>
                <c:pt idx="9178">
                  <c:v>3.1734927051430429E-3</c:v>
                </c:pt>
                <c:pt idx="9179">
                  <c:v>3.3549615926626625E-3</c:v>
                </c:pt>
                <c:pt idx="9180">
                  <c:v>6.5268820219458248E-4</c:v>
                </c:pt>
                <c:pt idx="9181">
                  <c:v>3.8989137403266983E-3</c:v>
                </c:pt>
                <c:pt idx="9182">
                  <c:v>3.0316269260296839E-3</c:v>
                </c:pt>
                <c:pt idx="9183">
                  <c:v>2.1133382311421594E-3</c:v>
                </c:pt>
                <c:pt idx="9184">
                  <c:v>1.8193520813187497E-3</c:v>
                </c:pt>
                <c:pt idx="9185">
                  <c:v>3.0380959790242711E-3</c:v>
                </c:pt>
                <c:pt idx="9186">
                  <c:v>5.2457376068094797E-3</c:v>
                </c:pt>
                <c:pt idx="9187">
                  <c:v>3.5350623661398704E-3</c:v>
                </c:pt>
                <c:pt idx="9188">
                  <c:v>4.7515851600091101E-3</c:v>
                </c:pt>
                <c:pt idx="9189">
                  <c:v>1.5762308818533851E-3</c:v>
                </c:pt>
                <c:pt idx="9190">
                  <c:v>2.3086425072454848E-3</c:v>
                </c:pt>
                <c:pt idx="9191">
                  <c:v>6.2319952576818057E-4</c:v>
                </c:pt>
                <c:pt idx="9192">
                  <c:v>3.596227933732871E-3</c:v>
                </c:pt>
                <c:pt idx="9193">
                  <c:v>1.0297932185636051E-3</c:v>
                </c:pt>
                <c:pt idx="9194">
                  <c:v>4.1897755182726216E-3</c:v>
                </c:pt>
                <c:pt idx="9195">
                  <c:v>1.3010486286895145E-2</c:v>
                </c:pt>
                <c:pt idx="9196">
                  <c:v>2.3964447966079015E-2</c:v>
                </c:pt>
                <c:pt idx="9197">
                  <c:v>1.549304156156079E-2</c:v>
                </c:pt>
                <c:pt idx="9198">
                  <c:v>1.4659541146552121E-2</c:v>
                </c:pt>
                <c:pt idx="9199">
                  <c:v>7.9883224609732743E-3</c:v>
                </c:pt>
                <c:pt idx="9200">
                  <c:v>1.5316583205241851E-3</c:v>
                </c:pt>
                <c:pt idx="9201">
                  <c:v>2.2270379690923728E-2</c:v>
                </c:pt>
                <c:pt idx="9202">
                  <c:v>6.2363319728092007E-4</c:v>
                </c:pt>
                <c:pt idx="9203">
                  <c:v>2.930697220617875E-3</c:v>
                </c:pt>
                <c:pt idx="9204">
                  <c:v>1.6930498682764675E-3</c:v>
                </c:pt>
                <c:pt idx="9205">
                  <c:v>8.5471850777041466E-4</c:v>
                </c:pt>
                <c:pt idx="9206">
                  <c:v>1.7644237830925337E-3</c:v>
                </c:pt>
                <c:pt idx="9207">
                  <c:v>2.0731430473269726E-3</c:v>
                </c:pt>
                <c:pt idx="9208">
                  <c:v>2.4425393733911393E-3</c:v>
                </c:pt>
                <c:pt idx="9209">
                  <c:v>1.6359422896844197E-3</c:v>
                </c:pt>
                <c:pt idx="9210">
                  <c:v>2.0960504359726516E-3</c:v>
                </c:pt>
                <c:pt idx="9211">
                  <c:v>1.6264236297993278E-3</c:v>
                </c:pt>
                <c:pt idx="9212">
                  <c:v>3.8046430587829823E-3</c:v>
                </c:pt>
                <c:pt idx="9213">
                  <c:v>1.1558553002698668E-3</c:v>
                </c:pt>
                <c:pt idx="9214">
                  <c:v>3.2532449048101441E-3</c:v>
                </c:pt>
                <c:pt idx="9215">
                  <c:v>1.708623359248055E-3</c:v>
                </c:pt>
                <c:pt idx="9216">
                  <c:v>4.9860664112619107E-3</c:v>
                </c:pt>
                <c:pt idx="9217">
                  <c:v>2.0273246448829206E-3</c:v>
                </c:pt>
                <c:pt idx="9218">
                  <c:v>1.568009102978072E-3</c:v>
                </c:pt>
                <c:pt idx="9219">
                  <c:v>1.9028124958339497E-3</c:v>
                </c:pt>
                <c:pt idx="9220">
                  <c:v>2.4883139936026115E-3</c:v>
                </c:pt>
                <c:pt idx="9221">
                  <c:v>6.3881142741335664E-4</c:v>
                </c:pt>
                <c:pt idx="9222">
                  <c:v>2.1721115877494247E-3</c:v>
                </c:pt>
                <c:pt idx="9223">
                  <c:v>2.5306296337282439E-3</c:v>
                </c:pt>
                <c:pt idx="9224">
                  <c:v>6.4690373732616711E-3</c:v>
                </c:pt>
                <c:pt idx="9225">
                  <c:v>4.0245761595177291E-3</c:v>
                </c:pt>
                <c:pt idx="9226">
                  <c:v>1.1688493107797587E-3</c:v>
                </c:pt>
                <c:pt idx="9227">
                  <c:v>3.5126615525046066E-3</c:v>
                </c:pt>
                <c:pt idx="9228">
                  <c:v>1.4450965902759346E-3</c:v>
                </c:pt>
                <c:pt idx="9229">
                  <c:v>1.7570706490072524E-3</c:v>
                </c:pt>
                <c:pt idx="9230">
                  <c:v>1.666227546885295E-3</c:v>
                </c:pt>
                <c:pt idx="9231">
                  <c:v>4.1231010484840671E-3</c:v>
                </c:pt>
                <c:pt idx="9232">
                  <c:v>1.1294329465565125E-3</c:v>
                </c:pt>
                <c:pt idx="9233">
                  <c:v>2.2464312087518944E-3</c:v>
                </c:pt>
                <c:pt idx="9234">
                  <c:v>1.5874814849328994E-3</c:v>
                </c:pt>
                <c:pt idx="9235">
                  <c:v>2.4818367460589289E-3</c:v>
                </c:pt>
                <c:pt idx="9236">
                  <c:v>2.0472086962444536E-3</c:v>
                </c:pt>
                <c:pt idx="9237">
                  <c:v>3.9978974533458264E-3</c:v>
                </c:pt>
                <c:pt idx="9238">
                  <c:v>3.8898749729039403E-3</c:v>
                </c:pt>
                <c:pt idx="9239">
                  <c:v>3.2446237514125991E-3</c:v>
                </c:pt>
                <c:pt idx="9240">
                  <c:v>1.4585147883796094E-3</c:v>
                </c:pt>
                <c:pt idx="9241">
                  <c:v>2.4960865631394264E-3</c:v>
                </c:pt>
                <c:pt idx="9242">
                  <c:v>4.1949369858202664E-3</c:v>
                </c:pt>
                <c:pt idx="9243">
                  <c:v>5.7410428003173411E-3</c:v>
                </c:pt>
                <c:pt idx="9244">
                  <c:v>2.3241939395357517E-3</c:v>
                </c:pt>
                <c:pt idx="9245">
                  <c:v>4.1433195497192028E-3</c:v>
                </c:pt>
                <c:pt idx="9246">
                  <c:v>3.9444260943489393E-2</c:v>
                </c:pt>
                <c:pt idx="9247">
                  <c:v>4.4374567921531913E-3</c:v>
                </c:pt>
                <c:pt idx="9248">
                  <c:v>2.134514842422817E-3</c:v>
                </c:pt>
                <c:pt idx="9249">
                  <c:v>1.6895890166642106E-3</c:v>
                </c:pt>
                <c:pt idx="9250">
                  <c:v>4.83190709663064E-3</c:v>
                </c:pt>
                <c:pt idx="9251">
                  <c:v>2.5388332092552996E-3</c:v>
                </c:pt>
                <c:pt idx="9252">
                  <c:v>2.5893465489542993E-3</c:v>
                </c:pt>
                <c:pt idx="9253">
                  <c:v>2.4330383759036617E-3</c:v>
                </c:pt>
                <c:pt idx="9254">
                  <c:v>5.2620423520691783E-3</c:v>
                </c:pt>
                <c:pt idx="9255">
                  <c:v>3.3609948849943096E-3</c:v>
                </c:pt>
                <c:pt idx="9256">
                  <c:v>3.6961418795020506E-3</c:v>
                </c:pt>
                <c:pt idx="9257">
                  <c:v>2.0498022010451617E-3</c:v>
                </c:pt>
                <c:pt idx="9258">
                  <c:v>3.1144235281360955E-3</c:v>
                </c:pt>
                <c:pt idx="9259">
                  <c:v>1.9910122887769727E-3</c:v>
                </c:pt>
                <c:pt idx="9260">
                  <c:v>1.6471913460381594E-3</c:v>
                </c:pt>
                <c:pt idx="9261">
                  <c:v>4.0731960379328889E-3</c:v>
                </c:pt>
                <c:pt idx="9262">
                  <c:v>9.50188628642285E-3</c:v>
                </c:pt>
                <c:pt idx="9263">
                  <c:v>3.4915520360868486E-3</c:v>
                </c:pt>
                <c:pt idx="9264">
                  <c:v>2.9863408567849378E-3</c:v>
                </c:pt>
                <c:pt idx="9265">
                  <c:v>2.8711635765041412E-3</c:v>
                </c:pt>
                <c:pt idx="9266">
                  <c:v>4.083951912922535E-3</c:v>
                </c:pt>
                <c:pt idx="9267">
                  <c:v>3.4980142419234073E-3</c:v>
                </c:pt>
                <c:pt idx="9268">
                  <c:v>1.2745194919865427E-3</c:v>
                </c:pt>
                <c:pt idx="9269">
                  <c:v>3.9040786658219827E-3</c:v>
                </c:pt>
                <c:pt idx="9270">
                  <c:v>4.1252519976124934E-3</c:v>
                </c:pt>
                <c:pt idx="9271">
                  <c:v>4.489898939188725E-3</c:v>
                </c:pt>
                <c:pt idx="9272">
                  <c:v>1.2922730241685446E-3</c:v>
                </c:pt>
                <c:pt idx="9273">
                  <c:v>2.483132203296017E-3</c:v>
                </c:pt>
                <c:pt idx="9274">
                  <c:v>1.4645744838928567E-3</c:v>
                </c:pt>
                <c:pt idx="9275">
                  <c:v>1.2043642893344055E-3</c:v>
                </c:pt>
                <c:pt idx="9276">
                  <c:v>3.9389403063644938E-3</c:v>
                </c:pt>
                <c:pt idx="9277">
                  <c:v>4.1459005672336621E-3</c:v>
                </c:pt>
                <c:pt idx="9278">
                  <c:v>2.3336973184694631E-3</c:v>
                </c:pt>
                <c:pt idx="9279">
                  <c:v>4.3832885822805805E-3</c:v>
                </c:pt>
                <c:pt idx="9280">
                  <c:v>4.5513599528877033E-3</c:v>
                </c:pt>
                <c:pt idx="9281">
                  <c:v>4.391457237001275E-3</c:v>
                </c:pt>
                <c:pt idx="9282">
                  <c:v>5.4688020662928593E-3</c:v>
                </c:pt>
                <c:pt idx="9283">
                  <c:v>2.887557713022394E-3</c:v>
                </c:pt>
                <c:pt idx="9284">
                  <c:v>8.0825420383525866E-3</c:v>
                </c:pt>
                <c:pt idx="9285">
                  <c:v>2.2143372496914832E-4</c:v>
                </c:pt>
                <c:pt idx="9286">
                  <c:v>6.0619390401570068E-3</c:v>
                </c:pt>
                <c:pt idx="9287">
                  <c:v>8.6274207569010143E-3</c:v>
                </c:pt>
                <c:pt idx="9288">
                  <c:v>6.5678648800429765E-3</c:v>
                </c:pt>
                <c:pt idx="9289">
                  <c:v>1.376267702295817E-3</c:v>
                </c:pt>
                <c:pt idx="9290">
                  <c:v>6.2811603245899895E-3</c:v>
                </c:pt>
                <c:pt idx="9291">
                  <c:v>5.8271810923161416E-3</c:v>
                </c:pt>
                <c:pt idx="9292">
                  <c:v>6.8206069570387641E-3</c:v>
                </c:pt>
                <c:pt idx="9293">
                  <c:v>8.226427185953841E-4</c:v>
                </c:pt>
                <c:pt idx="9294">
                  <c:v>4.8130091538529669E-3</c:v>
                </c:pt>
                <c:pt idx="9295">
                  <c:v>8.3723202879792697E-3</c:v>
                </c:pt>
                <c:pt idx="9296">
                  <c:v>4.4370269123222474E-3</c:v>
                </c:pt>
                <c:pt idx="9297">
                  <c:v>5.3825926567358587E-3</c:v>
                </c:pt>
                <c:pt idx="9298">
                  <c:v>2.8340587717014753E-3</c:v>
                </c:pt>
                <c:pt idx="9299">
                  <c:v>2.6696377145695172E-3</c:v>
                </c:pt>
                <c:pt idx="9300">
                  <c:v>8.1484014138417731E-4</c:v>
                </c:pt>
                <c:pt idx="9301">
                  <c:v>2.9872034926983313E-3</c:v>
                </c:pt>
                <c:pt idx="9302">
                  <c:v>4.5496408819344844E-3</c:v>
                </c:pt>
                <c:pt idx="9303">
                  <c:v>4.6596477071462472E-3</c:v>
                </c:pt>
                <c:pt idx="9304">
                  <c:v>1.3039639783094196E-3</c:v>
                </c:pt>
                <c:pt idx="9305">
                  <c:v>2.1721115877494247E-3</c:v>
                </c:pt>
                <c:pt idx="9306">
                  <c:v>7.6261755876800442E-3</c:v>
                </c:pt>
                <c:pt idx="9307">
                  <c:v>4.7971170654502494E-3</c:v>
                </c:pt>
                <c:pt idx="9308">
                  <c:v>2.0528279370712241E-3</c:v>
                </c:pt>
                <c:pt idx="9309">
                  <c:v>2.9225010439102805E-3</c:v>
                </c:pt>
                <c:pt idx="9310">
                  <c:v>6.4865798277867317E-3</c:v>
                </c:pt>
                <c:pt idx="9311">
                  <c:v>1.0089959569929354E-3</c:v>
                </c:pt>
                <c:pt idx="9312">
                  <c:v>1.8760031267963983E-3</c:v>
                </c:pt>
                <c:pt idx="9313">
                  <c:v>3.2575554173329226E-3</c:v>
                </c:pt>
                <c:pt idx="9314">
                  <c:v>5.7868996396226594E-3</c:v>
                </c:pt>
                <c:pt idx="9315">
                  <c:v>3.9849878135916304E-3</c:v>
                </c:pt>
                <c:pt idx="9316">
                  <c:v>2.4606770641661955E-3</c:v>
                </c:pt>
                <c:pt idx="9317">
                  <c:v>4.0564163410165511E-3</c:v>
                </c:pt>
                <c:pt idx="9318">
                  <c:v>4.0912657557603373E-3</c:v>
                </c:pt>
                <c:pt idx="9319">
                  <c:v>9.4443144606653996E-4</c:v>
                </c:pt>
                <c:pt idx="9320">
                  <c:v>9.6826510128424992E-4</c:v>
                </c:pt>
                <c:pt idx="9321">
                  <c:v>5.524550283969247E-3</c:v>
                </c:pt>
                <c:pt idx="9322">
                  <c:v>1.75577302418614E-3</c:v>
                </c:pt>
                <c:pt idx="9323">
                  <c:v>5.8980551876998476E-4</c:v>
                </c:pt>
                <c:pt idx="9324">
                  <c:v>2.2230996741106931E-3</c:v>
                </c:pt>
                <c:pt idx="9325">
                  <c:v>5.3414119740628095E-3</c:v>
                </c:pt>
                <c:pt idx="9326">
                  <c:v>3.1691813581858916E-3</c:v>
                </c:pt>
                <c:pt idx="9327">
                  <c:v>4.3751197739125844E-3</c:v>
                </c:pt>
                <c:pt idx="9328">
                  <c:v>6.6508455019514802E-3</c:v>
                </c:pt>
                <c:pt idx="9329">
                  <c:v>8.4639011357906229E-3</c:v>
                </c:pt>
                <c:pt idx="9330">
                  <c:v>5.3555682741740357E-3</c:v>
                </c:pt>
                <c:pt idx="9331">
                  <c:v>7.0719201961692386E-3</c:v>
                </c:pt>
                <c:pt idx="9332">
                  <c:v>1.7882124816223205E-3</c:v>
                </c:pt>
                <c:pt idx="9333">
                  <c:v>5.7337566884830696E-3</c:v>
                </c:pt>
                <c:pt idx="9334">
                  <c:v>2.1971742765670497E-3</c:v>
                </c:pt>
                <c:pt idx="9335">
                  <c:v>3.4669947769258402E-3</c:v>
                </c:pt>
                <c:pt idx="9336">
                  <c:v>4.9512887276257096E-3</c:v>
                </c:pt>
                <c:pt idx="9337">
                  <c:v>6.3106953585199427E-3</c:v>
                </c:pt>
                <c:pt idx="9338">
                  <c:v>3.0626775016372168E-3</c:v>
                </c:pt>
                <c:pt idx="9339">
                  <c:v>7.9836757357344299E-4</c:v>
                </c:pt>
                <c:pt idx="9340">
                  <c:v>3.0462899744895509E-3</c:v>
                </c:pt>
                <c:pt idx="9341">
                  <c:v>3.3122952047716192E-3</c:v>
                </c:pt>
                <c:pt idx="9342">
                  <c:v>1.0735508708449445E-3</c:v>
                </c:pt>
                <c:pt idx="9343">
                  <c:v>4.2740718077265106E-3</c:v>
                </c:pt>
                <c:pt idx="9344">
                  <c:v>1.705595224184724E-3</c:v>
                </c:pt>
                <c:pt idx="9345">
                  <c:v>3.5716765929432576E-3</c:v>
                </c:pt>
                <c:pt idx="9346">
                  <c:v>3.889444550715293E-3</c:v>
                </c:pt>
                <c:pt idx="9347">
                  <c:v>2.9069710217293995E-3</c:v>
                </c:pt>
                <c:pt idx="9348">
                  <c:v>2.4049660326434098E-3</c:v>
                </c:pt>
                <c:pt idx="9349">
                  <c:v>3.9385099328008806E-3</c:v>
                </c:pt>
                <c:pt idx="9350">
                  <c:v>3.0113566026393149E-3</c:v>
                </c:pt>
                <c:pt idx="9351">
                  <c:v>2.5509224065370117E-3</c:v>
                </c:pt>
                <c:pt idx="9352">
                  <c:v>2.3565909683484314E-3</c:v>
                </c:pt>
                <c:pt idx="9353">
                  <c:v>4.5578064083596015E-3</c:v>
                </c:pt>
                <c:pt idx="9354">
                  <c:v>2.3505437064230083E-3</c:v>
                </c:pt>
                <c:pt idx="9355">
                  <c:v>3.5850292486859846E-3</c:v>
                </c:pt>
                <c:pt idx="9356">
                  <c:v>4.0981492600349482E-3</c:v>
                </c:pt>
                <c:pt idx="9357">
                  <c:v>5.3735847160604243E-3</c:v>
                </c:pt>
                <c:pt idx="9358">
                  <c:v>5.4434985910392E-3</c:v>
                </c:pt>
                <c:pt idx="9359">
                  <c:v>3.9329150376639218E-3</c:v>
                </c:pt>
                <c:pt idx="9360">
                  <c:v>5.4250561463567663E-3</c:v>
                </c:pt>
                <c:pt idx="9361">
                  <c:v>1.2054367829612519E-2</c:v>
                </c:pt>
                <c:pt idx="9362">
                  <c:v>1.0689120443404376E-2</c:v>
                </c:pt>
                <c:pt idx="9363">
                  <c:v>8.11451236307301E-3</c:v>
                </c:pt>
                <c:pt idx="9364">
                  <c:v>7.6172140628757252E-3</c:v>
                </c:pt>
                <c:pt idx="9365">
                  <c:v>1.2052255795133316E-2</c:v>
                </c:pt>
                <c:pt idx="9366">
                  <c:v>3.8300421969314474E-3</c:v>
                </c:pt>
                <c:pt idx="9367">
                  <c:v>3.4760423497503601E-3</c:v>
                </c:pt>
                <c:pt idx="9368">
                  <c:v>4.6300001729942131E-3</c:v>
                </c:pt>
                <c:pt idx="9369">
                  <c:v>4.3712502847406262E-3</c:v>
                </c:pt>
                <c:pt idx="9370">
                  <c:v>3.6664284954209848E-3</c:v>
                </c:pt>
                <c:pt idx="9371">
                  <c:v>1.5684418320624767E-3</c:v>
                </c:pt>
                <c:pt idx="9372">
                  <c:v>1.4178260715247296E-3</c:v>
                </c:pt>
                <c:pt idx="9373">
                  <c:v>3.1273590714558197E-3</c:v>
                </c:pt>
                <c:pt idx="9374">
                  <c:v>3.8442478467957896E-3</c:v>
                </c:pt>
                <c:pt idx="9375">
                  <c:v>1.6246929419511894E-3</c:v>
                </c:pt>
                <c:pt idx="9376">
                  <c:v>3.4984450522270406E-3</c:v>
                </c:pt>
                <c:pt idx="9377">
                  <c:v>2.9432068763250671E-3</c:v>
                </c:pt>
                <c:pt idx="9378">
                  <c:v>4.398335984966327E-3</c:v>
                </c:pt>
                <c:pt idx="9379">
                  <c:v>2.4524720121672562E-3</c:v>
                </c:pt>
                <c:pt idx="9380">
                  <c:v>4.4258498873601159E-3</c:v>
                </c:pt>
                <c:pt idx="9381">
                  <c:v>4.6235547890502342E-3</c:v>
                </c:pt>
                <c:pt idx="9382">
                  <c:v>4.3824287149511676E-3</c:v>
                </c:pt>
                <c:pt idx="9383">
                  <c:v>2.0895673353615377E-3</c:v>
                </c:pt>
                <c:pt idx="9384">
                  <c:v>2.4300152876593319E-3</c:v>
                </c:pt>
                <c:pt idx="9385">
                  <c:v>9.0338238874775843E-3</c:v>
                </c:pt>
                <c:pt idx="9386">
                  <c:v>2.7335147055831629E-3</c:v>
                </c:pt>
                <c:pt idx="9387">
                  <c:v>9.734649976989321E-4</c:v>
                </c:pt>
                <c:pt idx="9388">
                  <c:v>9.4729924117583925E-3</c:v>
                </c:pt>
                <c:pt idx="9389">
                  <c:v>2.7081200183877871E-2</c:v>
                </c:pt>
                <c:pt idx="9390">
                  <c:v>1.4139301433409939E-3</c:v>
                </c:pt>
                <c:pt idx="9391">
                  <c:v>3.2510896325048913E-3</c:v>
                </c:pt>
                <c:pt idx="9392">
                  <c:v>3.0825142071987484E-3</c:v>
                </c:pt>
                <c:pt idx="9393">
                  <c:v>6.2220842302862494E-3</c:v>
                </c:pt>
                <c:pt idx="9394">
                  <c:v>2.1461831461801963E-3</c:v>
                </c:pt>
                <c:pt idx="9395">
                  <c:v>6.431479671632431E-4</c:v>
                </c:pt>
                <c:pt idx="9396">
                  <c:v>2.0904317543680817E-3</c:v>
                </c:pt>
                <c:pt idx="9397">
                  <c:v>7.1560861662923895E-3</c:v>
                </c:pt>
                <c:pt idx="9398">
                  <c:v>2.7874575493476647E-3</c:v>
                </c:pt>
                <c:pt idx="9399">
                  <c:v>1.5995971930837804E-3</c:v>
                </c:pt>
                <c:pt idx="9400">
                  <c:v>4.8894548572451461E-3</c:v>
                </c:pt>
                <c:pt idx="9401">
                  <c:v>7.9013323969311031E-3</c:v>
                </c:pt>
                <c:pt idx="9402">
                  <c:v>9.1176105361250818E-3</c:v>
                </c:pt>
                <c:pt idx="9403">
                  <c:v>3.1657322498039992E-3</c:v>
                </c:pt>
                <c:pt idx="9404">
                  <c:v>7.2607368290562154E-3</c:v>
                </c:pt>
                <c:pt idx="9405">
                  <c:v>6.7645972882445747E-3</c:v>
                </c:pt>
                <c:pt idx="9406">
                  <c:v>5.0431644691430154E-3</c:v>
                </c:pt>
                <c:pt idx="9407">
                  <c:v>9.1452919238185467E-4</c:v>
                </c:pt>
                <c:pt idx="9408">
                  <c:v>3.9010658000812179E-3</c:v>
                </c:pt>
                <c:pt idx="9409">
                  <c:v>3.2842796400953398E-3</c:v>
                </c:pt>
                <c:pt idx="9410">
                  <c:v>2.6385590242309792E-3</c:v>
                </c:pt>
                <c:pt idx="9411">
                  <c:v>2.9315599670626858E-3</c:v>
                </c:pt>
                <c:pt idx="9412">
                  <c:v>4.0039218205739514E-3</c:v>
                </c:pt>
                <c:pt idx="9413">
                  <c:v>4.1153575434128981E-3</c:v>
                </c:pt>
                <c:pt idx="9414">
                  <c:v>2.1976063792083656E-3</c:v>
                </c:pt>
                <c:pt idx="9415">
                  <c:v>5.8241815384183796E-3</c:v>
                </c:pt>
                <c:pt idx="9416">
                  <c:v>1.1303949461117404E-2</c:v>
                </c:pt>
                <c:pt idx="9417">
                  <c:v>9.0134064171323615E-3</c:v>
                </c:pt>
                <c:pt idx="9418">
                  <c:v>9.4874395893815387E-3</c:v>
                </c:pt>
                <c:pt idx="9419">
                  <c:v>2.2127297008078198E-3</c:v>
                </c:pt>
                <c:pt idx="9420">
                  <c:v>5.4314896462406862E-3</c:v>
                </c:pt>
                <c:pt idx="9421">
                  <c:v>1.8634626925239726E-3</c:v>
                </c:pt>
                <c:pt idx="9422">
                  <c:v>4.2633206403343161E-3</c:v>
                </c:pt>
                <c:pt idx="9423">
                  <c:v>7.3341908025409729E-3</c:v>
                </c:pt>
                <c:pt idx="9424">
                  <c:v>1.8167571999546661E-3</c:v>
                </c:pt>
                <c:pt idx="9425">
                  <c:v>2.4395163512818839E-3</c:v>
                </c:pt>
                <c:pt idx="9426">
                  <c:v>4.3493225281863558E-3</c:v>
                </c:pt>
                <c:pt idx="9427">
                  <c:v>7.6790874886393133E-3</c:v>
                </c:pt>
                <c:pt idx="9428">
                  <c:v>5.7178982578134675E-3</c:v>
                </c:pt>
                <c:pt idx="9429">
                  <c:v>2.6579834663197823E-3</c:v>
                </c:pt>
                <c:pt idx="9430">
                  <c:v>5.847748903825967E-3</c:v>
                </c:pt>
                <c:pt idx="9431">
                  <c:v>7.0645651683864626E-4</c:v>
                </c:pt>
                <c:pt idx="9432">
                  <c:v>6.3646237164485461E-3</c:v>
                </c:pt>
                <c:pt idx="9433">
                  <c:v>7.6581795239587603E-3</c:v>
                </c:pt>
                <c:pt idx="9434">
                  <c:v>5.3817347656736686E-3</c:v>
                </c:pt>
                <c:pt idx="9435">
                  <c:v>3.0648337091754843E-3</c:v>
                </c:pt>
                <c:pt idx="9436">
                  <c:v>3.3747849527390027E-3</c:v>
                </c:pt>
                <c:pt idx="9437">
                  <c:v>2.8957545492146147E-3</c:v>
                </c:pt>
                <c:pt idx="9438">
                  <c:v>2.7891836097203729E-3</c:v>
                </c:pt>
                <c:pt idx="9439">
                  <c:v>6.2747393992448634E-3</c:v>
                </c:pt>
                <c:pt idx="9440">
                  <c:v>4.624414179102942E-3</c:v>
                </c:pt>
                <c:pt idx="9441">
                  <c:v>2.8923032686214135E-3</c:v>
                </c:pt>
                <c:pt idx="9442">
                  <c:v>3.8244459042512681E-3</c:v>
                </c:pt>
                <c:pt idx="9443">
                  <c:v>7.0031226948174914E-3</c:v>
                </c:pt>
                <c:pt idx="9444">
                  <c:v>7.6432446471880527E-3</c:v>
                </c:pt>
                <c:pt idx="9445">
                  <c:v>5.2903596653645912E-3</c:v>
                </c:pt>
                <c:pt idx="9446">
                  <c:v>2.8241348563658956E-3</c:v>
                </c:pt>
                <c:pt idx="9447">
                  <c:v>4.1149273446384627E-3</c:v>
                </c:pt>
                <c:pt idx="9448">
                  <c:v>4.1824633342384867E-3</c:v>
                </c:pt>
                <c:pt idx="9449">
                  <c:v>2.2974105709207739E-3</c:v>
                </c:pt>
                <c:pt idx="9450">
                  <c:v>1.5338221427402751E-3</c:v>
                </c:pt>
                <c:pt idx="9451">
                  <c:v>2.2390862311807663E-3</c:v>
                </c:pt>
                <c:pt idx="9452">
                  <c:v>2.6394223512168323E-3</c:v>
                </c:pt>
                <c:pt idx="9453">
                  <c:v>1.8950293011186922E-3</c:v>
                </c:pt>
                <c:pt idx="9454">
                  <c:v>2.443403090128758E-3</c:v>
                </c:pt>
                <c:pt idx="9455">
                  <c:v>2.1902605758369414E-3</c:v>
                </c:pt>
                <c:pt idx="9456">
                  <c:v>2.621292124103915E-3</c:v>
                </c:pt>
                <c:pt idx="9457">
                  <c:v>2.0260278273013617E-3</c:v>
                </c:pt>
                <c:pt idx="9458">
                  <c:v>2.8448453789990213E-3</c:v>
                </c:pt>
                <c:pt idx="9459">
                  <c:v>2.5522176577151444E-3</c:v>
                </c:pt>
                <c:pt idx="9460">
                  <c:v>3.708629506658144E-3</c:v>
                </c:pt>
                <c:pt idx="9461">
                  <c:v>2.0450474304128086E-3</c:v>
                </c:pt>
                <c:pt idx="9462">
                  <c:v>1.718572797229254E-3</c:v>
                </c:pt>
                <c:pt idx="9463">
                  <c:v>2.3457922272662802E-3</c:v>
                </c:pt>
                <c:pt idx="9464">
                  <c:v>4.5633932590352817E-3</c:v>
                </c:pt>
                <c:pt idx="9465">
                  <c:v>1.3347053558960883E-3</c:v>
                </c:pt>
                <c:pt idx="9466">
                  <c:v>3.0363709076475279E-3</c:v>
                </c:pt>
                <c:pt idx="9467">
                  <c:v>2.9884974433556683E-3</c:v>
                </c:pt>
                <c:pt idx="9468">
                  <c:v>4.1420290352097225E-3</c:v>
                </c:pt>
                <c:pt idx="9469">
                  <c:v>1.2533009039439153E-3</c:v>
                </c:pt>
                <c:pt idx="9470">
                  <c:v>3.6664284954209848E-3</c:v>
                </c:pt>
                <c:pt idx="9471">
                  <c:v>2.142293746427151E-3</c:v>
                </c:pt>
                <c:pt idx="9472">
                  <c:v>4.2259045029784262E-3</c:v>
                </c:pt>
                <c:pt idx="9473">
                  <c:v>9.5136500794434713E-4</c:v>
                </c:pt>
                <c:pt idx="9474">
                  <c:v>3.8033515374958065E-3</c:v>
                </c:pt>
                <c:pt idx="9475">
                  <c:v>2.0632017291251519E-3</c:v>
                </c:pt>
                <c:pt idx="9476">
                  <c:v>3.7706317170430868E-3</c:v>
                </c:pt>
                <c:pt idx="9477">
                  <c:v>1.3775664615315638E-3</c:v>
                </c:pt>
                <c:pt idx="9478">
                  <c:v>1.3901209339090672E-3</c:v>
                </c:pt>
                <c:pt idx="9479">
                  <c:v>2.5971173105375795E-3</c:v>
                </c:pt>
                <c:pt idx="9480">
                  <c:v>5.0782752262258461E-4</c:v>
                </c:pt>
                <c:pt idx="9481">
                  <c:v>2.6920820522943908E-3</c:v>
                </c:pt>
                <c:pt idx="9482">
                  <c:v>4.4795829515739882E-3</c:v>
                </c:pt>
                <c:pt idx="9483">
                  <c:v>2.3911451355287392E-3</c:v>
                </c:pt>
                <c:pt idx="9484">
                  <c:v>2.620860442804792E-3</c:v>
                </c:pt>
                <c:pt idx="9485">
                  <c:v>4.2426776528389568E-3</c:v>
                </c:pt>
                <c:pt idx="9486">
                  <c:v>3.3446186108050053E-3</c:v>
                </c:pt>
                <c:pt idx="9487">
                  <c:v>1.9408616622129328E-3</c:v>
                </c:pt>
                <c:pt idx="9488">
                  <c:v>1.9910122887769727E-3</c:v>
                </c:pt>
                <c:pt idx="9489">
                  <c:v>1.5740672709241613E-3</c:v>
                </c:pt>
                <c:pt idx="9490">
                  <c:v>1.0505894842537439E-3</c:v>
                </c:pt>
                <c:pt idx="9491">
                  <c:v>9.9166414487323056E-4</c:v>
                </c:pt>
                <c:pt idx="9492">
                  <c:v>1.5303600220196538E-3</c:v>
                </c:pt>
                <c:pt idx="9493">
                  <c:v>3.2075508415620713E-3</c:v>
                </c:pt>
                <c:pt idx="9494">
                  <c:v>1.134630913645269E-3</c:v>
                </c:pt>
                <c:pt idx="9495">
                  <c:v>2.1709297223018438E-4</c:v>
                </c:pt>
                <c:pt idx="9496">
                  <c:v>2.0904317543680817E-3</c:v>
                </c:pt>
                <c:pt idx="9497">
                  <c:v>4.5509301857873542E-3</c:v>
                </c:pt>
                <c:pt idx="9498">
                  <c:v>1.3680421369409777E-3</c:v>
                </c:pt>
                <c:pt idx="9499">
                  <c:v>2.4991091915036135E-3</c:v>
                </c:pt>
                <c:pt idx="9500">
                  <c:v>5.9647098108823703E-3</c:v>
                </c:pt>
                <c:pt idx="9501">
                  <c:v>3.400640149614143E-3</c:v>
                </c:pt>
                <c:pt idx="9502">
                  <c:v>2.0722785939082961E-3</c:v>
                </c:pt>
                <c:pt idx="9503">
                  <c:v>2.5029953970605429E-3</c:v>
                </c:pt>
                <c:pt idx="9504">
                  <c:v>2.2965465637867738E-3</c:v>
                </c:pt>
                <c:pt idx="9505">
                  <c:v>2.5940953642214935E-3</c:v>
                </c:pt>
                <c:pt idx="9506">
                  <c:v>1.8569761189125833E-3</c:v>
                </c:pt>
                <c:pt idx="9507">
                  <c:v>3.4971526200341719E-3</c:v>
                </c:pt>
                <c:pt idx="9508">
                  <c:v>1.691319445917787E-3</c:v>
                </c:pt>
                <c:pt idx="9509">
                  <c:v>1.952379574530913E-2</c:v>
                </c:pt>
                <c:pt idx="9510">
                  <c:v>6.5866866175355449E-3</c:v>
                </c:pt>
                <c:pt idx="9511">
                  <c:v>2.9910853331046876E-3</c:v>
                </c:pt>
                <c:pt idx="9512">
                  <c:v>3.7753676331084346E-3</c:v>
                </c:pt>
                <c:pt idx="9513">
                  <c:v>2.0316473421877449E-3</c:v>
                </c:pt>
                <c:pt idx="9514">
                  <c:v>1.872543732820098E-3</c:v>
                </c:pt>
                <c:pt idx="9515">
                  <c:v>2.2321731976362837E-3</c:v>
                </c:pt>
                <c:pt idx="9516">
                  <c:v>2.3237619628249258E-3</c:v>
                </c:pt>
                <c:pt idx="9517">
                  <c:v>5.5901136660226178E-4</c:v>
                </c:pt>
                <c:pt idx="9518">
                  <c:v>3.3381541220552486E-3</c:v>
                </c:pt>
                <c:pt idx="9519">
                  <c:v>2.5889148359005401E-3</c:v>
                </c:pt>
                <c:pt idx="9520">
                  <c:v>3.0432711520415098E-3</c:v>
                </c:pt>
                <c:pt idx="9521">
                  <c:v>2.6570692489650432E-4</c:v>
                </c:pt>
                <c:pt idx="9522">
                  <c:v>4.3054636933664422E-3</c:v>
                </c:pt>
                <c:pt idx="9523">
                  <c:v>1.3676092081330348E-3</c:v>
                </c:pt>
                <c:pt idx="9524">
                  <c:v>2.8249978145277214E-3</c:v>
                </c:pt>
                <c:pt idx="9525">
                  <c:v>2.0121948654814462E-3</c:v>
                </c:pt>
                <c:pt idx="9526">
                  <c:v>4.0452295162215612E-3</c:v>
                </c:pt>
                <c:pt idx="9527">
                  <c:v>2.0601760653728395E-3</c:v>
                </c:pt>
                <c:pt idx="9528">
                  <c:v>2.3863941005610309E-3</c:v>
                </c:pt>
                <c:pt idx="9529">
                  <c:v>7.0342138603535827E-4</c:v>
                </c:pt>
                <c:pt idx="9530">
                  <c:v>1.8405430321463466E-3</c:v>
                </c:pt>
                <c:pt idx="9531">
                  <c:v>1.9283231006450552E-3</c:v>
                </c:pt>
                <c:pt idx="9532">
                  <c:v>4.0219944208679369E-3</c:v>
                </c:pt>
                <c:pt idx="9533">
                  <c:v>4.9972290279432161E-3</c:v>
                </c:pt>
                <c:pt idx="9534">
                  <c:v>9.4139797793614706E-4</c:v>
                </c:pt>
                <c:pt idx="9535">
                  <c:v>1.3637128294405074E-3</c:v>
                </c:pt>
                <c:pt idx="9536">
                  <c:v>4.5900372504764043E-3</c:v>
                </c:pt>
                <c:pt idx="9537">
                  <c:v>3.4243393946304978E-3</c:v>
                </c:pt>
                <c:pt idx="9538">
                  <c:v>9.5792104356594056E-3</c:v>
                </c:pt>
                <c:pt idx="9539">
                  <c:v>1.0338549454173462E-2</c:v>
                </c:pt>
                <c:pt idx="9540">
                  <c:v>2.401510849598876E-3</c:v>
                </c:pt>
                <c:pt idx="9541">
                  <c:v>2.7115041006902153E-3</c:v>
                </c:pt>
                <c:pt idx="9542">
                  <c:v>3.7077683025198939E-3</c:v>
                </c:pt>
                <c:pt idx="9543">
                  <c:v>3.2109996178436391E-3</c:v>
                </c:pt>
                <c:pt idx="9544">
                  <c:v>3.7516875363201745E-3</c:v>
                </c:pt>
                <c:pt idx="9545">
                  <c:v>1.4048395083297756E-3</c:v>
                </c:pt>
                <c:pt idx="9546">
                  <c:v>3.1540913067783544E-3</c:v>
                </c:pt>
                <c:pt idx="9547">
                  <c:v>4.3501824610658229E-3</c:v>
                </c:pt>
                <c:pt idx="9548">
                  <c:v>3.2329849228517026E-3</c:v>
                </c:pt>
                <c:pt idx="9549">
                  <c:v>1.8967589119987572E-3</c:v>
                </c:pt>
                <c:pt idx="9550">
                  <c:v>3.0859639765478454E-3</c:v>
                </c:pt>
                <c:pt idx="9551">
                  <c:v>1.1268339396819874E-3</c:v>
                </c:pt>
                <c:pt idx="9552">
                  <c:v>6.400572235130156E-3</c:v>
                </c:pt>
                <c:pt idx="9553">
                  <c:v>3.311864209771876E-3</c:v>
                </c:pt>
                <c:pt idx="9554">
                  <c:v>3.7680410095975478E-4</c:v>
                </c:pt>
                <c:pt idx="9555">
                  <c:v>4.6802708851045377E-3</c:v>
                </c:pt>
                <c:pt idx="9556">
                  <c:v>2.7999713316297012E-3</c:v>
                </c:pt>
                <c:pt idx="9557">
                  <c:v>2.7512086967566491E-3</c:v>
                </c:pt>
                <c:pt idx="9558">
                  <c:v>2.9013628216827737E-3</c:v>
                </c:pt>
                <c:pt idx="9559">
                  <c:v>3.1032124122624808E-3</c:v>
                </c:pt>
                <c:pt idx="9560">
                  <c:v>1.867787021108513E-3</c:v>
                </c:pt>
                <c:pt idx="9561">
                  <c:v>3.5522929750395811E-3</c:v>
                </c:pt>
                <c:pt idx="9562">
                  <c:v>5.9801308767336555E-3</c:v>
                </c:pt>
                <c:pt idx="9563">
                  <c:v>3.0087688336810146E-3</c:v>
                </c:pt>
                <c:pt idx="9564">
                  <c:v>4.5878886020844136E-3</c:v>
                </c:pt>
                <c:pt idx="9565">
                  <c:v>1.6239577011543181E-4</c:v>
                </c:pt>
                <c:pt idx="9566">
                  <c:v>3.9402314244962183E-3</c:v>
                </c:pt>
                <c:pt idx="9567">
                  <c:v>2.6640264488956931E-3</c:v>
                </c:pt>
                <c:pt idx="9568">
                  <c:v>4.3084737549609351E-3</c:v>
                </c:pt>
                <c:pt idx="9569">
                  <c:v>2.1094485372283255E-3</c:v>
                </c:pt>
                <c:pt idx="9570">
                  <c:v>4.4464841703123438E-3</c:v>
                </c:pt>
                <c:pt idx="9571">
                  <c:v>1.821514470612058E-3</c:v>
                </c:pt>
                <c:pt idx="9572">
                  <c:v>7.1432700662784881E-3</c:v>
                </c:pt>
                <c:pt idx="9573">
                  <c:v>3.7968938734475825E-3</c:v>
                </c:pt>
                <c:pt idx="9574">
                  <c:v>1.7427965627265351E-3</c:v>
                </c:pt>
                <c:pt idx="9575">
                  <c:v>1.9758812442650714E-3</c:v>
                </c:pt>
                <c:pt idx="9576">
                  <c:v>6.1017667566307015E-3</c:v>
                </c:pt>
                <c:pt idx="9577">
                  <c:v>6.5002710072809009E-3</c:v>
                </c:pt>
                <c:pt idx="9578">
                  <c:v>4.9225198969838476E-3</c:v>
                </c:pt>
                <c:pt idx="9579">
                  <c:v>7.4789270966421914E-3</c:v>
                </c:pt>
                <c:pt idx="9580">
                  <c:v>7.5928889919412755E-3</c:v>
                </c:pt>
                <c:pt idx="9581">
                  <c:v>7.1155005520597576E-3</c:v>
                </c:pt>
                <c:pt idx="9582">
                  <c:v>6.0888812290046891E-4</c:v>
                </c:pt>
                <c:pt idx="9583">
                  <c:v>2.1911247944472606E-3</c:v>
                </c:pt>
                <c:pt idx="9584">
                  <c:v>2.9410500648416869E-3</c:v>
                </c:pt>
                <c:pt idx="9585">
                  <c:v>5.2036857017565934E-3</c:v>
                </c:pt>
                <c:pt idx="9586">
                  <c:v>1.4329765711253548E-3</c:v>
                </c:pt>
                <c:pt idx="9587">
                  <c:v>5.0775055502429219E-3</c:v>
                </c:pt>
                <c:pt idx="9588">
                  <c:v>1.1900720252253994E-3</c:v>
                </c:pt>
                <c:pt idx="9589">
                  <c:v>3.7714927965325942E-3</c:v>
                </c:pt>
                <c:pt idx="9590">
                  <c:v>1.5732018235344507E-3</c:v>
                </c:pt>
                <c:pt idx="9591">
                  <c:v>4.5371774140187376E-3</c:v>
                </c:pt>
                <c:pt idx="9592">
                  <c:v>1.9715579918607724E-3</c:v>
                </c:pt>
                <c:pt idx="9593">
                  <c:v>1.9732872979868555E-3</c:v>
                </c:pt>
                <c:pt idx="9594">
                  <c:v>1.9239993747873956E-3</c:v>
                </c:pt>
                <c:pt idx="9595">
                  <c:v>3.6397277784904116E-3</c:v>
                </c:pt>
                <c:pt idx="9596">
                  <c:v>2.9570102161826854E-3</c:v>
                </c:pt>
                <c:pt idx="9597">
                  <c:v>9.6826510128424992E-4</c:v>
                </c:pt>
                <c:pt idx="9598">
                  <c:v>3.8890141281000606E-3</c:v>
                </c:pt>
                <c:pt idx="9599">
                  <c:v>8.0617044673537085E-4</c:v>
                </c:pt>
                <c:pt idx="9600">
                  <c:v>2.8836749471439034E-3</c:v>
                </c:pt>
                <c:pt idx="9601">
                  <c:v>9.5049831876329672E-4</c:v>
                </c:pt>
                <c:pt idx="9602">
                  <c:v>2.2866103581982793E-3</c:v>
                </c:pt>
                <c:pt idx="9603">
                  <c:v>1.4585147883796094E-3</c:v>
                </c:pt>
                <c:pt idx="9604">
                  <c:v>4.2499888231277844E-3</c:v>
                </c:pt>
                <c:pt idx="9605">
                  <c:v>1.8522192366890826E-3</c:v>
                </c:pt>
                <c:pt idx="9606">
                  <c:v>2.285746329577508E-3</c:v>
                </c:pt>
                <c:pt idx="9607">
                  <c:v>2.8858320435842123E-3</c:v>
                </c:pt>
                <c:pt idx="9608">
                  <c:v>3.382541673424944E-3</c:v>
                </c:pt>
                <c:pt idx="9609">
                  <c:v>4.3437329229656305E-3</c:v>
                </c:pt>
                <c:pt idx="9610">
                  <c:v>4.9031964781691868E-3</c:v>
                </c:pt>
                <c:pt idx="9611">
                  <c:v>3.3597020436934143E-3</c:v>
                </c:pt>
                <c:pt idx="9612">
                  <c:v>3.2954860828348946E-3</c:v>
                </c:pt>
                <c:pt idx="9613">
                  <c:v>4.1988080462253266E-3</c:v>
                </c:pt>
                <c:pt idx="9614">
                  <c:v>0</c:v>
                </c:pt>
                <c:pt idx="9615">
                  <c:v>1.9750165972271818E-3</c:v>
                </c:pt>
                <c:pt idx="9616">
                  <c:v>6.1874053884283095E-3</c:v>
                </c:pt>
                <c:pt idx="9617">
                  <c:v>3.5871828643909021E-3</c:v>
                </c:pt>
                <c:pt idx="9618">
                  <c:v>8.0530346775160844E-4</c:v>
                </c:pt>
                <c:pt idx="9619">
                  <c:v>9.1019536160887331E-4</c:v>
                </c:pt>
                <c:pt idx="9620">
                  <c:v>4.6149607949904073E-3</c:v>
                </c:pt>
                <c:pt idx="9621">
                  <c:v>4.0671726315803791E-3</c:v>
                </c:pt>
                <c:pt idx="9622">
                  <c:v>1.5900777365620842E-3</c:v>
                </c:pt>
                <c:pt idx="9623">
                  <c:v>3.220483611405818E-3</c:v>
                </c:pt>
                <c:pt idx="9624">
                  <c:v>1.8543814623405226E-3</c:v>
                </c:pt>
                <c:pt idx="9625">
                  <c:v>4.1282633084952147E-3</c:v>
                </c:pt>
                <c:pt idx="9626">
                  <c:v>1.1051749441777108E-3</c:v>
                </c:pt>
                <c:pt idx="9627">
                  <c:v>3.9088131268998896E-3</c:v>
                </c:pt>
                <c:pt idx="9628">
                  <c:v>5.4374941601482863E-3</c:v>
                </c:pt>
                <c:pt idx="9629">
                  <c:v>2.4360614431047653E-3</c:v>
                </c:pt>
                <c:pt idx="9630">
                  <c:v>2.7589765627319845E-3</c:v>
                </c:pt>
                <c:pt idx="9631">
                  <c:v>2.9673624331757668E-3</c:v>
                </c:pt>
                <c:pt idx="9632">
                  <c:v>4.7245214826490889E-3</c:v>
                </c:pt>
                <c:pt idx="9633">
                  <c:v>1.741498895255236E-3</c:v>
                </c:pt>
                <c:pt idx="9634">
                  <c:v>2.0385635683839074E-3</c:v>
                </c:pt>
                <c:pt idx="9635">
                  <c:v>2.85261157036812E-3</c:v>
                </c:pt>
                <c:pt idx="9636">
                  <c:v>2.8888519606011251E-3</c:v>
                </c:pt>
                <c:pt idx="9637">
                  <c:v>1.4100341802078141E-3</c:v>
                </c:pt>
                <c:pt idx="9638">
                  <c:v>1.7419314515097946E-3</c:v>
                </c:pt>
                <c:pt idx="9639">
                  <c:v>2.6191337133172556E-3</c:v>
                </c:pt>
                <c:pt idx="9640">
                  <c:v>2.3751641749321603E-3</c:v>
                </c:pt>
                <c:pt idx="9641">
                  <c:v>1.1502244416427842E-3</c:v>
                </c:pt>
                <c:pt idx="9642">
                  <c:v>8.5471850777041466E-4</c:v>
                </c:pt>
                <c:pt idx="9643">
                  <c:v>4.9457068647188532E-3</c:v>
                </c:pt>
                <c:pt idx="9644">
                  <c:v>2.3064825420505259E-3</c:v>
                </c:pt>
                <c:pt idx="9645">
                  <c:v>4.402205232818048E-3</c:v>
                </c:pt>
                <c:pt idx="9646">
                  <c:v>3.9600280885477837E-3</c:v>
                </c:pt>
                <c:pt idx="9647">
                  <c:v>1.8180546425747388E-3</c:v>
                </c:pt>
                <c:pt idx="9648">
                  <c:v>6.9586762783918465E-3</c:v>
                </c:pt>
                <c:pt idx="9649">
                  <c:v>1.427349304399906E-3</c:v>
                </c:pt>
                <c:pt idx="9650">
                  <c:v>2.3699810343930793E-3</c:v>
                </c:pt>
                <c:pt idx="9651">
                  <c:v>3.2394509772267163E-3</c:v>
                </c:pt>
                <c:pt idx="9652">
                  <c:v>1.901947703309301E-3</c:v>
                </c:pt>
                <c:pt idx="9653">
                  <c:v>7.8319491886847975E-4</c:v>
                </c:pt>
                <c:pt idx="9654">
                  <c:v>2.7559557424733441E-3</c:v>
                </c:pt>
                <c:pt idx="9655">
                  <c:v>9.2762079975080847E-3</c:v>
                </c:pt>
                <c:pt idx="9656">
                  <c:v>4.176871581023118E-3</c:v>
                </c:pt>
                <c:pt idx="9657">
                  <c:v>2.1219818706705532E-3</c:v>
                </c:pt>
                <c:pt idx="9658">
                  <c:v>4.2538593928646475E-3</c:v>
                </c:pt>
                <c:pt idx="9659">
                  <c:v>2.4218096563467261E-3</c:v>
                </c:pt>
                <c:pt idx="9660">
                  <c:v>1.7216008418077186E-3</c:v>
                </c:pt>
                <c:pt idx="9661">
                  <c:v>2.2861783441027188E-3</c:v>
                </c:pt>
                <c:pt idx="9662">
                  <c:v>3.5501391863123908E-3</c:v>
                </c:pt>
                <c:pt idx="9663">
                  <c:v>3.182546394442304E-3</c:v>
                </c:pt>
                <c:pt idx="9664">
                  <c:v>3.2049642413780294E-3</c:v>
                </c:pt>
                <c:pt idx="9665">
                  <c:v>4.7988351570978022E-3</c:v>
                </c:pt>
                <c:pt idx="9666">
                  <c:v>5.657459470085527E-3</c:v>
                </c:pt>
                <c:pt idx="9667">
                  <c:v>3.0613837719757364E-3</c:v>
                </c:pt>
                <c:pt idx="9668">
                  <c:v>5.0058154609282585E-3</c:v>
                </c:pt>
                <c:pt idx="9669">
                  <c:v>4.5143984277432811E-3</c:v>
                </c:pt>
                <c:pt idx="9670">
                  <c:v>5.6047294024928803E-3</c:v>
                </c:pt>
                <c:pt idx="9671">
                  <c:v>5.4748060643482399E-3</c:v>
                </c:pt>
                <c:pt idx="9672">
                  <c:v>4.3639411555712057E-3</c:v>
                </c:pt>
                <c:pt idx="9673">
                  <c:v>3.9380795588108758E-3</c:v>
                </c:pt>
                <c:pt idx="9674">
                  <c:v>4.630859550292782E-3</c:v>
                </c:pt>
                <c:pt idx="9675">
                  <c:v>4.1450402297664784E-3</c:v>
                </c:pt>
                <c:pt idx="9676">
                  <c:v>3.9040786658219827E-3</c:v>
                </c:pt>
                <c:pt idx="9677">
                  <c:v>4.8258942040360162E-3</c:v>
                </c:pt>
                <c:pt idx="9678">
                  <c:v>2.3483839496142821E-3</c:v>
                </c:pt>
                <c:pt idx="9679">
                  <c:v>2.8914404441876236E-3</c:v>
                </c:pt>
                <c:pt idx="9680">
                  <c:v>1.919675605883388E-3</c:v>
                </c:pt>
                <c:pt idx="9681">
                  <c:v>5.6223068030607348E-3</c:v>
                </c:pt>
                <c:pt idx="9682">
                  <c:v>5.848177389541331E-3</c:v>
                </c:pt>
                <c:pt idx="9683">
                  <c:v>3.8679228973678209E-3</c:v>
                </c:pt>
                <c:pt idx="9684">
                  <c:v>1.430585854944715E-2</c:v>
                </c:pt>
                <c:pt idx="9685">
                  <c:v>7.2573200627962797E-3</c:v>
                </c:pt>
                <c:pt idx="9686">
                  <c:v>1.9010829090626237E-3</c:v>
                </c:pt>
                <c:pt idx="9687">
                  <c:v>2.424400925089516E-3</c:v>
                </c:pt>
                <c:pt idx="9688">
                  <c:v>3.5949357925032831E-3</c:v>
                </c:pt>
                <c:pt idx="9689">
                  <c:v>5.1341623980532599E-3</c:v>
                </c:pt>
                <c:pt idx="9690">
                  <c:v>1.0744173144943004E-3</c:v>
                </c:pt>
                <c:pt idx="9691">
                  <c:v>1.2190891604306302E-3</c:v>
                </c:pt>
                <c:pt idx="9692">
                  <c:v>1.0761501966071118E-3</c:v>
                </c:pt>
                <c:pt idx="9693">
                  <c:v>3.9367884342818241E-3</c:v>
                </c:pt>
                <c:pt idx="9694">
                  <c:v>1.1038753700974063E-3</c:v>
                </c:pt>
                <c:pt idx="9695">
                  <c:v>1.6731495948670752E-3</c:v>
                </c:pt>
                <c:pt idx="9696">
                  <c:v>6.4750275593543991E-3</c:v>
                </c:pt>
                <c:pt idx="9697">
                  <c:v>2.7335147055831629E-3</c:v>
                </c:pt>
                <c:pt idx="9698">
                  <c:v>6.9437173267293262E-3</c:v>
                </c:pt>
                <c:pt idx="9699">
                  <c:v>2.3622062075974609E-3</c:v>
                </c:pt>
                <c:pt idx="9700">
                  <c:v>7.7942765905233431E-3</c:v>
                </c:pt>
                <c:pt idx="9701">
                  <c:v>2.5668969010935933E-3</c:v>
                </c:pt>
                <c:pt idx="9702">
                  <c:v>5.4898156963561571E-3</c:v>
                </c:pt>
                <c:pt idx="9703">
                  <c:v>5.2787755330918574E-3</c:v>
                </c:pt>
                <c:pt idx="9704">
                  <c:v>6.1351678317816214E-3</c:v>
                </c:pt>
                <c:pt idx="9705">
                  <c:v>2.0722785939082961E-3</c:v>
                </c:pt>
                <c:pt idx="9706">
                  <c:v>9.0750812625054866E-3</c:v>
                </c:pt>
                <c:pt idx="9707">
                  <c:v>9.8068543599187635E-3</c:v>
                </c:pt>
                <c:pt idx="9708">
                  <c:v>7.5800857757588134E-3</c:v>
                </c:pt>
                <c:pt idx="9709">
                  <c:v>4.9487124921218841E-3</c:v>
                </c:pt>
                <c:pt idx="9710">
                  <c:v>4.9396955475089132E-3</c:v>
                </c:pt>
                <c:pt idx="9711">
                  <c:v>5.5708587464653866E-3</c:v>
                </c:pt>
                <c:pt idx="9712">
                  <c:v>4.5629635038425412E-3</c:v>
                </c:pt>
                <c:pt idx="9713">
                  <c:v>2.4416756549356781E-3</c:v>
                </c:pt>
                <c:pt idx="9714">
                  <c:v>9.2247658376743147E-3</c:v>
                </c:pt>
                <c:pt idx="9715">
                  <c:v>1.2848187340139075E-2</c:v>
                </c:pt>
                <c:pt idx="9716">
                  <c:v>5.6797499310729744E-3</c:v>
                </c:pt>
                <c:pt idx="9717">
                  <c:v>4.7545921311682674E-3</c:v>
                </c:pt>
                <c:pt idx="9718">
                  <c:v>2.6113633456633862E-3</c:v>
                </c:pt>
                <c:pt idx="9719">
                  <c:v>3.2860037270309034E-3</c:v>
                </c:pt>
                <c:pt idx="9720">
                  <c:v>1.9274583589171707E-3</c:v>
                </c:pt>
                <c:pt idx="9721">
                  <c:v>4.6450390302107012E-3</c:v>
                </c:pt>
                <c:pt idx="9722">
                  <c:v>2.2321731976362837E-3</c:v>
                </c:pt>
                <c:pt idx="9723">
                  <c:v>2.9884974433556683E-3</c:v>
                </c:pt>
                <c:pt idx="9724">
                  <c:v>4.9998049756638085E-3</c:v>
                </c:pt>
                <c:pt idx="9725">
                  <c:v>3.2959170940885375E-3</c:v>
                </c:pt>
                <c:pt idx="9726">
                  <c:v>4.766190253475344E-3</c:v>
                </c:pt>
                <c:pt idx="9727">
                  <c:v>1.9408625836300655E-4</c:v>
                </c:pt>
                <c:pt idx="9728">
                  <c:v>4.6450390302107012E-3</c:v>
                </c:pt>
                <c:pt idx="9729">
                  <c:v>2.4827003846463773E-3</c:v>
                </c:pt>
                <c:pt idx="9730">
                  <c:v>4.5492111131328859E-3</c:v>
                </c:pt>
                <c:pt idx="9731">
                  <c:v>1.358950541343013E-3</c:v>
                </c:pt>
                <c:pt idx="9732">
                  <c:v>5.7577575361861567E-3</c:v>
                </c:pt>
                <c:pt idx="9733">
                  <c:v>5.881597972895232E-3</c:v>
                </c:pt>
                <c:pt idx="9734">
                  <c:v>4.7975465889992961E-3</c:v>
                </c:pt>
                <c:pt idx="9735">
                  <c:v>2.7106409169828554E-3</c:v>
                </c:pt>
                <c:pt idx="9736">
                  <c:v>1.0393249639530917E-3</c:v>
                </c:pt>
                <c:pt idx="9737">
                  <c:v>6.1253190638578883E-3</c:v>
                </c:pt>
                <c:pt idx="9738">
                  <c:v>2.0554214083155571E-3</c:v>
                </c:pt>
                <c:pt idx="9739">
                  <c:v>1.9832306745852526E-3</c:v>
                </c:pt>
                <c:pt idx="9740">
                  <c:v>4.5887480627167729E-3</c:v>
                </c:pt>
                <c:pt idx="9741">
                  <c:v>4.7726335209232612E-3</c:v>
                </c:pt>
                <c:pt idx="9742">
                  <c:v>6.3664314130036116E-4</c:v>
                </c:pt>
                <c:pt idx="9743">
                  <c:v>3.3398779951304232E-3</c:v>
                </c:pt>
                <c:pt idx="9744">
                  <c:v>1.6766105774854857E-3</c:v>
                </c:pt>
                <c:pt idx="9745">
                  <c:v>6.7693006680212275E-3</c:v>
                </c:pt>
                <c:pt idx="9746">
                  <c:v>2.137972150292957E-3</c:v>
                </c:pt>
                <c:pt idx="9747">
                  <c:v>2.2784020168963664E-3</c:v>
                </c:pt>
                <c:pt idx="9748">
                  <c:v>4.2826725500162482E-3</c:v>
                </c:pt>
                <c:pt idx="9749">
                  <c:v>4.3437329229656305E-3</c:v>
                </c:pt>
                <c:pt idx="9750">
                  <c:v>1.6290196486399868E-3</c:v>
                </c:pt>
                <c:pt idx="9751">
                  <c:v>2.311234451299252E-3</c:v>
                </c:pt>
                <c:pt idx="9752">
                  <c:v>5.5284095111139409E-3</c:v>
                </c:pt>
                <c:pt idx="9753">
                  <c:v>3.7693400946075908E-3</c:v>
                </c:pt>
                <c:pt idx="9754">
                  <c:v>2.9746951042476954E-3</c:v>
                </c:pt>
                <c:pt idx="9755">
                  <c:v>1.8513543434142143E-3</c:v>
                </c:pt>
                <c:pt idx="9756">
                  <c:v>4.425419996040094E-3</c:v>
                </c:pt>
                <c:pt idx="9757">
                  <c:v>4.1807428024559145E-3</c:v>
                </c:pt>
                <c:pt idx="9758">
                  <c:v>2.2205072039984926E-3</c:v>
                </c:pt>
                <c:pt idx="9759">
                  <c:v>2.7874575493476647E-3</c:v>
                </c:pt>
                <c:pt idx="9760">
                  <c:v>7.0116695611283841E-3</c:v>
                </c:pt>
                <c:pt idx="9761">
                  <c:v>1.8081074834308561E-3</c:v>
                </c:pt>
                <c:pt idx="9762">
                  <c:v>1.4299465134873686E-3</c:v>
                </c:pt>
                <c:pt idx="9763">
                  <c:v>5.8606032913904637E-3</c:v>
                </c:pt>
                <c:pt idx="9764">
                  <c:v>1.9252964970645019E-3</c:v>
                </c:pt>
                <c:pt idx="9765">
                  <c:v>2.3211700935365479E-3</c:v>
                </c:pt>
                <c:pt idx="9766">
                  <c:v>7.2033113039605783E-4</c:v>
                </c:pt>
                <c:pt idx="9767">
                  <c:v>8.3275877379662324E-3</c:v>
                </c:pt>
                <c:pt idx="9768">
                  <c:v>2.1297609991614516E-3</c:v>
                </c:pt>
                <c:pt idx="9769">
                  <c:v>1.8824894162308818E-3</c:v>
                </c:pt>
                <c:pt idx="9770">
                  <c:v>3.5613387710563562E-3</c:v>
                </c:pt>
                <c:pt idx="9771">
                  <c:v>8.3838221990171907E-3</c:v>
                </c:pt>
                <c:pt idx="9772">
                  <c:v>1.8794624932169459E-3</c:v>
                </c:pt>
                <c:pt idx="9773">
                  <c:v>7.6585409296426341E-4</c:v>
                </c:pt>
                <c:pt idx="9774">
                  <c:v>4.7958284922541786E-3</c:v>
                </c:pt>
                <c:pt idx="9775">
                  <c:v>1.8098374405175451E-3</c:v>
                </c:pt>
                <c:pt idx="9776">
                  <c:v>4.62828141329548E-3</c:v>
                </c:pt>
                <c:pt idx="9777">
                  <c:v>7.6368644104124266E-4</c:v>
                </c:pt>
                <c:pt idx="9778">
                  <c:v>5.741899981908557E-3</c:v>
                </c:pt>
                <c:pt idx="9779">
                  <c:v>1.9110279389329963E-3</c:v>
                </c:pt>
                <c:pt idx="9780">
                  <c:v>1.2208214653844603E-3</c:v>
                </c:pt>
                <c:pt idx="9781">
                  <c:v>1.2468052105514063E-3</c:v>
                </c:pt>
                <c:pt idx="9782">
                  <c:v>2.7244516504310902E-3</c:v>
                </c:pt>
                <c:pt idx="9783">
                  <c:v>5.7860425468442642E-3</c:v>
                </c:pt>
                <c:pt idx="9784">
                  <c:v>1.5593544307425126E-3</c:v>
                </c:pt>
                <c:pt idx="9785">
                  <c:v>3.3441876478820139E-3</c:v>
                </c:pt>
                <c:pt idx="9786">
                  <c:v>1.6138759866395425E-3</c:v>
                </c:pt>
                <c:pt idx="9787">
                  <c:v>3.9858484681808051E-3</c:v>
                </c:pt>
                <c:pt idx="9788">
                  <c:v>1.2164906900440698E-3</c:v>
                </c:pt>
                <c:pt idx="9789">
                  <c:v>4.8916020141760172E-3</c:v>
                </c:pt>
                <c:pt idx="9790">
                  <c:v>2.7119356919006331E-3</c:v>
                </c:pt>
                <c:pt idx="9791">
                  <c:v>1.1779448868191071E-3</c:v>
                </c:pt>
                <c:pt idx="9792">
                  <c:v>1.9118927133767566E-3</c:v>
                </c:pt>
                <c:pt idx="9793">
                  <c:v>7.3585303672124144E-3</c:v>
                </c:pt>
                <c:pt idx="9794">
                  <c:v>3.0074749434195764E-3</c:v>
                </c:pt>
                <c:pt idx="9795">
                  <c:v>2.6096365784155544E-3</c:v>
                </c:pt>
                <c:pt idx="9796">
                  <c:v>2.3609103895993952E-3</c:v>
                </c:pt>
                <c:pt idx="9797">
                  <c:v>5.773614511472085E-3</c:v>
                </c:pt>
                <c:pt idx="9798">
                  <c:v>2.374300322471371E-3</c:v>
                </c:pt>
                <c:pt idx="9799">
                  <c:v>2.3354251832061975E-3</c:v>
                </c:pt>
                <c:pt idx="9800">
                  <c:v>5.8785987948178197E-3</c:v>
                </c:pt>
                <c:pt idx="9801">
                  <c:v>3.8726577526121734E-3</c:v>
                </c:pt>
                <c:pt idx="9802">
                  <c:v>5.0281393922343293E-3</c:v>
                </c:pt>
                <c:pt idx="9803">
                  <c:v>2.2001989860275569E-3</c:v>
                </c:pt>
                <c:pt idx="9804">
                  <c:v>7.0125242385084994E-3</c:v>
                </c:pt>
                <c:pt idx="9805">
                  <c:v>2.0489377011657594E-3</c:v>
                </c:pt>
                <c:pt idx="9806">
                  <c:v>5.5880087758636721E-3</c:v>
                </c:pt>
                <c:pt idx="9807">
                  <c:v>4.2142919428101036E-3</c:v>
                </c:pt>
                <c:pt idx="9808">
                  <c:v>4.6789819651729177E-3</c:v>
                </c:pt>
                <c:pt idx="9809">
                  <c:v>5.7569003858929874E-3</c:v>
                </c:pt>
                <c:pt idx="9810">
                  <c:v>3.235140285006809E-3</c:v>
                </c:pt>
                <c:pt idx="9811">
                  <c:v>6.027675716333402E-3</c:v>
                </c:pt>
                <c:pt idx="9812">
                  <c:v>7.9934389809796121E-3</c:v>
                </c:pt>
                <c:pt idx="9813">
                  <c:v>7.6449515162419282E-3</c:v>
                </c:pt>
                <c:pt idx="9814">
                  <c:v>4.3445928669129602E-3</c:v>
                </c:pt>
                <c:pt idx="9815">
                  <c:v>2.2114334367346099E-3</c:v>
                </c:pt>
                <c:pt idx="9816">
                  <c:v>1.0129004368962882E-2</c:v>
                </c:pt>
                <c:pt idx="9817">
                  <c:v>8.9317269355394142E-3</c:v>
                </c:pt>
                <c:pt idx="9818">
                  <c:v>2.1111772943798093E-3</c:v>
                </c:pt>
                <c:pt idx="9819">
                  <c:v>3.6935581876735312E-3</c:v>
                </c:pt>
                <c:pt idx="9820">
                  <c:v>1.0149369460276074E-2</c:v>
                </c:pt>
                <c:pt idx="9821">
                  <c:v>8.1426443021633682E-3</c:v>
                </c:pt>
                <c:pt idx="9822">
                  <c:v>2.9643430620431752E-3</c:v>
                </c:pt>
                <c:pt idx="9823">
                  <c:v>4.8941785884805524E-3</c:v>
                </c:pt>
                <c:pt idx="9824">
                  <c:v>8.8683296663801502E-3</c:v>
                </c:pt>
                <c:pt idx="9825">
                  <c:v>3.6341290328768109E-3</c:v>
                </c:pt>
                <c:pt idx="9826">
                  <c:v>6.3744670590671799E-3</c:v>
                </c:pt>
                <c:pt idx="9827">
                  <c:v>8.6921302687046811E-3</c:v>
                </c:pt>
                <c:pt idx="9828">
                  <c:v>4.828900660739586E-3</c:v>
                </c:pt>
                <c:pt idx="9829">
                  <c:v>3.9880000971917861E-3</c:v>
                </c:pt>
                <c:pt idx="9830">
                  <c:v>5.8763698797247661E-4</c:v>
                </c:pt>
                <c:pt idx="9831">
                  <c:v>1.0400884449137001E-2</c:v>
                </c:pt>
                <c:pt idx="9832">
                  <c:v>5.8258955717539153E-3</c:v>
                </c:pt>
                <c:pt idx="9833">
                  <c:v>7.2825180820713991E-3</c:v>
                </c:pt>
                <c:pt idx="9834">
                  <c:v>5.5207153787242922E-4</c:v>
                </c:pt>
                <c:pt idx="9835">
                  <c:v>1.6020754729942244E-2</c:v>
                </c:pt>
                <c:pt idx="9836">
                  <c:v>6.5041215737481478E-3</c:v>
                </c:pt>
                <c:pt idx="9837">
                  <c:v>1.6116177208165404E-2</c:v>
                </c:pt>
                <c:pt idx="9838">
                  <c:v>1.7718482745334514E-2</c:v>
                </c:pt>
                <c:pt idx="9839">
                  <c:v>2.114173087885254E-2</c:v>
                </c:pt>
                <c:pt idx="9840">
                  <c:v>8.6048553046053043E-3</c:v>
                </c:pt>
                <c:pt idx="9841">
                  <c:v>2.2544662398750949E-2</c:v>
                </c:pt>
                <c:pt idx="9842">
                  <c:v>1.8371741466836216E-2</c:v>
                </c:pt>
                <c:pt idx="9843">
                  <c:v>5.3289712081735045E-3</c:v>
                </c:pt>
                <c:pt idx="9844">
                  <c:v>4.3583517384981774E-3</c:v>
                </c:pt>
                <c:pt idx="9845">
                  <c:v>9.9296405477503004E-4</c:v>
                </c:pt>
                <c:pt idx="9846">
                  <c:v>8.9785243512362951E-3</c:v>
                </c:pt>
                <c:pt idx="9847">
                  <c:v>4.7855197690458273E-3</c:v>
                </c:pt>
                <c:pt idx="9848">
                  <c:v>1.4299465134873686E-3</c:v>
                </c:pt>
                <c:pt idx="9849">
                  <c:v>2.557830368181874E-3</c:v>
                </c:pt>
                <c:pt idx="9850">
                  <c:v>6.8240271608077377E-3</c:v>
                </c:pt>
                <c:pt idx="9851">
                  <c:v>3.8136836002532191E-3</c:v>
                </c:pt>
                <c:pt idx="9852">
                  <c:v>2.4218096563467261E-3</c:v>
                </c:pt>
                <c:pt idx="9853">
                  <c:v>3.6164709777633318E-3</c:v>
                </c:pt>
                <c:pt idx="9854">
                  <c:v>5.3482756923498645E-3</c:v>
                </c:pt>
                <c:pt idx="9855">
                  <c:v>2.9570102161826854E-3</c:v>
                </c:pt>
                <c:pt idx="9856">
                  <c:v>4.4542504121445482E-2</c:v>
                </c:pt>
                <c:pt idx="9857">
                  <c:v>6.3663356181475296E-3</c:v>
                </c:pt>
                <c:pt idx="9858">
                  <c:v>3.9544586229827004E-2</c:v>
                </c:pt>
                <c:pt idx="9859">
                  <c:v>4.9056683326312737E-2</c:v>
                </c:pt>
                <c:pt idx="9860">
                  <c:v>2.6210385695786473E-2</c:v>
                </c:pt>
                <c:pt idx="9861">
                  <c:v>9.759357544340623E-2</c:v>
                </c:pt>
                <c:pt idx="9862">
                  <c:v>4.0499624388019555E-3</c:v>
                </c:pt>
                <c:pt idx="9863">
                  <c:v>2.6661846365809315E-3</c:v>
                </c:pt>
                <c:pt idx="9864">
                  <c:v>1.4689027860656069E-3</c:v>
                </c:pt>
                <c:pt idx="9865">
                  <c:v>3.3329824617730703E-3</c:v>
                </c:pt>
                <c:pt idx="9866">
                  <c:v>7.2697057125956609E-3</c:v>
                </c:pt>
                <c:pt idx="9867">
                  <c:v>5.7641861094615372E-3</c:v>
                </c:pt>
                <c:pt idx="9868">
                  <c:v>4.452932182685534E-3</c:v>
                </c:pt>
                <c:pt idx="9869">
                  <c:v>4.1773017184419973E-3</c:v>
                </c:pt>
                <c:pt idx="9870">
                  <c:v>6.9783358312946013E-3</c:v>
                </c:pt>
                <c:pt idx="9871">
                  <c:v>2.057150380540944E-3</c:v>
                </c:pt>
                <c:pt idx="9872">
                  <c:v>4.9122141806100189E-3</c:v>
                </c:pt>
                <c:pt idx="9873">
                  <c:v>4.0099461042354184E-3</c:v>
                </c:pt>
                <c:pt idx="9874">
                  <c:v>3.7542708823514711E-3</c:v>
                </c:pt>
                <c:pt idx="9875">
                  <c:v>1.0492897468224963E-3</c:v>
                </c:pt>
                <c:pt idx="9876">
                  <c:v>2.5422872999603806E-3</c:v>
                </c:pt>
                <c:pt idx="9877">
                  <c:v>5.5271231058761344E-3</c:v>
                </c:pt>
                <c:pt idx="9878">
                  <c:v>3.8171275665498652E-3</c:v>
                </c:pt>
                <c:pt idx="9879">
                  <c:v>7.9819267261969414E-3</c:v>
                </c:pt>
                <c:pt idx="9880">
                  <c:v>4.7034707897684307E-3</c:v>
                </c:pt>
                <c:pt idx="9881">
                  <c:v>3.5109383651351937E-3</c:v>
                </c:pt>
                <c:pt idx="9882">
                  <c:v>2.8996372070985341E-3</c:v>
                </c:pt>
                <c:pt idx="9883">
                  <c:v>6.9313223764403764E-3</c:v>
                </c:pt>
                <c:pt idx="9884">
                  <c:v>3.0902761496993327E-3</c:v>
                </c:pt>
                <c:pt idx="9885">
                  <c:v>2.6916504413534523E-3</c:v>
                </c:pt>
                <c:pt idx="9886">
                  <c:v>4.0310304389973885E-3</c:v>
                </c:pt>
                <c:pt idx="9887">
                  <c:v>2.4791137720245896E-4</c:v>
                </c:pt>
                <c:pt idx="9888">
                  <c:v>4.0717728771773743E-4</c:v>
                </c:pt>
                <c:pt idx="9889">
                  <c:v>2.4865867370366611E-3</c:v>
                </c:pt>
                <c:pt idx="9890">
                  <c:v>2.5997075335009818E-3</c:v>
                </c:pt>
                <c:pt idx="9891">
                  <c:v>4.6184367145960702E-4</c:v>
                </c:pt>
                <c:pt idx="9892">
                  <c:v>6.9951904383430653E-4</c:v>
                </c:pt>
                <c:pt idx="9893">
                  <c:v>9.8819769944644641E-4</c:v>
                </c:pt>
                <c:pt idx="9894">
                  <c:v>5.1659213373416108E-3</c:v>
                </c:pt>
                <c:pt idx="9895">
                  <c:v>7.2206542592455466E-4</c:v>
                </c:pt>
                <c:pt idx="9896">
                  <c:v>4.9405543122046265E-3</c:v>
                </c:pt>
                <c:pt idx="9897">
                  <c:v>5.2676201507128586E-3</c:v>
                </c:pt>
                <c:pt idx="9898">
                  <c:v>5.4001790500641427E-3</c:v>
                </c:pt>
                <c:pt idx="9899">
                  <c:v>2.1237105779325386E-3</c:v>
                </c:pt>
                <c:pt idx="9900">
                  <c:v>1.6519504744758658E-3</c:v>
                </c:pt>
                <c:pt idx="9901">
                  <c:v>7.0424368872153966E-3</c:v>
                </c:pt>
                <c:pt idx="9902">
                  <c:v>4.5810128557934489E-3</c:v>
                </c:pt>
                <c:pt idx="9903">
                  <c:v>1.4498579338314509E-3</c:v>
                </c:pt>
                <c:pt idx="9904">
                  <c:v>1.1840084983516302E-3</c:v>
                </c:pt>
                <c:pt idx="9905">
                  <c:v>6.1364524372188572E-3</c:v>
                </c:pt>
                <c:pt idx="9906">
                  <c:v>1.7064420199821082E-4</c:v>
                </c:pt>
                <c:pt idx="9907">
                  <c:v>1.6307503192461729E-3</c:v>
                </c:pt>
                <c:pt idx="9908">
                  <c:v>4.6791728936156063E-4</c:v>
                </c:pt>
                <c:pt idx="9909">
                  <c:v>2.7749434064824117E-3</c:v>
                </c:pt>
                <c:pt idx="9910">
                  <c:v>2.4382207639363205E-3</c:v>
                </c:pt>
                <c:pt idx="9911">
                  <c:v>4.1498719241239625E-4</c:v>
                </c:pt>
                <c:pt idx="9912">
                  <c:v>5.1616297245037652E-3</c:v>
                </c:pt>
                <c:pt idx="9913">
                  <c:v>1.6960780908138321E-3</c:v>
                </c:pt>
                <c:pt idx="9914">
                  <c:v>7.7192346079120043E-4</c:v>
                </c:pt>
                <c:pt idx="9915">
                  <c:v>2.0644984357090397E-3</c:v>
                </c:pt>
                <c:pt idx="9916">
                  <c:v>9.0189362434652046E-3</c:v>
                </c:pt>
                <c:pt idx="9917">
                  <c:v>2.8901462043228604E-3</c:v>
                </c:pt>
                <c:pt idx="9918">
                  <c:v>7.5805049540707302E-4</c:v>
                </c:pt>
                <c:pt idx="9919">
                  <c:v>2.7270411140594914E-3</c:v>
                </c:pt>
                <c:pt idx="9920">
                  <c:v>3.0497400315926218E-3</c:v>
                </c:pt>
                <c:pt idx="9921">
                  <c:v>9.3576433805119907E-4</c:v>
                </c:pt>
                <c:pt idx="9922">
                  <c:v>3.0238639352388541E-3</c:v>
                </c:pt>
                <c:pt idx="9923">
                  <c:v>3.218759264344635E-3</c:v>
                </c:pt>
                <c:pt idx="9924">
                  <c:v>1.7432291176886227E-3</c:v>
                </c:pt>
                <c:pt idx="9925">
                  <c:v>4.778951915214178E-4</c:v>
                </c:pt>
                <c:pt idx="9926">
                  <c:v>1.3017990105455312E-3</c:v>
                </c:pt>
                <c:pt idx="9927">
                  <c:v>4.3536221755564363E-3</c:v>
                </c:pt>
                <c:pt idx="9928">
                  <c:v>2.1111772943798093E-3</c:v>
                </c:pt>
                <c:pt idx="9929">
                  <c:v>1.7726418444495705E-3</c:v>
                </c:pt>
                <c:pt idx="9930">
                  <c:v>1.3611152242246896E-3</c:v>
                </c:pt>
                <c:pt idx="9931">
                  <c:v>2.7680388974387045E-3</c:v>
                </c:pt>
                <c:pt idx="9932">
                  <c:v>1.0098625294426766E-3</c:v>
                </c:pt>
                <c:pt idx="9933">
                  <c:v>2.6584151107209453E-3</c:v>
                </c:pt>
                <c:pt idx="9934">
                  <c:v>1.3322267286361699E-2</c:v>
                </c:pt>
                <c:pt idx="9935">
                  <c:v>1.651517828591142E-3</c:v>
                </c:pt>
                <c:pt idx="9936">
                  <c:v>2.8740782552243572E-4</c:v>
                </c:pt>
                <c:pt idx="9937">
                  <c:v>1.0176616036805869E-3</c:v>
                </c:pt>
                <c:pt idx="9938">
                  <c:v>6.4758832934801933E-3</c:v>
                </c:pt>
                <c:pt idx="9939">
                  <c:v>1.1225022269938907E-3</c:v>
                </c:pt>
                <c:pt idx="9940">
                  <c:v>1.6528157649524011E-3</c:v>
                </c:pt>
                <c:pt idx="9941">
                  <c:v>3.0606973283350857E-4</c:v>
                </c:pt>
                <c:pt idx="9942">
                  <c:v>2.3980556390651954E-3</c:v>
                </c:pt>
                <c:pt idx="9943">
                  <c:v>1.0338125375947988E-2</c:v>
                </c:pt>
                <c:pt idx="9944">
                  <c:v>1.9270259874075921E-3</c:v>
                </c:pt>
                <c:pt idx="9945">
                  <c:v>5.6681854137108768E-4</c:v>
                </c:pt>
                <c:pt idx="9946">
                  <c:v>6.2079561475033903E-3</c:v>
                </c:pt>
                <c:pt idx="9947">
                  <c:v>7.4807902780493318E-4</c:v>
                </c:pt>
                <c:pt idx="9948">
                  <c:v>1.3645786943931979E-3</c:v>
                </c:pt>
                <c:pt idx="9949">
                  <c:v>2.1639010820687001E-3</c:v>
                </c:pt>
                <c:pt idx="9950">
                  <c:v>4.643320330028693E-3</c:v>
                </c:pt>
                <c:pt idx="9951">
                  <c:v>1.3061289352809488E-3</c:v>
                </c:pt>
                <c:pt idx="9952">
                  <c:v>3.6205064376565747E-4</c:v>
                </c:pt>
                <c:pt idx="9953">
                  <c:v>4.2770820869028536E-3</c:v>
                </c:pt>
                <c:pt idx="9954">
                  <c:v>3.8265983330470323E-3</c:v>
                </c:pt>
                <c:pt idx="9955">
                  <c:v>1.9495445837313736E-4</c:v>
                </c:pt>
                <c:pt idx="9956">
                  <c:v>2.0199759607197054E-3</c:v>
                </c:pt>
                <c:pt idx="9957">
                  <c:v>4.8362019689439338E-3</c:v>
                </c:pt>
                <c:pt idx="9958">
                  <c:v>2.6502137937383045E-3</c:v>
                </c:pt>
                <c:pt idx="9959">
                  <c:v>4.2448280098181341E-3</c:v>
                </c:pt>
                <c:pt idx="9960">
                  <c:v>1.6956454888869071E-3</c:v>
                </c:pt>
                <c:pt idx="9961">
                  <c:v>4.3411530809070713E-3</c:v>
                </c:pt>
                <c:pt idx="9962">
                  <c:v>6.948846168201228E-3</c:v>
                </c:pt>
                <c:pt idx="9963">
                  <c:v>1.3827614596355535E-3</c:v>
                </c:pt>
                <c:pt idx="9964">
                  <c:v>3.7550234548507718E-4</c:v>
                </c:pt>
                <c:pt idx="9965">
                  <c:v>9.6242390364125272E-3</c:v>
                </c:pt>
                <c:pt idx="9966">
                  <c:v>2.3276497377545642E-3</c:v>
                </c:pt>
                <c:pt idx="9967">
                  <c:v>3.968204708190373E-3</c:v>
                </c:pt>
                <c:pt idx="9968">
                  <c:v>2.6424439821522193E-3</c:v>
                </c:pt>
                <c:pt idx="9969">
                  <c:v>4.1407385168655371E-3</c:v>
                </c:pt>
                <c:pt idx="9970">
                  <c:v>1.2974690426403425E-3</c:v>
                </c:pt>
                <c:pt idx="9971">
                  <c:v>5.7646146776299196E-3</c:v>
                </c:pt>
                <c:pt idx="9972">
                  <c:v>2.9850468997021733E-3</c:v>
                </c:pt>
                <c:pt idx="9973">
                  <c:v>8.0799843107019157E-3</c:v>
                </c:pt>
                <c:pt idx="9974">
                  <c:v>7.9966806216939356E-4</c:v>
                </c:pt>
                <c:pt idx="9975">
                  <c:v>2.684744607962372E-3</c:v>
                </c:pt>
                <c:pt idx="9976">
                  <c:v>3.7193944142970949E-3</c:v>
                </c:pt>
                <c:pt idx="9977">
                  <c:v>1.2073798064915386E-2</c:v>
                </c:pt>
                <c:pt idx="9978">
                  <c:v>9.0652989404374253E-3</c:v>
                </c:pt>
                <c:pt idx="9979">
                  <c:v>8.4617715679523239E-3</c:v>
                </c:pt>
                <c:pt idx="9980">
                  <c:v>1.0946675443917465E-2</c:v>
                </c:pt>
                <c:pt idx="9981">
                  <c:v>1.1666003241938639E-2</c:v>
                </c:pt>
                <c:pt idx="9982">
                  <c:v>1.1007652947283179E-2</c:v>
                </c:pt>
                <c:pt idx="9983">
                  <c:v>1.207971144224808E-2</c:v>
                </c:pt>
                <c:pt idx="9984">
                  <c:v>1.4427285637566562E-2</c:v>
                </c:pt>
                <c:pt idx="9985">
                  <c:v>1.0015281721622233E-2</c:v>
                </c:pt>
                <c:pt idx="9986">
                  <c:v>1.2227941950924474E-2</c:v>
                </c:pt>
                <c:pt idx="9987">
                  <c:v>1.8695090751093674E-2</c:v>
                </c:pt>
                <c:pt idx="9988">
                  <c:v>1.1786479904534599E-2</c:v>
                </c:pt>
                <c:pt idx="9989">
                  <c:v>2.5958221932626188E-3</c:v>
                </c:pt>
                <c:pt idx="9990">
                  <c:v>1.7233311435162976E-3</c:v>
                </c:pt>
                <c:pt idx="9991">
                  <c:v>2.6476238719881661E-3</c:v>
                </c:pt>
                <c:pt idx="9992">
                  <c:v>6.492569771924462E-3</c:v>
                </c:pt>
                <c:pt idx="9993">
                  <c:v>1.7112188867834301E-3</c:v>
                </c:pt>
                <c:pt idx="9994">
                  <c:v>0.18377760009280647</c:v>
                </c:pt>
                <c:pt idx="9995">
                  <c:v>4.837919905976735E-3</c:v>
                </c:pt>
                <c:pt idx="9996">
                  <c:v>5.1457503882480788E-3</c:v>
                </c:pt>
                <c:pt idx="9997">
                  <c:v>3.9230162004651346E-3</c:v>
                </c:pt>
                <c:pt idx="9998">
                  <c:v>4.9839197213144733E-3</c:v>
                </c:pt>
                <c:pt idx="9999">
                  <c:v>5.5013942009020985E-3</c:v>
                </c:pt>
                <c:pt idx="10000">
                  <c:v>3.8761012512757995E-3</c:v>
                </c:pt>
                <c:pt idx="10001">
                  <c:v>2.6351056991256228E-3</c:v>
                </c:pt>
                <c:pt idx="10002">
                  <c:v>3.1342578703563791E-3</c:v>
                </c:pt>
                <c:pt idx="10003">
                  <c:v>3.4639788774312669E-3</c:v>
                </c:pt>
                <c:pt idx="10004">
                  <c:v>2.5915051077855301E-3</c:v>
                </c:pt>
                <c:pt idx="10005">
                  <c:v>2.0761686207419528E-3</c:v>
                </c:pt>
                <c:pt idx="10006">
                  <c:v>1.0775130299913931E-2</c:v>
                </c:pt>
                <c:pt idx="10007">
                  <c:v>7.1006279224689314E-2</c:v>
                </c:pt>
                <c:pt idx="10008">
                  <c:v>5.9642814401254188E-3</c:v>
                </c:pt>
                <c:pt idx="10009">
                  <c:v>6.0541862087854967E-4</c:v>
                </c:pt>
                <c:pt idx="10010">
                  <c:v>5.5991559318112633E-3</c:v>
                </c:pt>
                <c:pt idx="10011">
                  <c:v>7.4942944897607618E-3</c:v>
                </c:pt>
                <c:pt idx="10012">
                  <c:v>4.666951861342126E-3</c:v>
                </c:pt>
                <c:pt idx="10013">
                  <c:v>1.2112937026289865E-3</c:v>
                </c:pt>
                <c:pt idx="10014">
                  <c:v>9.4759668699687088E-3</c:v>
                </c:pt>
                <c:pt idx="10015">
                  <c:v>3.5023223257283544E-3</c:v>
                </c:pt>
                <c:pt idx="10016">
                  <c:v>3.716380267054638E-3</c:v>
                </c:pt>
                <c:pt idx="10017">
                  <c:v>4.4000556549340505E-3</c:v>
                </c:pt>
                <c:pt idx="10018">
                  <c:v>8.8066254508099E-3</c:v>
                </c:pt>
                <c:pt idx="10019">
                  <c:v>4.2043995170069608E-3</c:v>
                </c:pt>
                <c:pt idx="10020">
                  <c:v>1.1086404560466691E-3</c:v>
                </c:pt>
                <c:pt idx="10021">
                  <c:v>4.4976357690953636E-3</c:v>
                </c:pt>
                <c:pt idx="10022">
                  <c:v>5.6171622716548117E-3</c:v>
                </c:pt>
                <c:pt idx="10023">
                  <c:v>3.9776721807200602E-3</c:v>
                </c:pt>
                <c:pt idx="10024">
                  <c:v>2.773217289512291E-3</c:v>
                </c:pt>
                <c:pt idx="10025">
                  <c:v>1.1002148385343679E-2</c:v>
                </c:pt>
                <c:pt idx="10026">
                  <c:v>2.4369251727257494E-3</c:v>
                </c:pt>
                <c:pt idx="10027">
                  <c:v>3.6599687950840737E-3</c:v>
                </c:pt>
                <c:pt idx="10028">
                  <c:v>2.7520717998372043E-3</c:v>
                </c:pt>
                <c:pt idx="10029">
                  <c:v>1.4044401979618301E-2</c:v>
                </c:pt>
                <c:pt idx="10030">
                  <c:v>3.1954799088988093E-3</c:v>
                </c:pt>
                <c:pt idx="10031">
                  <c:v>3.9854181410994638E-3</c:v>
                </c:pt>
                <c:pt idx="10032">
                  <c:v>2.6359690329763054E-3</c:v>
                </c:pt>
                <c:pt idx="10033">
                  <c:v>7.0697837917698151E-3</c:v>
                </c:pt>
                <c:pt idx="10034">
                  <c:v>5.0856611579741303E-3</c:v>
                </c:pt>
                <c:pt idx="10035">
                  <c:v>6.145260045710934E-4</c:v>
                </c:pt>
                <c:pt idx="10036">
                  <c:v>2.9880661268982807E-3</c:v>
                </c:pt>
                <c:pt idx="10037">
                  <c:v>6.4339503382916325E-3</c:v>
                </c:pt>
                <c:pt idx="10038">
                  <c:v>4.9186552820021335E-3</c:v>
                </c:pt>
                <c:pt idx="10039">
                  <c:v>6.177985965511854E-3</c:v>
                </c:pt>
                <c:pt idx="10040">
                  <c:v>6.8539527948887694E-3</c:v>
                </c:pt>
                <c:pt idx="10041">
                  <c:v>2.2822901979045718E-3</c:v>
                </c:pt>
                <c:pt idx="10042">
                  <c:v>4.198377930106495E-3</c:v>
                </c:pt>
                <c:pt idx="10043">
                  <c:v>2.9147361022374813E-3</c:v>
                </c:pt>
                <c:pt idx="10044">
                  <c:v>3.6367130782826319E-3</c:v>
                </c:pt>
                <c:pt idx="10045">
                  <c:v>4.3286836282453636E-3</c:v>
                </c:pt>
                <c:pt idx="10046">
                  <c:v>2.5301978623027016E-3</c:v>
                </c:pt>
                <c:pt idx="10047">
                  <c:v>3.9324846581294893E-3</c:v>
                </c:pt>
                <c:pt idx="10048">
                  <c:v>3.6074263300186521E-3</c:v>
                </c:pt>
                <c:pt idx="10049">
                  <c:v>3.926889685369553E-3</c:v>
                </c:pt>
                <c:pt idx="10050">
                  <c:v>2.146615299558249E-3</c:v>
                </c:pt>
                <c:pt idx="10051">
                  <c:v>2.779690192775922E-3</c:v>
                </c:pt>
                <c:pt idx="10052">
                  <c:v>4.6398829092596091E-3</c:v>
                </c:pt>
                <c:pt idx="10053">
                  <c:v>7.2722682167297697E-3</c:v>
                </c:pt>
                <c:pt idx="10054">
                  <c:v>4.0400662691255458E-3</c:v>
                </c:pt>
                <c:pt idx="10055">
                  <c:v>4.2831025826596033E-3</c:v>
                </c:pt>
                <c:pt idx="10056">
                  <c:v>1.9732872979868555E-3</c:v>
                </c:pt>
                <c:pt idx="10057">
                  <c:v>7.159503729089081E-3</c:v>
                </c:pt>
                <c:pt idx="10058">
                  <c:v>3.3183290898569358E-3</c:v>
                </c:pt>
                <c:pt idx="10059">
                  <c:v>2.9522653675906232E-3</c:v>
                </c:pt>
                <c:pt idx="10060">
                  <c:v>7.6116663596123594E-3</c:v>
                </c:pt>
                <c:pt idx="10061">
                  <c:v>3.2670383942890071E-3</c:v>
                </c:pt>
                <c:pt idx="10062">
                  <c:v>2.9975549900120857E-3</c:v>
                </c:pt>
                <c:pt idx="10063">
                  <c:v>1.9590203165112266E-3</c:v>
                </c:pt>
                <c:pt idx="10064">
                  <c:v>6.2828725553159773E-3</c:v>
                </c:pt>
                <c:pt idx="10065">
                  <c:v>4.9195140883033879E-3</c:v>
                </c:pt>
                <c:pt idx="10066">
                  <c:v>2.1734079691939894E-3</c:v>
                </c:pt>
                <c:pt idx="10067">
                  <c:v>4.8555283687635644E-3</c:v>
                </c:pt>
                <c:pt idx="10068">
                  <c:v>6.6581162442476511E-3</c:v>
                </c:pt>
                <c:pt idx="10069">
                  <c:v>3.8989137403266983E-3</c:v>
                </c:pt>
                <c:pt idx="10070">
                  <c:v>6.7610425424734612E-4</c:v>
                </c:pt>
                <c:pt idx="10071">
                  <c:v>9.3085156603242136E-3</c:v>
                </c:pt>
                <c:pt idx="10072">
                  <c:v>1.0284934188925282E-3</c:v>
                </c:pt>
                <c:pt idx="10073">
                  <c:v>3.4394200590474899E-3</c:v>
                </c:pt>
                <c:pt idx="10074">
                  <c:v>4.6532027631909032E-3</c:v>
                </c:pt>
                <c:pt idx="10075">
                  <c:v>5.311810946283157E-3</c:v>
                </c:pt>
                <c:pt idx="10076">
                  <c:v>2.2187788819928809E-3</c:v>
                </c:pt>
                <c:pt idx="10077">
                  <c:v>3.9058002940038136E-3</c:v>
                </c:pt>
                <c:pt idx="10078">
                  <c:v>2.6018660408362077E-3</c:v>
                </c:pt>
                <c:pt idx="10079">
                  <c:v>4.8160156997557923E-3</c:v>
                </c:pt>
                <c:pt idx="10080">
                  <c:v>3.1243408124761846E-3</c:v>
                </c:pt>
                <c:pt idx="10081">
                  <c:v>2.6890607667003409E-3</c:v>
                </c:pt>
                <c:pt idx="10082">
                  <c:v>6.0632238622166041E-3</c:v>
                </c:pt>
                <c:pt idx="10083">
                  <c:v>5.7714717108068511E-3</c:v>
                </c:pt>
                <c:pt idx="10084">
                  <c:v>3.9772418455370443E-3</c:v>
                </c:pt>
                <c:pt idx="10085">
                  <c:v>7.5198093369772078E-4</c:v>
                </c:pt>
                <c:pt idx="10086">
                  <c:v>5.9934096891183525E-3</c:v>
                </c:pt>
                <c:pt idx="10087">
                  <c:v>1.7202013241816885E-2</c:v>
                </c:pt>
                <c:pt idx="10088">
                  <c:v>2.2788340387273919E-3</c:v>
                </c:pt>
                <c:pt idx="10089">
                  <c:v>3.8291812335205459E-3</c:v>
                </c:pt>
                <c:pt idx="10090">
                  <c:v>1.4697684413237687E-3</c:v>
                </c:pt>
                <c:pt idx="10091">
                  <c:v>3.4510533566607378E-3</c:v>
                </c:pt>
                <c:pt idx="10092">
                  <c:v>5.2062604252073527E-3</c:v>
                </c:pt>
                <c:pt idx="10093">
                  <c:v>4.3648010595052078E-3</c:v>
                </c:pt>
                <c:pt idx="10094">
                  <c:v>1.1254862867611324E-2</c:v>
                </c:pt>
                <c:pt idx="10095">
                  <c:v>3.5820141687573593E-3</c:v>
                </c:pt>
                <c:pt idx="10096">
                  <c:v>5.295163285991641E-4</c:v>
                </c:pt>
                <c:pt idx="10097">
                  <c:v>5.2431631173900312E-3</c:v>
                </c:pt>
                <c:pt idx="10098">
                  <c:v>8.9066244256293548E-3</c:v>
                </c:pt>
                <c:pt idx="10099">
                  <c:v>4.1080441062910193E-3</c:v>
                </c:pt>
                <c:pt idx="10100">
                  <c:v>2.6782702894256136E-3</c:v>
                </c:pt>
                <c:pt idx="10101">
                  <c:v>7.894082438353444E-3</c:v>
                </c:pt>
                <c:pt idx="10102">
                  <c:v>6.240064761866961E-3</c:v>
                </c:pt>
                <c:pt idx="10103">
                  <c:v>3.8304726779967977E-3</c:v>
                </c:pt>
                <c:pt idx="10104">
                  <c:v>8.0326636318925632E-3</c:v>
                </c:pt>
                <c:pt idx="10105">
                  <c:v>2.2442709341259793E-3</c:v>
                </c:pt>
                <c:pt idx="10106">
                  <c:v>1.1498971535937923E-2</c:v>
                </c:pt>
                <c:pt idx="10107">
                  <c:v>1.2944380394200919E-3</c:v>
                </c:pt>
                <c:pt idx="10108">
                  <c:v>6.5036937347155242E-3</c:v>
                </c:pt>
                <c:pt idx="10109">
                  <c:v>9.0168093955160112E-3</c:v>
                </c:pt>
                <c:pt idx="10110">
                  <c:v>1.2645333785108973E-2</c:v>
                </c:pt>
                <c:pt idx="10111">
                  <c:v>2.557830368181874E-3</c:v>
                </c:pt>
                <c:pt idx="10112">
                  <c:v>3.1234784489149021E-3</c:v>
                </c:pt>
                <c:pt idx="10113">
                  <c:v>1.1037715093023271E-2</c:v>
                </c:pt>
                <c:pt idx="10114">
                  <c:v>2.0787619526071613E-3</c:v>
                </c:pt>
                <c:pt idx="10115">
                  <c:v>4.264610794474195E-3</c:v>
                </c:pt>
                <c:pt idx="10116">
                  <c:v>4.4877497953095232E-3</c:v>
                </c:pt>
                <c:pt idx="10117">
                  <c:v>1.3054317677402442E-2</c:v>
                </c:pt>
                <c:pt idx="10118">
                  <c:v>5.7984702265783923E-3</c:v>
                </c:pt>
                <c:pt idx="10119">
                  <c:v>4.5810128557934489E-3</c:v>
                </c:pt>
                <c:pt idx="10120">
                  <c:v>6.2379242614285201E-3</c:v>
                </c:pt>
                <c:pt idx="10121">
                  <c:v>1.1206193957250414E-2</c:v>
                </c:pt>
                <c:pt idx="10122">
                  <c:v>2.5746680643717102E-3</c:v>
                </c:pt>
                <c:pt idx="10123">
                  <c:v>2.5802804847045177E-3</c:v>
                </c:pt>
                <c:pt idx="10124">
                  <c:v>4.4679771726002853E-3</c:v>
                </c:pt>
                <c:pt idx="10125">
                  <c:v>1.1436370956216541E-2</c:v>
                </c:pt>
                <c:pt idx="10126">
                  <c:v>2.9069710217293995E-3</c:v>
                </c:pt>
                <c:pt idx="10127">
                  <c:v>5.3392670398518007E-3</c:v>
                </c:pt>
                <c:pt idx="10128">
                  <c:v>8.2811462161922166E-3</c:v>
                </c:pt>
                <c:pt idx="10129">
                  <c:v>4.7266694551653101E-3</c:v>
                </c:pt>
                <c:pt idx="10130">
                  <c:v>1.6445954358178601E-3</c:v>
                </c:pt>
                <c:pt idx="10131">
                  <c:v>3.4962909964356076E-3</c:v>
                </c:pt>
                <c:pt idx="10132">
                  <c:v>1.0205792745717772E-2</c:v>
                </c:pt>
                <c:pt idx="10133">
                  <c:v>2.3397448149725547E-3</c:v>
                </c:pt>
                <c:pt idx="10134">
                  <c:v>1.9239993747873956E-3</c:v>
                </c:pt>
                <c:pt idx="10135">
                  <c:v>7.9337424965581164E-3</c:v>
                </c:pt>
                <c:pt idx="10136">
                  <c:v>5.8198964254834538E-3</c:v>
                </c:pt>
                <c:pt idx="10137">
                  <c:v>6.9535475530090214E-3</c:v>
                </c:pt>
                <c:pt idx="10138">
                  <c:v>5.6896088085174549E-3</c:v>
                </c:pt>
                <c:pt idx="10139">
                  <c:v>5.4992500566827121E-3</c:v>
                </c:pt>
                <c:pt idx="10140">
                  <c:v>2.9535594223477424E-3</c:v>
                </c:pt>
                <c:pt idx="10141">
                  <c:v>1.7012692803249959E-3</c:v>
                </c:pt>
                <c:pt idx="10142">
                  <c:v>3.1096803990479567E-3</c:v>
                </c:pt>
                <c:pt idx="10143">
                  <c:v>7.1744552501229559E-3</c:v>
                </c:pt>
                <c:pt idx="10144">
                  <c:v>2.7676073619787999E-3</c:v>
                </c:pt>
                <c:pt idx="10145">
                  <c:v>0</c:v>
                </c:pt>
                <c:pt idx="10146">
                  <c:v>2.8759093112451358E-3</c:v>
                </c:pt>
                <c:pt idx="10147">
                  <c:v>1.3784322988643521E-3</c:v>
                </c:pt>
                <c:pt idx="10148">
                  <c:v>2.1440223728399523E-3</c:v>
                </c:pt>
                <c:pt idx="10149">
                  <c:v>6.1467291439280796E-3</c:v>
                </c:pt>
                <c:pt idx="10150">
                  <c:v>3.1200289775461087E-3</c:v>
                </c:pt>
                <c:pt idx="10151">
                  <c:v>8.6269950045023015E-3</c:v>
                </c:pt>
                <c:pt idx="10152">
                  <c:v>8.5018056962027026E-3</c:v>
                </c:pt>
                <c:pt idx="10153">
                  <c:v>7.3299205628233107E-3</c:v>
                </c:pt>
                <c:pt idx="10154">
                  <c:v>9.1482290345074758E-3</c:v>
                </c:pt>
                <c:pt idx="10155">
                  <c:v>1.3220331101087718E-2</c:v>
                </c:pt>
                <c:pt idx="10156">
                  <c:v>7.0078234921034013E-3</c:v>
                </c:pt>
                <c:pt idx="10157">
                  <c:v>8.7453381039239667E-3</c:v>
                </c:pt>
                <c:pt idx="10158">
                  <c:v>8.365504196951791E-3</c:v>
                </c:pt>
                <c:pt idx="10159">
                  <c:v>1.1196882761568957E-2</c:v>
                </c:pt>
                <c:pt idx="10160">
                  <c:v>5.6171622716548117E-3</c:v>
                </c:pt>
                <c:pt idx="10161">
                  <c:v>4.2104210204179796E-3</c:v>
                </c:pt>
                <c:pt idx="10162">
                  <c:v>5.7170410288478876E-3</c:v>
                </c:pt>
                <c:pt idx="10163">
                  <c:v>4.7528738644838277E-3</c:v>
                </c:pt>
                <c:pt idx="10164">
                  <c:v>2.5833025271497158E-3</c:v>
                </c:pt>
                <c:pt idx="10165">
                  <c:v>2.3410406961245464E-3</c:v>
                </c:pt>
                <c:pt idx="10166">
                  <c:v>5.1345915883890588E-3</c:v>
                </c:pt>
                <c:pt idx="10167">
                  <c:v>2.2360617925452604E-3</c:v>
                </c:pt>
                <c:pt idx="10168">
                  <c:v>4.7572610185687931E-4</c:v>
                </c:pt>
                <c:pt idx="10169">
                  <c:v>2.7959562621417919E-4</c:v>
                </c:pt>
                <c:pt idx="10170">
                  <c:v>2.6873343083526529E-3</c:v>
                </c:pt>
                <c:pt idx="10171">
                  <c:v>1.0579545895579021E-3</c:v>
                </c:pt>
                <c:pt idx="10172">
                  <c:v>8.4344890585121696E-4</c:v>
                </c:pt>
                <c:pt idx="10173">
                  <c:v>4.4606696711663512E-3</c:v>
                </c:pt>
                <c:pt idx="10174">
                  <c:v>4.0331818441751285E-3</c:v>
                </c:pt>
                <c:pt idx="10175">
                  <c:v>1.7947000823533151E-3</c:v>
                </c:pt>
                <c:pt idx="10176">
                  <c:v>9.5223169539591012E-4</c:v>
                </c:pt>
                <c:pt idx="10177">
                  <c:v>1.7241962917854629E-3</c:v>
                </c:pt>
                <c:pt idx="10178">
                  <c:v>5.5982984684347422E-3</c:v>
                </c:pt>
                <c:pt idx="10179">
                  <c:v>2.1712473313031579E-3</c:v>
                </c:pt>
                <c:pt idx="10180">
                  <c:v>5.6085879172190056E-3</c:v>
                </c:pt>
                <c:pt idx="10181">
                  <c:v>6.7940994645192239E-3</c:v>
                </c:pt>
                <c:pt idx="10182">
                  <c:v>1.7925375595444248E-3</c:v>
                </c:pt>
                <c:pt idx="10183">
                  <c:v>7.1469462209768997E-4</c:v>
                </c:pt>
                <c:pt idx="10184">
                  <c:v>9.8658694058319975E-3</c:v>
                </c:pt>
                <c:pt idx="10185">
                  <c:v>9.3816241290840038E-3</c:v>
                </c:pt>
                <c:pt idx="10186">
                  <c:v>3.6776250817367232E-3</c:v>
                </c:pt>
                <c:pt idx="10187">
                  <c:v>3.0644024685241925E-3</c:v>
                </c:pt>
                <c:pt idx="10188">
                  <c:v>2.475359401909552E-3</c:v>
                </c:pt>
                <c:pt idx="10189">
                  <c:v>4.198377930106495E-3</c:v>
                </c:pt>
                <c:pt idx="10190">
                  <c:v>6.5049772505490541E-3</c:v>
                </c:pt>
                <c:pt idx="10191">
                  <c:v>5.6038719501205567E-3</c:v>
                </c:pt>
                <c:pt idx="10192">
                  <c:v>2.4429712319746664E-3</c:v>
                </c:pt>
                <c:pt idx="10193">
                  <c:v>9.8039809607200251E-4</c:v>
                </c:pt>
                <c:pt idx="10194">
                  <c:v>1.7455129926417096E-4</c:v>
                </c:pt>
                <c:pt idx="10195">
                  <c:v>0</c:v>
                </c:pt>
                <c:pt idx="10196">
                  <c:v>4.5195560387036446E-3</c:v>
                </c:pt>
                <c:pt idx="10197">
                  <c:v>1.1073408923364669E-3</c:v>
                </c:pt>
                <c:pt idx="10198">
                  <c:v>9.3603729360078412E-3</c:v>
                </c:pt>
                <c:pt idx="10199">
                  <c:v>1.2125929553130608E-3</c:v>
                </c:pt>
                <c:pt idx="10200">
                  <c:v>8.9546001348225518E-4</c:v>
                </c:pt>
                <c:pt idx="10201">
                  <c:v>1.987553810794144E-3</c:v>
                </c:pt>
                <c:pt idx="10202">
                  <c:v>2.3285136830126342E-3</c:v>
                </c:pt>
                <c:pt idx="10203">
                  <c:v>1.6056549204125719E-3</c:v>
                </c:pt>
                <c:pt idx="10204">
                  <c:v>1.1277002770349424E-3</c:v>
                </c:pt>
                <c:pt idx="10205">
                  <c:v>4.3037436488027724E-3</c:v>
                </c:pt>
                <c:pt idx="10206">
                  <c:v>1.1996002535585818E-3</c:v>
                </c:pt>
                <c:pt idx="10207">
                  <c:v>2.0899995450798289E-3</c:v>
                </c:pt>
                <c:pt idx="10208">
                  <c:v>6.4791811087544775E-4</c:v>
                </c:pt>
                <c:pt idx="10209">
                  <c:v>3.0618150156244113E-3</c:v>
                </c:pt>
                <c:pt idx="10210">
                  <c:v>1.551132332364041E-3</c:v>
                </c:pt>
                <c:pt idx="10211">
                  <c:v>1.3013660156976994E-3</c:v>
                </c:pt>
                <c:pt idx="10212">
                  <c:v>3.404518296387913E-3</c:v>
                </c:pt>
                <c:pt idx="10213">
                  <c:v>7.4374353569677009E-4</c:v>
                </c:pt>
                <c:pt idx="10214">
                  <c:v>6.6699816180507696E-4</c:v>
                </c:pt>
                <c:pt idx="10215">
                  <c:v>1.3697738478571841E-3</c:v>
                </c:pt>
                <c:pt idx="10216">
                  <c:v>1.817622162132088E-3</c:v>
                </c:pt>
                <c:pt idx="10217">
                  <c:v>3.1553847603011465E-3</c:v>
                </c:pt>
                <c:pt idx="10218">
                  <c:v>9.3316417191764494E-4</c:v>
                </c:pt>
                <c:pt idx="10219">
                  <c:v>2.4969501733900666E-3</c:v>
                </c:pt>
                <c:pt idx="10220">
                  <c:v>4.3996257380804482E-3</c:v>
                </c:pt>
                <c:pt idx="10221">
                  <c:v>3.1872887277986112E-3</c:v>
                </c:pt>
                <c:pt idx="10222">
                  <c:v>2.4550630979665233E-3</c:v>
                </c:pt>
                <c:pt idx="10223">
                  <c:v>1.9218374957162389E-3</c:v>
                </c:pt>
                <c:pt idx="10224">
                  <c:v>2.0787619526071613E-3</c:v>
                </c:pt>
                <c:pt idx="10225">
                  <c:v>8.4084818695518836E-4</c:v>
                </c:pt>
                <c:pt idx="10226">
                  <c:v>1.5532960575554318E-3</c:v>
                </c:pt>
                <c:pt idx="10227">
                  <c:v>3.6190551282360333E-3</c:v>
                </c:pt>
                <c:pt idx="10228">
                  <c:v>3.3476353392918978E-3</c:v>
                </c:pt>
                <c:pt idx="10229">
                  <c:v>2.8176569567371217E-4</c:v>
                </c:pt>
                <c:pt idx="10230">
                  <c:v>1.158020995686877E-3</c:v>
                </c:pt>
                <c:pt idx="10231">
                  <c:v>4.457660664248869E-3</c:v>
                </c:pt>
                <c:pt idx="10232">
                  <c:v>1.5749327165893372E-3</c:v>
                </c:pt>
                <c:pt idx="10233">
                  <c:v>9.9643046215814853E-4</c:v>
                </c:pt>
                <c:pt idx="10234">
                  <c:v>1.4247520797801782E-3</c:v>
                </c:pt>
                <c:pt idx="10235">
                  <c:v>3.1178730440274095E-3</c:v>
                </c:pt>
                <c:pt idx="10236">
                  <c:v>5.5515641538389678E-3</c:v>
                </c:pt>
                <c:pt idx="10237">
                  <c:v>3.6052728146966301E-3</c:v>
                </c:pt>
                <c:pt idx="10238">
                  <c:v>1.1289997798241364E-3</c:v>
                </c:pt>
                <c:pt idx="10239">
                  <c:v>7.8006750893480931E-3</c:v>
                </c:pt>
                <c:pt idx="10240">
                  <c:v>2.7361041151742782E-3</c:v>
                </c:pt>
                <c:pt idx="10241">
                  <c:v>6.3057188259125346E-4</c:v>
                </c:pt>
                <c:pt idx="10242">
                  <c:v>1.7925375595444248E-3</c:v>
                </c:pt>
                <c:pt idx="10243">
                  <c:v>9.0440322627043587E-3</c:v>
                </c:pt>
                <c:pt idx="10244">
                  <c:v>1.6294523169381521E-3</c:v>
                </c:pt>
                <c:pt idx="10245">
                  <c:v>2.2066804353641227E-3</c:v>
                </c:pt>
                <c:pt idx="10246">
                  <c:v>5.687036949021642E-3</c:v>
                </c:pt>
                <c:pt idx="10247">
                  <c:v>1.6930498682764675E-3</c:v>
                </c:pt>
                <c:pt idx="10248">
                  <c:v>1.5481030989853788E-3</c:v>
                </c:pt>
                <c:pt idx="10249">
                  <c:v>4.0026308917743038E-3</c:v>
                </c:pt>
                <c:pt idx="10250">
                  <c:v>5.8490343597037012E-3</c:v>
                </c:pt>
                <c:pt idx="10251">
                  <c:v>2.9017942242575779E-3</c:v>
                </c:pt>
                <c:pt idx="10252">
                  <c:v>2.110312916664304E-3</c:v>
                </c:pt>
                <c:pt idx="10253">
                  <c:v>1.2047973809044372E-3</c:v>
                </c:pt>
                <c:pt idx="10254">
                  <c:v>6.7804175450113255E-3</c:v>
                </c:pt>
                <c:pt idx="10255">
                  <c:v>4.7490077395875019E-3</c:v>
                </c:pt>
                <c:pt idx="10256">
                  <c:v>2.4909048655710705E-3</c:v>
                </c:pt>
                <c:pt idx="10257">
                  <c:v>2.5772584212301651E-3</c:v>
                </c:pt>
                <c:pt idx="10258">
                  <c:v>4.9250962878665053E-3</c:v>
                </c:pt>
                <c:pt idx="10259">
                  <c:v>3.1756483625718515E-3</c:v>
                </c:pt>
                <c:pt idx="10260">
                  <c:v>1.499199693497032E-3</c:v>
                </c:pt>
                <c:pt idx="10261">
                  <c:v>1.2961700438504273E-3</c:v>
                </c:pt>
                <c:pt idx="10262">
                  <c:v>1.0915336451812483E-2</c:v>
                </c:pt>
                <c:pt idx="10263">
                  <c:v>5.9761213998656495E-4</c:v>
                </c:pt>
                <c:pt idx="10264">
                  <c:v>7.6281937724263272E-4</c:v>
                </c:pt>
                <c:pt idx="10265">
                  <c:v>2.3056185529645879E-3</c:v>
                </c:pt>
                <c:pt idx="10266">
                  <c:v>5.7410428003173411E-3</c:v>
                </c:pt>
                <c:pt idx="10267">
                  <c:v>0</c:v>
                </c:pt>
                <c:pt idx="10268">
                  <c:v>2.9548534732490158E-3</c:v>
                </c:pt>
                <c:pt idx="10269">
                  <c:v>6.7487764551646262E-3</c:v>
                </c:pt>
                <c:pt idx="10270">
                  <c:v>3.033352016250174E-3</c:v>
                </c:pt>
                <c:pt idx="10271">
                  <c:v>0</c:v>
                </c:pt>
                <c:pt idx="10272">
                  <c:v>1.6554116260379045E-3</c:v>
                </c:pt>
                <c:pt idx="10273">
                  <c:v>8.1234636322678831E-3</c:v>
                </c:pt>
                <c:pt idx="10274">
                  <c:v>3.776659237617757E-3</c:v>
                </c:pt>
                <c:pt idx="10275">
                  <c:v>2.1003724492812945E-3</c:v>
                </c:pt>
                <c:pt idx="10276">
                  <c:v>1.9075688239384146E-3</c:v>
                </c:pt>
                <c:pt idx="10277">
                  <c:v>5.511257127968446E-3</c:v>
                </c:pt>
                <c:pt idx="10278">
                  <c:v>6.6923298679995259E-3</c:v>
                </c:pt>
                <c:pt idx="10279">
                  <c:v>7.5886212951520636E-3</c:v>
                </c:pt>
                <c:pt idx="10280">
                  <c:v>4.5023637639657671E-3</c:v>
                </c:pt>
                <c:pt idx="10281">
                  <c:v>9.3059651427446176E-3</c:v>
                </c:pt>
                <c:pt idx="10282">
                  <c:v>5.7727573924747713E-3</c:v>
                </c:pt>
                <c:pt idx="10283">
                  <c:v>3.9156995236066935E-3</c:v>
                </c:pt>
                <c:pt idx="10284">
                  <c:v>1.1605540954120714E-2</c:v>
                </c:pt>
                <c:pt idx="10285">
                  <c:v>4.548781343906092E-3</c:v>
                </c:pt>
                <c:pt idx="10286">
                  <c:v>2.879792146551723E-3</c:v>
                </c:pt>
                <c:pt idx="10287">
                  <c:v>3.6147482022391452E-3</c:v>
                </c:pt>
                <c:pt idx="10288">
                  <c:v>7.7908640192706257E-3</c:v>
                </c:pt>
                <c:pt idx="10289">
                  <c:v>9.9503446158199713E-3</c:v>
                </c:pt>
                <c:pt idx="10290">
                  <c:v>3.5454008135142913E-3</c:v>
                </c:pt>
                <c:pt idx="10291">
                  <c:v>1.2232586533966881E-2</c:v>
                </c:pt>
                <c:pt idx="10292">
                  <c:v>1.481193070061595E-2</c:v>
                </c:pt>
                <c:pt idx="10293">
                  <c:v>6.0679348439154754E-3</c:v>
                </c:pt>
                <c:pt idx="10294">
                  <c:v>3.2230701191604825E-3</c:v>
                </c:pt>
                <c:pt idx="10295">
                  <c:v>6.1638564480671967E-3</c:v>
                </c:pt>
                <c:pt idx="10296">
                  <c:v>7.3239421566787307E-3</c:v>
                </c:pt>
                <c:pt idx="10297">
                  <c:v>5.5532792634512516E-3</c:v>
                </c:pt>
                <c:pt idx="10298">
                  <c:v>2.7178328637547552E-4</c:v>
                </c:pt>
                <c:pt idx="10299">
                  <c:v>1.1494319100542645E-2</c:v>
                </c:pt>
                <c:pt idx="10300">
                  <c:v>3.7120743061338896E-3</c:v>
                </c:pt>
                <c:pt idx="10301">
                  <c:v>8.29989385024784E-3</c:v>
                </c:pt>
                <c:pt idx="10302">
                  <c:v>3.4144289585879418E-3</c:v>
                </c:pt>
                <c:pt idx="10303">
                  <c:v>5.4374941601482863E-3</c:v>
                </c:pt>
                <c:pt idx="10304">
                  <c:v>6.8740445636201446E-3</c:v>
                </c:pt>
                <c:pt idx="10305">
                  <c:v>4.7086261558380556E-3</c:v>
                </c:pt>
                <c:pt idx="10306">
                  <c:v>8.995540343139952E-3</c:v>
                </c:pt>
                <c:pt idx="10307">
                  <c:v>9.9729705968087316E-4</c:v>
                </c:pt>
                <c:pt idx="10308">
                  <c:v>5.5888662595562017E-3</c:v>
                </c:pt>
                <c:pt idx="10309">
                  <c:v>2.0290537289678876E-3</c:v>
                </c:pt>
                <c:pt idx="10310">
                  <c:v>8.2479097849052028E-3</c:v>
                </c:pt>
                <c:pt idx="10311">
                  <c:v>5.9492881974354626E-3</c:v>
                </c:pt>
                <c:pt idx="10312">
                  <c:v>1.0130701496380522E-2</c:v>
                </c:pt>
                <c:pt idx="10313">
                  <c:v>2.9445009580737532E-3</c:v>
                </c:pt>
                <c:pt idx="10314">
                  <c:v>2.0977792464575698E-3</c:v>
                </c:pt>
                <c:pt idx="10315">
                  <c:v>5.1560505644124384E-3</c:v>
                </c:pt>
                <c:pt idx="10316">
                  <c:v>1.4875139938772773E-3</c:v>
                </c:pt>
                <c:pt idx="10317">
                  <c:v>3.6685817075153533E-3</c:v>
                </c:pt>
                <c:pt idx="10318">
                  <c:v>3.9854181410994638E-3</c:v>
                </c:pt>
                <c:pt idx="10319">
                  <c:v>8.0770002760707591E-3</c:v>
                </c:pt>
                <c:pt idx="10320">
                  <c:v>1.0172283254528025E-3</c:v>
                </c:pt>
                <c:pt idx="10321">
                  <c:v>8.8410957830579728E-3</c:v>
                </c:pt>
                <c:pt idx="10322">
                  <c:v>1.3165205785179857E-3</c:v>
                </c:pt>
                <c:pt idx="10323">
                  <c:v>7.6522056348814985E-3</c:v>
                </c:pt>
                <c:pt idx="10324">
                  <c:v>2.6959665314599066E-3</c:v>
                </c:pt>
                <c:pt idx="10325">
                  <c:v>2.8677121004835305E-3</c:v>
                </c:pt>
                <c:pt idx="10326">
                  <c:v>2.0558536520171823E-3</c:v>
                </c:pt>
                <c:pt idx="10327">
                  <c:v>2.5198352193078217E-3</c:v>
                </c:pt>
                <c:pt idx="10328">
                  <c:v>4.1699893243827297E-3</c:v>
                </c:pt>
                <c:pt idx="10329">
                  <c:v>9.3127664896713556E-3</c:v>
                </c:pt>
                <c:pt idx="10330">
                  <c:v>6.3487883058282093E-3</c:v>
                </c:pt>
                <c:pt idx="10331">
                  <c:v>3.3364302421372708E-3</c:v>
                </c:pt>
                <c:pt idx="10332">
                  <c:v>2.41058064646272E-3</c:v>
                </c:pt>
                <c:pt idx="10333">
                  <c:v>3.216172730915806E-3</c:v>
                </c:pt>
                <c:pt idx="10334">
                  <c:v>2.8983429916607287E-3</c:v>
                </c:pt>
                <c:pt idx="10335">
                  <c:v>1.7133818145468357E-3</c:v>
                </c:pt>
                <c:pt idx="10336">
                  <c:v>2.9121477574945405E-3</c:v>
                </c:pt>
                <c:pt idx="10337">
                  <c:v>5.298082248556147E-3</c:v>
                </c:pt>
                <c:pt idx="10338">
                  <c:v>4.3669508118915077E-3</c:v>
                </c:pt>
                <c:pt idx="10339">
                  <c:v>4.152353043912399E-3</c:v>
                </c:pt>
                <c:pt idx="10340">
                  <c:v>2.1479117571120833E-3</c:v>
                </c:pt>
                <c:pt idx="10341">
                  <c:v>4.0164006011420006E-3</c:v>
                </c:pt>
                <c:pt idx="10342">
                  <c:v>1.8288665136752004E-3</c:v>
                </c:pt>
                <c:pt idx="10343">
                  <c:v>2.6312206755593182E-3</c:v>
                </c:pt>
                <c:pt idx="10344">
                  <c:v>2.3751641749321603E-3</c:v>
                </c:pt>
                <c:pt idx="10345">
                  <c:v>2.8004028349325506E-3</c:v>
                </c:pt>
                <c:pt idx="10346">
                  <c:v>9.5743178378432197E-4</c:v>
                </c:pt>
                <c:pt idx="10347">
                  <c:v>1.5000652883682044E-3</c:v>
                </c:pt>
                <c:pt idx="10348">
                  <c:v>5.7650432453752896E-3</c:v>
                </c:pt>
                <c:pt idx="10349">
                  <c:v>3.1709059021047111E-3</c:v>
                </c:pt>
                <c:pt idx="10350">
                  <c:v>2.0679563010046927E-3</c:v>
                </c:pt>
                <c:pt idx="10351">
                  <c:v>2.9401873372491187E-3</c:v>
                </c:pt>
                <c:pt idx="10352">
                  <c:v>7.4699625328667378E-3</c:v>
                </c:pt>
                <c:pt idx="10353">
                  <c:v>3.9096739324597524E-3</c:v>
                </c:pt>
                <c:pt idx="10354">
                  <c:v>2.0787619526071613E-3</c:v>
                </c:pt>
                <c:pt idx="10355">
                  <c:v>7.0176522674677833E-3</c:v>
                </c:pt>
                <c:pt idx="10356">
                  <c:v>3.0872576329889789E-3</c:v>
                </c:pt>
                <c:pt idx="10357">
                  <c:v>1.9905799805353215E-3</c:v>
                </c:pt>
                <c:pt idx="10358">
                  <c:v>8.3391286042478537E-4</c:v>
                </c:pt>
                <c:pt idx="10359">
                  <c:v>3.0182572444788659E-3</c:v>
                </c:pt>
                <c:pt idx="10360">
                  <c:v>1.9395645864240774E-3</c:v>
                </c:pt>
                <c:pt idx="10361">
                  <c:v>3.7775203051566364E-3</c:v>
                </c:pt>
                <c:pt idx="10362">
                  <c:v>3.1967732391605308E-3</c:v>
                </c:pt>
                <c:pt idx="10363">
                  <c:v>8.907900859451607E-3</c:v>
                </c:pt>
                <c:pt idx="10364">
                  <c:v>3.3135881872043407E-3</c:v>
                </c:pt>
                <c:pt idx="10365">
                  <c:v>1.2775506342237875E-3</c:v>
                </c:pt>
                <c:pt idx="10366">
                  <c:v>1.3113713282427166E-4</c:v>
                </c:pt>
                <c:pt idx="10367">
                  <c:v>8.1550047294661095E-3</c:v>
                </c:pt>
                <c:pt idx="10368">
                  <c:v>4.2512790168729997E-3</c:v>
                </c:pt>
                <c:pt idx="10369">
                  <c:v>2.2870423718639988E-3</c:v>
                </c:pt>
                <c:pt idx="10370">
                  <c:v>3.975090163225569E-3</c:v>
                </c:pt>
                <c:pt idx="10371">
                  <c:v>7.344866218143258E-3</c:v>
                </c:pt>
                <c:pt idx="10372">
                  <c:v>1.3713783020436927E-2</c:v>
                </c:pt>
                <c:pt idx="10373">
                  <c:v>1.6151740355022533E-3</c:v>
                </c:pt>
                <c:pt idx="10374">
                  <c:v>5.4147623483065043E-3</c:v>
                </c:pt>
                <c:pt idx="10375">
                  <c:v>2.7874575493476647E-3</c:v>
                </c:pt>
                <c:pt idx="10376">
                  <c:v>4.6536324290967993E-3</c:v>
                </c:pt>
                <c:pt idx="10377">
                  <c:v>6.357758238239498E-4</c:v>
                </c:pt>
                <c:pt idx="10378">
                  <c:v>8.4383456325084275E-3</c:v>
                </c:pt>
                <c:pt idx="10379">
                  <c:v>3.7331731067264187E-3</c:v>
                </c:pt>
                <c:pt idx="10380">
                  <c:v>1.9412940199484206E-3</c:v>
                </c:pt>
                <c:pt idx="10381">
                  <c:v>1.7406337814535456E-3</c:v>
                </c:pt>
                <c:pt idx="10382">
                  <c:v>5.7941848599453779E-3</c:v>
                </c:pt>
                <c:pt idx="10383">
                  <c:v>6.8492503318045286E-3</c:v>
                </c:pt>
                <c:pt idx="10384">
                  <c:v>1.6173374416519591E-3</c:v>
                </c:pt>
                <c:pt idx="10385">
                  <c:v>4.584450742546025E-3</c:v>
                </c:pt>
                <c:pt idx="10386">
                  <c:v>1.0458970914574314E-2</c:v>
                </c:pt>
                <c:pt idx="10387">
                  <c:v>3.854148479497417E-3</c:v>
                </c:pt>
                <c:pt idx="10388">
                  <c:v>7.2813540573501794E-4</c:v>
                </c:pt>
                <c:pt idx="10389">
                  <c:v>1.5039604439388531E-3</c:v>
                </c:pt>
                <c:pt idx="10390">
                  <c:v>8.3620961113216215E-3</c:v>
                </c:pt>
                <c:pt idx="10391">
                  <c:v>4.8147271826317669E-3</c:v>
                </c:pt>
                <c:pt idx="10392">
                  <c:v>2.7373988141802122E-3</c:v>
                </c:pt>
                <c:pt idx="10393">
                  <c:v>6.2670341635187683E-3</c:v>
                </c:pt>
                <c:pt idx="10394">
                  <c:v>4.6553510884697214E-3</c:v>
                </c:pt>
                <c:pt idx="10395">
                  <c:v>8.3446292526892767E-3</c:v>
                </c:pt>
                <c:pt idx="10396">
                  <c:v>3.8778229903690159E-3</c:v>
                </c:pt>
                <c:pt idx="10397">
                  <c:v>4.8091435642511173E-3</c:v>
                </c:pt>
                <c:pt idx="10398">
                  <c:v>1.0404276573122588E-2</c:v>
                </c:pt>
                <c:pt idx="10399">
                  <c:v>9.9773035779373003E-4</c:v>
                </c:pt>
                <c:pt idx="10400">
                  <c:v>8.8415213256187643E-3</c:v>
                </c:pt>
                <c:pt idx="10401">
                  <c:v>7.7857451121127906E-3</c:v>
                </c:pt>
                <c:pt idx="10402">
                  <c:v>6.565298216273995E-3</c:v>
                </c:pt>
                <c:pt idx="10403">
                  <c:v>9.1699158315405888E-3</c:v>
                </c:pt>
                <c:pt idx="10404">
                  <c:v>8.6780823124921608E-3</c:v>
                </c:pt>
                <c:pt idx="10405">
                  <c:v>8.7602351296929559E-3</c:v>
                </c:pt>
                <c:pt idx="10406">
                  <c:v>4.5612444788192185E-3</c:v>
                </c:pt>
                <c:pt idx="10407">
                  <c:v>4.7545921311682674E-3</c:v>
                </c:pt>
                <c:pt idx="10408">
                  <c:v>6.0991973367528875E-3</c:v>
                </c:pt>
                <c:pt idx="10409">
                  <c:v>1.04521874944616E-2</c:v>
                </c:pt>
                <c:pt idx="10410">
                  <c:v>9.9686376113561543E-4</c:v>
                </c:pt>
                <c:pt idx="10411">
                  <c:v>4.142889378642098E-3</c:v>
                </c:pt>
                <c:pt idx="10412">
                  <c:v>4.0934168625661876E-3</c:v>
                </c:pt>
                <c:pt idx="10413">
                  <c:v>4.0977190442140739E-3</c:v>
                </c:pt>
                <c:pt idx="10414">
                  <c:v>2.6277672921018081E-3</c:v>
                </c:pt>
                <c:pt idx="10415">
                  <c:v>2.9825786921618141E-4</c:v>
                </c:pt>
                <c:pt idx="10416">
                  <c:v>7.0291901112438573E-3</c:v>
                </c:pt>
                <c:pt idx="10417">
                  <c:v>8.3424990999181204E-3</c:v>
                </c:pt>
                <c:pt idx="10418">
                  <c:v>2.9225010439102805E-3</c:v>
                </c:pt>
                <c:pt idx="10419">
                  <c:v>6.6645315040136915E-3</c:v>
                </c:pt>
                <c:pt idx="10420">
                  <c:v>1.2363458908047372E-2</c:v>
                </c:pt>
                <c:pt idx="10421">
                  <c:v>2.5738046086521311E-3</c:v>
                </c:pt>
                <c:pt idx="10422">
                  <c:v>8.7261840342008849E-3</c:v>
                </c:pt>
                <c:pt idx="10423">
                  <c:v>5.1341623980532599E-3</c:v>
                </c:pt>
                <c:pt idx="10424">
                  <c:v>5.2131262797849142E-3</c:v>
                </c:pt>
                <c:pt idx="10425">
                  <c:v>2.6912188299836647E-3</c:v>
                </c:pt>
                <c:pt idx="10426">
                  <c:v>2.8280181545905585E-3</c:v>
                </c:pt>
                <c:pt idx="10427">
                  <c:v>4.1476212370549648E-3</c:v>
                </c:pt>
                <c:pt idx="10428">
                  <c:v>9.8140275413992839E-2</c:v>
                </c:pt>
                <c:pt idx="10429">
                  <c:v>2.2650091269674809E-3</c:v>
                </c:pt>
                <c:pt idx="10430">
                  <c:v>1.020694539172024E-3</c:v>
                </c:pt>
                <c:pt idx="10431">
                  <c:v>8.8542874085577386E-3</c:v>
                </c:pt>
                <c:pt idx="10432">
                  <c:v>2.1435902168817473E-3</c:v>
                </c:pt>
                <c:pt idx="10433">
                  <c:v>2.2442709341259793E-3</c:v>
                </c:pt>
                <c:pt idx="10434">
                  <c:v>2.4412437950637419E-3</c:v>
                </c:pt>
                <c:pt idx="10435">
                  <c:v>7.0214982494515672E-3</c:v>
                </c:pt>
                <c:pt idx="10436">
                  <c:v>1.9953353475258249E-3</c:v>
                </c:pt>
                <c:pt idx="10437">
                  <c:v>2.5979807199085947E-3</c:v>
                </c:pt>
                <c:pt idx="10438">
                  <c:v>1.0654796484636159E-2</c:v>
                </c:pt>
                <c:pt idx="10439">
                  <c:v>8.4856221312953964E-3</c:v>
                </c:pt>
                <c:pt idx="10440">
                  <c:v>8.4856221312953964E-3</c:v>
                </c:pt>
                <c:pt idx="10441">
                  <c:v>2.0768864013668384E-2</c:v>
                </c:pt>
                <c:pt idx="10442">
                  <c:v>9.7433164104844419E-4</c:v>
                </c:pt>
                <c:pt idx="10443">
                  <c:v>5.5009653729051226E-3</c:v>
                </c:pt>
                <c:pt idx="10444">
                  <c:v>1.2056635627489232E-3</c:v>
                </c:pt>
                <c:pt idx="10445">
                  <c:v>2.2118655251889704E-3</c:v>
                </c:pt>
                <c:pt idx="10446">
                  <c:v>2.7136620524529807E-3</c:v>
                </c:pt>
                <c:pt idx="10447">
                  <c:v>5.3452728289468945E-3</c:v>
                </c:pt>
                <c:pt idx="10448">
                  <c:v>1.9482116851774786E-3</c:v>
                </c:pt>
                <c:pt idx="10449">
                  <c:v>8.5471850777041466E-4</c:v>
                </c:pt>
                <c:pt idx="10450">
                  <c:v>1.5225701494863437E-3</c:v>
                </c:pt>
                <c:pt idx="10451">
                  <c:v>6.4010001757634702E-3</c:v>
                </c:pt>
                <c:pt idx="10452">
                  <c:v>3.1273590714558197E-3</c:v>
                </c:pt>
                <c:pt idx="10453">
                  <c:v>7.4972825308329922E-3</c:v>
                </c:pt>
                <c:pt idx="10454">
                  <c:v>2.8707321435016628E-3</c:v>
                </c:pt>
                <c:pt idx="10455">
                  <c:v>1.4818874337675344E-3</c:v>
                </c:pt>
                <c:pt idx="10456">
                  <c:v>2.6143851718267771E-3</c:v>
                </c:pt>
                <c:pt idx="10457">
                  <c:v>2.9488145360539609E-3</c:v>
                </c:pt>
                <c:pt idx="10458">
                  <c:v>5.2011109630414436E-3</c:v>
                </c:pt>
                <c:pt idx="10459">
                  <c:v>4.1859043773553204E-3</c:v>
                </c:pt>
                <c:pt idx="10460">
                  <c:v>9.292638935280848E-4</c:v>
                </c:pt>
                <c:pt idx="10461">
                  <c:v>1.6413229510960284E-4</c:v>
                </c:pt>
                <c:pt idx="10462">
                  <c:v>3.946686957579811E-3</c:v>
                </c:pt>
                <c:pt idx="10463">
                  <c:v>1.1216358792716164E-3</c:v>
                </c:pt>
                <c:pt idx="10464">
                  <c:v>3.1696124948075739E-3</c:v>
                </c:pt>
                <c:pt idx="10465">
                  <c:v>1.1255344304120104E-3</c:v>
                </c:pt>
                <c:pt idx="10466">
                  <c:v>3.5010299050740614E-3</c:v>
                </c:pt>
                <c:pt idx="10467">
                  <c:v>6.8347571304973233E-4</c:v>
                </c:pt>
                <c:pt idx="10468">
                  <c:v>1.9017933683856131E-4</c:v>
                </c:pt>
                <c:pt idx="10469">
                  <c:v>2.4118763162667856E-3</c:v>
                </c:pt>
                <c:pt idx="10470">
                  <c:v>8.5428506695024243E-4</c:v>
                </c:pt>
                <c:pt idx="10471">
                  <c:v>4.8700524981195177E-4</c:v>
                </c:pt>
                <c:pt idx="10472">
                  <c:v>8.4648305821286701E-4</c:v>
                </c:pt>
                <c:pt idx="10473">
                  <c:v>2.2935225252815163E-3</c:v>
                </c:pt>
                <c:pt idx="10474">
                  <c:v>1.8193127597623482E-4</c:v>
                </c:pt>
                <c:pt idx="10475">
                  <c:v>2.7443038103600031E-3</c:v>
                </c:pt>
                <c:pt idx="10476">
                  <c:v>0.18765803770515874</c:v>
                </c:pt>
                <c:pt idx="10477">
                  <c:v>4.2190230233240455E-3</c:v>
                </c:pt>
                <c:pt idx="10478">
                  <c:v>9.1322904769094613E-4</c:v>
                </c:pt>
                <c:pt idx="10479">
                  <c:v>2.0554214083155571E-3</c:v>
                </c:pt>
                <c:pt idx="10480">
                  <c:v>3.5677999385728839E-3</c:v>
                </c:pt>
                <c:pt idx="10481">
                  <c:v>2.7447353689760245E-3</c:v>
                </c:pt>
                <c:pt idx="10482">
                  <c:v>1.3459622174671244E-3</c:v>
                </c:pt>
                <c:pt idx="10483">
                  <c:v>4.7739221629416947E-3</c:v>
                </c:pt>
                <c:pt idx="10484">
                  <c:v>7.0334633089303147E-3</c:v>
                </c:pt>
                <c:pt idx="10485">
                  <c:v>3.8989137403266983E-3</c:v>
                </c:pt>
                <c:pt idx="10486">
                  <c:v>6.1231779977980027E-3</c:v>
                </c:pt>
                <c:pt idx="10487">
                  <c:v>5.0118258630108253E-3</c:v>
                </c:pt>
                <c:pt idx="10488">
                  <c:v>2.3108024616979024E-3</c:v>
                </c:pt>
                <c:pt idx="10489">
                  <c:v>1.5991644950413403E-3</c:v>
                </c:pt>
                <c:pt idx="10490">
                  <c:v>4.4969618083071956E-4</c:v>
                </c:pt>
                <c:pt idx="10491">
                  <c:v>3.3222079717152371E-3</c:v>
                </c:pt>
                <c:pt idx="10492">
                  <c:v>1.0453905111898081E-3</c:v>
                </c:pt>
                <c:pt idx="10493">
                  <c:v>2.2978425738431397E-3</c:v>
                </c:pt>
                <c:pt idx="10494">
                  <c:v>2.0178145593598069E-3</c:v>
                </c:pt>
                <c:pt idx="10495">
                  <c:v>4.1600958893848339E-3</c:v>
                </c:pt>
                <c:pt idx="10496">
                  <c:v>6.1712807911871613E-4</c:v>
                </c:pt>
                <c:pt idx="10497">
                  <c:v>4.9312238841834805E-2</c:v>
                </c:pt>
                <c:pt idx="10498">
                  <c:v>2.4770867031287495E-3</c:v>
                </c:pt>
                <c:pt idx="10499">
                  <c:v>2.3570229124067056E-3</c:v>
                </c:pt>
                <c:pt idx="10500">
                  <c:v>2.3371530410684575E-3</c:v>
                </c:pt>
                <c:pt idx="10501">
                  <c:v>1.6887237994518555E-3</c:v>
                </c:pt>
                <c:pt idx="10502">
                  <c:v>2.4481535014816186E-3</c:v>
                </c:pt>
                <c:pt idx="10503">
                  <c:v>1.0228609086981402E-3</c:v>
                </c:pt>
                <c:pt idx="10504">
                  <c:v>3.9686350523282267E-3</c:v>
                </c:pt>
                <c:pt idx="10505">
                  <c:v>9.6783177377272433E-4</c:v>
                </c:pt>
                <c:pt idx="10506">
                  <c:v>2.7041669844909814E-3</c:v>
                </c:pt>
                <c:pt idx="10507">
                  <c:v>3.7593626441021145E-4</c:v>
                </c:pt>
                <c:pt idx="10508">
                  <c:v>4.9134330564203185E-4</c:v>
                </c:pt>
                <c:pt idx="10509">
                  <c:v>1.1538726678542428E-2</c:v>
                </c:pt>
                <c:pt idx="10510">
                  <c:v>5.5597520517833298E-4</c:v>
                </c:pt>
                <c:pt idx="10511">
                  <c:v>5.4383034721922324E-4</c:v>
                </c:pt>
                <c:pt idx="10512">
                  <c:v>1.4269164347085312E-3</c:v>
                </c:pt>
                <c:pt idx="10513">
                  <c:v>3.7460902338690327E-3</c:v>
                </c:pt>
                <c:pt idx="10514">
                  <c:v>3.3210826343549489E-4</c:v>
                </c:pt>
                <c:pt idx="10515">
                  <c:v>1.9767458895816143E-3</c:v>
                </c:pt>
                <c:pt idx="10516">
                  <c:v>1.6199335148063029E-3</c:v>
                </c:pt>
                <c:pt idx="10517">
                  <c:v>6.2683183789666109E-3</c:v>
                </c:pt>
                <c:pt idx="10518">
                  <c:v>4.6751151824259872E-3</c:v>
                </c:pt>
                <c:pt idx="10519">
                  <c:v>4.8136571245103852E-4</c:v>
                </c:pt>
                <c:pt idx="10520">
                  <c:v>8.5090455168425911E-3</c:v>
                </c:pt>
                <c:pt idx="10521">
                  <c:v>3.0782019569767323E-3</c:v>
                </c:pt>
                <c:pt idx="10522">
                  <c:v>1.3918525567904326E-3</c:v>
                </c:pt>
                <c:pt idx="10523">
                  <c:v>3.1471928229286593E-3</c:v>
                </c:pt>
                <c:pt idx="10524">
                  <c:v>3.5609080231373833E-3</c:v>
                </c:pt>
                <c:pt idx="10525">
                  <c:v>2.475359401909552E-3</c:v>
                </c:pt>
                <c:pt idx="10526">
                  <c:v>2.5081769503760135E-3</c:v>
                </c:pt>
                <c:pt idx="10527">
                  <c:v>1.5593544307425126E-3</c:v>
                </c:pt>
                <c:pt idx="10528">
                  <c:v>2.4265603038980338E-3</c:v>
                </c:pt>
                <c:pt idx="10529">
                  <c:v>6.800068068461302E-4</c:v>
                </c:pt>
                <c:pt idx="10530">
                  <c:v>1.4269164347085312E-3</c:v>
                </c:pt>
                <c:pt idx="10531">
                  <c:v>1.1588872708298019E-3</c:v>
                </c:pt>
                <c:pt idx="10532">
                  <c:v>6.4305270611545468E-3</c:v>
                </c:pt>
                <c:pt idx="10533">
                  <c:v>2.1111772943798093E-3</c:v>
                </c:pt>
                <c:pt idx="10534">
                  <c:v>1.0761501966071118E-3</c:v>
                </c:pt>
                <c:pt idx="10535">
                  <c:v>7.1642894013491183E-4</c:v>
                </c:pt>
                <c:pt idx="10536">
                  <c:v>3.8162665775360585E-3</c:v>
                </c:pt>
                <c:pt idx="10537">
                  <c:v>1.2303490191198443E-3</c:v>
                </c:pt>
                <c:pt idx="10538">
                  <c:v>1.8582734413855031E-3</c:v>
                </c:pt>
                <c:pt idx="10539">
                  <c:v>4.5384667548727768E-3</c:v>
                </c:pt>
                <c:pt idx="10540">
                  <c:v>5.4374941601482863E-3</c:v>
                </c:pt>
                <c:pt idx="10541">
                  <c:v>2.813347734660764E-3</c:v>
                </c:pt>
                <c:pt idx="10542">
                  <c:v>2.6933768825433573E-3</c:v>
                </c:pt>
                <c:pt idx="10543">
                  <c:v>1.2814477860146481E-3</c:v>
                </c:pt>
                <c:pt idx="10544">
                  <c:v>5.2058313056922772E-3</c:v>
                </c:pt>
                <c:pt idx="10545">
                  <c:v>5.8785987948178197E-3</c:v>
                </c:pt>
                <c:pt idx="10546">
                  <c:v>1.8353535071390446E-3</c:v>
                </c:pt>
                <c:pt idx="10547">
                  <c:v>2.1868036841982521E-3</c:v>
                </c:pt>
                <c:pt idx="10548">
                  <c:v>4.9517180987238797E-3</c:v>
                </c:pt>
                <c:pt idx="10549">
                  <c:v>2.8784183247479374E-4</c:v>
                </c:pt>
                <c:pt idx="10550">
                  <c:v>5.9347228374486043E-3</c:v>
                </c:pt>
                <c:pt idx="10551">
                  <c:v>8.3390908337520973E-3</c:v>
                </c:pt>
                <c:pt idx="10552">
                  <c:v>3.9479780526816832E-3</c:v>
                </c:pt>
                <c:pt idx="10553">
                  <c:v>3.5333392676500618E-3</c:v>
                </c:pt>
                <c:pt idx="10554">
                  <c:v>3.1769417518932377E-3</c:v>
                </c:pt>
                <c:pt idx="10555">
                  <c:v>4.0843821423814566E-3</c:v>
                </c:pt>
                <c:pt idx="10556">
                  <c:v>7.0125342247484589E-4</c:v>
                </c:pt>
                <c:pt idx="10557">
                  <c:v>1.7159773136438139E-3</c:v>
                </c:pt>
                <c:pt idx="10558">
                  <c:v>3.8649097807895443E-3</c:v>
                </c:pt>
                <c:pt idx="10559">
                  <c:v>6.0165395540374023E-3</c:v>
                </c:pt>
                <c:pt idx="10560">
                  <c:v>6.431479671632431E-4</c:v>
                </c:pt>
                <c:pt idx="10561">
                  <c:v>1.0640198766124929E-3</c:v>
                </c:pt>
                <c:pt idx="10562">
                  <c:v>5.0262204801217267E-4</c:v>
                </c:pt>
                <c:pt idx="10563">
                  <c:v>8.2240461629547179E-3</c:v>
                </c:pt>
                <c:pt idx="10564">
                  <c:v>8.5211785636033247E-4</c:v>
                </c:pt>
                <c:pt idx="10565">
                  <c:v>3.4364039680572604E-3</c:v>
                </c:pt>
                <c:pt idx="10566">
                  <c:v>3.9488387806172797E-3</c:v>
                </c:pt>
                <c:pt idx="10567">
                  <c:v>7.573684026122917E-3</c:v>
                </c:pt>
                <c:pt idx="10568">
                  <c:v>3.4781965059750828E-3</c:v>
                </c:pt>
                <c:pt idx="10569">
                  <c:v>5.3615738378477509E-3</c:v>
                </c:pt>
                <c:pt idx="10570">
                  <c:v>3.0242952161453874E-3</c:v>
                </c:pt>
                <c:pt idx="10571">
                  <c:v>9.6176514321226795E-4</c:v>
                </c:pt>
                <c:pt idx="10572">
                  <c:v>1.4567834312746275E-3</c:v>
                </c:pt>
                <c:pt idx="10573">
                  <c:v>4.0886844135291228E-3</c:v>
                </c:pt>
                <c:pt idx="10574">
                  <c:v>6.9252469897140914E-2</c:v>
                </c:pt>
                <c:pt idx="10575">
                  <c:v>5.828661821032147E-4</c:v>
                </c:pt>
                <c:pt idx="10576">
                  <c:v>1.4264835645858025E-3</c:v>
                </c:pt>
                <c:pt idx="10577">
                  <c:v>2.1444545283680334E-3</c:v>
                </c:pt>
                <c:pt idx="10578">
                  <c:v>3.5165386990871727E-3</c:v>
                </c:pt>
                <c:pt idx="10579">
                  <c:v>1.9521028234468205E-3</c:v>
                </c:pt>
                <c:pt idx="10580">
                  <c:v>8.55585388113091E-4</c:v>
                </c:pt>
                <c:pt idx="10581">
                  <c:v>2.4123082053425422E-3</c:v>
                </c:pt>
                <c:pt idx="10582">
                  <c:v>5.5219774468205076E-3</c:v>
                </c:pt>
                <c:pt idx="10583">
                  <c:v>1.8448675889499147E-3</c:v>
                </c:pt>
                <c:pt idx="10584">
                  <c:v>2.1578511364506209E-3</c:v>
                </c:pt>
                <c:pt idx="10585">
                  <c:v>2.2624169070175337E-3</c:v>
                </c:pt>
                <c:pt idx="10586">
                  <c:v>6.6978893272846389E-3</c:v>
                </c:pt>
                <c:pt idx="10587">
                  <c:v>7.3692051845466924E-3</c:v>
                </c:pt>
                <c:pt idx="10588">
                  <c:v>0</c:v>
                </c:pt>
                <c:pt idx="10589">
                  <c:v>5.1496129829374229E-3</c:v>
                </c:pt>
                <c:pt idx="10590">
                  <c:v>2.6100682708711459E-3</c:v>
                </c:pt>
                <c:pt idx="10591">
                  <c:v>1.5052588213656933E-3</c:v>
                </c:pt>
                <c:pt idx="10592">
                  <c:v>1.1432940538774294E-3</c:v>
                </c:pt>
                <c:pt idx="10593">
                  <c:v>4.3721101742027696E-3</c:v>
                </c:pt>
                <c:pt idx="10594">
                  <c:v>2.3038905696363089E-3</c:v>
                </c:pt>
                <c:pt idx="10595">
                  <c:v>2.4567904799111802E-3</c:v>
                </c:pt>
                <c:pt idx="10596">
                  <c:v>3.2265187722045922E-3</c:v>
                </c:pt>
                <c:pt idx="10597">
                  <c:v>6.2032466844400905E-3</c:v>
                </c:pt>
                <c:pt idx="10598">
                  <c:v>3.9346365515368579E-3</c:v>
                </c:pt>
                <c:pt idx="10599">
                  <c:v>3.2049642413780294E-3</c:v>
                </c:pt>
                <c:pt idx="10600">
                  <c:v>2.1958779660637565E-3</c:v>
                </c:pt>
                <c:pt idx="10601">
                  <c:v>5.7521860290408837E-3</c:v>
                </c:pt>
                <c:pt idx="10602">
                  <c:v>5.0440230292660496E-3</c:v>
                </c:pt>
                <c:pt idx="10603">
                  <c:v>9.1106213122328433E-4</c:v>
                </c:pt>
                <c:pt idx="10604">
                  <c:v>6.7410796252717117E-3</c:v>
                </c:pt>
                <c:pt idx="10605">
                  <c:v>1.622096897247104E-3</c:v>
                </c:pt>
                <c:pt idx="10606">
                  <c:v>2.5772584212301651E-3</c:v>
                </c:pt>
                <c:pt idx="10607">
                  <c:v>1.1337645901174625E-3</c:v>
                </c:pt>
                <c:pt idx="10608">
                  <c:v>5.651886676072625E-3</c:v>
                </c:pt>
                <c:pt idx="10609">
                  <c:v>4.2529992692375536E-3</c:v>
                </c:pt>
                <c:pt idx="10610">
                  <c:v>2.5409920191653075E-3</c:v>
                </c:pt>
                <c:pt idx="10611">
                  <c:v>1.6156067175944009E-3</c:v>
                </c:pt>
                <c:pt idx="10612">
                  <c:v>6.5665815500546435E-3</c:v>
                </c:pt>
                <c:pt idx="10613">
                  <c:v>4.230205372391954E-3</c:v>
                </c:pt>
                <c:pt idx="10614">
                  <c:v>2.3773237985666249E-3</c:v>
                </c:pt>
                <c:pt idx="10615">
                  <c:v>2.6951033168701108E-3</c:v>
                </c:pt>
                <c:pt idx="10616">
                  <c:v>1.6783410584518112E-3</c:v>
                </c:pt>
                <c:pt idx="10617">
                  <c:v>2.8098957991268092E-3</c:v>
                </c:pt>
                <c:pt idx="10618">
                  <c:v>1.8621653855522904E-3</c:v>
                </c:pt>
                <c:pt idx="10619">
                  <c:v>6.2584726301526047E-3</c:v>
                </c:pt>
                <c:pt idx="10620">
                  <c:v>5.7384712453926543E-3</c:v>
                </c:pt>
                <c:pt idx="10621">
                  <c:v>8.4214854834996312E-4</c:v>
                </c:pt>
                <c:pt idx="10622">
                  <c:v>4.3394331776874405E-3</c:v>
                </c:pt>
                <c:pt idx="10623">
                  <c:v>5.8811695201521925E-3</c:v>
                </c:pt>
                <c:pt idx="10624">
                  <c:v>4.0357635163204017E-3</c:v>
                </c:pt>
                <c:pt idx="10625">
                  <c:v>1.7034322576411217E-3</c:v>
                </c:pt>
                <c:pt idx="10626">
                  <c:v>4.0125279145092922E-3</c:v>
                </c:pt>
                <c:pt idx="10627">
                  <c:v>5.5657136055805084E-3</c:v>
                </c:pt>
                <c:pt idx="10628">
                  <c:v>3.4243393946304978E-3</c:v>
                </c:pt>
                <c:pt idx="10629">
                  <c:v>2.4045341362661766E-3</c:v>
                </c:pt>
                <c:pt idx="10630">
                  <c:v>2.9884974433556683E-3</c:v>
                </c:pt>
                <c:pt idx="10631">
                  <c:v>2.369681804871656E-2</c:v>
                </c:pt>
                <c:pt idx="10632">
                  <c:v>4.0396359957632884E-3</c:v>
                </c:pt>
                <c:pt idx="10633">
                  <c:v>2.2295807816870169E-3</c:v>
                </c:pt>
                <c:pt idx="10634">
                  <c:v>1.9140546419524976E-3</c:v>
                </c:pt>
                <c:pt idx="10635">
                  <c:v>6.7611766164130515E-3</c:v>
                </c:pt>
                <c:pt idx="10636">
                  <c:v>8.8206692497695641E-3</c:v>
                </c:pt>
                <c:pt idx="10637">
                  <c:v>9.1818218478679665E-3</c:v>
                </c:pt>
                <c:pt idx="10638">
                  <c:v>5.6244503398272631E-3</c:v>
                </c:pt>
                <c:pt idx="10639">
                  <c:v>5.2920758068300761E-3</c:v>
                </c:pt>
                <c:pt idx="10640">
                  <c:v>9.7440093796166017E-3</c:v>
                </c:pt>
                <c:pt idx="10641">
                  <c:v>7.1338713525587356E-3</c:v>
                </c:pt>
                <c:pt idx="10642">
                  <c:v>7.7810527275480913E-3</c:v>
                </c:pt>
                <c:pt idx="10643">
                  <c:v>5.7354710787354043E-3</c:v>
                </c:pt>
                <c:pt idx="10644">
                  <c:v>4.8387788719448264E-3</c:v>
                </c:pt>
                <c:pt idx="10645">
                  <c:v>5.1594839021813612E-3</c:v>
                </c:pt>
                <c:pt idx="10646">
                  <c:v>7.1941050378348751E-3</c:v>
                </c:pt>
                <c:pt idx="10647">
                  <c:v>7.4067784543873976E-3</c:v>
                </c:pt>
                <c:pt idx="10648">
                  <c:v>5.5219774468205076E-3</c:v>
                </c:pt>
                <c:pt idx="10649">
                  <c:v>2.9897913901577792E-3</c:v>
                </c:pt>
                <c:pt idx="10650">
                  <c:v>1.2355016719077957E-2</c:v>
                </c:pt>
                <c:pt idx="10651">
                  <c:v>5.4044683062632977E-3</c:v>
                </c:pt>
                <c:pt idx="10652">
                  <c:v>7.6065453398536419E-3</c:v>
                </c:pt>
                <c:pt idx="10653">
                  <c:v>5.7689003360527815E-3</c:v>
                </c:pt>
                <c:pt idx="10654">
                  <c:v>1.2849030608290042E-2</c:v>
                </c:pt>
                <c:pt idx="10655">
                  <c:v>7.5975834099722356E-3</c:v>
                </c:pt>
                <c:pt idx="10656">
                  <c:v>4.5522194858126381E-3</c:v>
                </c:pt>
                <c:pt idx="10657">
                  <c:v>5.7440429284847435E-3</c:v>
                </c:pt>
                <c:pt idx="10658">
                  <c:v>9.1091050145767315E-3</c:v>
                </c:pt>
                <c:pt idx="10659">
                  <c:v>1.5017131304904624E-2</c:v>
                </c:pt>
                <c:pt idx="10660">
                  <c:v>1.0800125044041138E-2</c:v>
                </c:pt>
                <c:pt idx="10661">
                  <c:v>2.4916464556482162E-2</c:v>
                </c:pt>
                <c:pt idx="10662">
                  <c:v>2.866599012491013E-2</c:v>
                </c:pt>
                <c:pt idx="10663">
                  <c:v>1.1315797118031394E-2</c:v>
                </c:pt>
                <c:pt idx="10664">
                  <c:v>5.8700296004681662E-3</c:v>
                </c:pt>
                <c:pt idx="10665">
                  <c:v>4.3789892286084618E-3</c:v>
                </c:pt>
                <c:pt idx="10666">
                  <c:v>5.3770163345391387E-3</c:v>
                </c:pt>
                <c:pt idx="10667">
                  <c:v>2.9289717225863847E-3</c:v>
                </c:pt>
                <c:pt idx="10668">
                  <c:v>3.6349903830537557E-3</c:v>
                </c:pt>
                <c:pt idx="10669">
                  <c:v>4.0667423850727783E-3</c:v>
                </c:pt>
                <c:pt idx="10670">
                  <c:v>7.7537505753359224E-3</c:v>
                </c:pt>
                <c:pt idx="10671">
                  <c:v>8.6627567510876788E-3</c:v>
                </c:pt>
                <c:pt idx="10672">
                  <c:v>7.1304535880482526E-3</c:v>
                </c:pt>
                <c:pt idx="10673">
                  <c:v>7.1325896940192786E-3</c:v>
                </c:pt>
                <c:pt idx="10674">
                  <c:v>8.1260211038657309E-3</c:v>
                </c:pt>
                <c:pt idx="10675">
                  <c:v>2.5134981839785037E-2</c:v>
                </c:pt>
                <c:pt idx="10676">
                  <c:v>5.0115928290749998E-2</c:v>
                </c:pt>
                <c:pt idx="10677">
                  <c:v>4.2246142338488715E-3</c:v>
                </c:pt>
                <c:pt idx="10678">
                  <c:v>4.5229924314038562E-4</c:v>
                </c:pt>
                <c:pt idx="10679">
                  <c:v>3.45245824581423E-2</c:v>
                </c:pt>
                <c:pt idx="10680">
                  <c:v>2.2525282692199423E-2</c:v>
                </c:pt>
                <c:pt idx="10681">
                  <c:v>6.2469142923757956E-3</c:v>
                </c:pt>
                <c:pt idx="10682">
                  <c:v>5.1303293484077084E-4</c:v>
                </c:pt>
                <c:pt idx="10683">
                  <c:v>2.1224140481311301E-3</c:v>
                </c:pt>
                <c:pt idx="10684">
                  <c:v>7.1197729005917122E-3</c:v>
                </c:pt>
                <c:pt idx="10685">
                  <c:v>4.4211210594350238E-3</c:v>
                </c:pt>
                <c:pt idx="10686">
                  <c:v>2.4451305184509725E-3</c:v>
                </c:pt>
                <c:pt idx="10687">
                  <c:v>3.1865521755335298E-4</c:v>
                </c:pt>
                <c:pt idx="10688">
                  <c:v>1.4175570287955944E-2</c:v>
                </c:pt>
                <c:pt idx="10689">
                  <c:v>2.17167945974123E-3</c:v>
                </c:pt>
                <c:pt idx="10690">
                  <c:v>4.2938532603575778E-3</c:v>
                </c:pt>
                <c:pt idx="10691">
                  <c:v>1.9957676510339818E-3</c:v>
                </c:pt>
                <c:pt idx="10692">
                  <c:v>8.8747123607537236E-3</c:v>
                </c:pt>
                <c:pt idx="10693">
                  <c:v>6.4574987022859691E-4</c:v>
                </c:pt>
                <c:pt idx="10694">
                  <c:v>2.2559362894498422E-3</c:v>
                </c:pt>
                <c:pt idx="10695">
                  <c:v>5.9835577058952602E-3</c:v>
                </c:pt>
                <c:pt idx="10696">
                  <c:v>3.0462899744895509E-3</c:v>
                </c:pt>
                <c:pt idx="10697">
                  <c:v>3.2903139144257985E-3</c:v>
                </c:pt>
                <c:pt idx="10698">
                  <c:v>1.6813693835511666E-3</c:v>
                </c:pt>
                <c:pt idx="10699">
                  <c:v>5.1599130674939942E-3</c:v>
                </c:pt>
                <c:pt idx="10700">
                  <c:v>3.3687518519795964E-3</c:v>
                </c:pt>
                <c:pt idx="10701">
                  <c:v>1.8011875861724343E-3</c:v>
                </c:pt>
                <c:pt idx="10702">
                  <c:v>7.4634483615528859E-4</c:v>
                </c:pt>
                <c:pt idx="10703">
                  <c:v>9.7686389014667793E-3</c:v>
                </c:pt>
                <c:pt idx="10704">
                  <c:v>8.564522667253244E-4</c:v>
                </c:pt>
                <c:pt idx="10705">
                  <c:v>3.9342061737084174E-3</c:v>
                </c:pt>
                <c:pt idx="10706">
                  <c:v>7.93715394529859E-3</c:v>
                </c:pt>
                <c:pt idx="10707">
                  <c:v>1.7207356883681953E-3</c:v>
                </c:pt>
                <c:pt idx="10708">
                  <c:v>1.1220690533487335E-3</c:v>
                </c:pt>
                <c:pt idx="10709">
                  <c:v>5.4283417594953824E-5</c:v>
                </c:pt>
                <c:pt idx="10710">
                  <c:v>4.0460900514363183E-3</c:v>
                </c:pt>
                <c:pt idx="10711">
                  <c:v>6.7038763576955044E-3</c:v>
                </c:pt>
                <c:pt idx="10712">
                  <c:v>2.2023594798875426E-3</c:v>
                </c:pt>
                <c:pt idx="10713">
                  <c:v>1.9594526561693302E-3</c:v>
                </c:pt>
                <c:pt idx="10714">
                  <c:v>3.7241308891274435E-3</c:v>
                </c:pt>
                <c:pt idx="10715">
                  <c:v>2.8366475818861711E-3</c:v>
                </c:pt>
                <c:pt idx="10716">
                  <c:v>6.048234035007238E-3</c:v>
                </c:pt>
                <c:pt idx="10717">
                  <c:v>1.8154597534585084E-3</c:v>
                </c:pt>
                <c:pt idx="10718">
                  <c:v>7.3692051845466924E-3</c:v>
                </c:pt>
                <c:pt idx="10719">
                  <c:v>1.9067040408848018E-3</c:v>
                </c:pt>
                <c:pt idx="10720">
                  <c:v>1.2567652340279001E-3</c:v>
                </c:pt>
                <c:pt idx="10721">
                  <c:v>1.1086404560466691E-3</c:v>
                </c:pt>
                <c:pt idx="10722">
                  <c:v>6.5079721060756811E-3</c:v>
                </c:pt>
                <c:pt idx="10723">
                  <c:v>2.5232894611130377E-3</c:v>
                </c:pt>
                <c:pt idx="10724">
                  <c:v>1.2862109240454843E-3</c:v>
                </c:pt>
                <c:pt idx="10725">
                  <c:v>1.2697562257271383E-3</c:v>
                </c:pt>
                <c:pt idx="10726">
                  <c:v>5.8987357360181895E-3</c:v>
                </c:pt>
                <c:pt idx="10727">
                  <c:v>1.16375327552603E-4</c:v>
                </c:pt>
                <c:pt idx="10728">
                  <c:v>1.0527557046618994E-3</c:v>
                </c:pt>
                <c:pt idx="10729">
                  <c:v>2.9341481961141355E-3</c:v>
                </c:pt>
                <c:pt idx="10730">
                  <c:v>4.6381641886724259E-3</c:v>
                </c:pt>
                <c:pt idx="10731">
                  <c:v>5.1547630557514145E-3</c:v>
                </c:pt>
                <c:pt idx="10732">
                  <c:v>7.7452459246596188E-4</c:v>
                </c:pt>
                <c:pt idx="10733">
                  <c:v>5.8460349567372389E-3</c:v>
                </c:pt>
                <c:pt idx="10734">
                  <c:v>8.002392745947353E-3</c:v>
                </c:pt>
                <c:pt idx="10735">
                  <c:v>1.3775664615315638E-3</c:v>
                </c:pt>
                <c:pt idx="10736">
                  <c:v>1.5385825136668731E-3</c:v>
                </c:pt>
                <c:pt idx="10737">
                  <c:v>2.140997272102276E-3</c:v>
                </c:pt>
                <c:pt idx="10738">
                  <c:v>1.4412009067215222E-3</c:v>
                </c:pt>
                <c:pt idx="10739">
                  <c:v>2.9608923264729057E-3</c:v>
                </c:pt>
                <c:pt idx="10740">
                  <c:v>1.5377169955612799E-3</c:v>
                </c:pt>
                <c:pt idx="10741">
                  <c:v>2.4261284289953085E-3</c:v>
                </c:pt>
                <c:pt idx="10742">
                  <c:v>1.8410183349577535E-4</c:v>
                </c:pt>
                <c:pt idx="10743">
                  <c:v>2.85261157036812E-3</c:v>
                </c:pt>
                <c:pt idx="10744">
                  <c:v>6.0455124104220968E-4</c:v>
                </c:pt>
                <c:pt idx="10745">
                  <c:v>3.4975834311925151E-3</c:v>
                </c:pt>
                <c:pt idx="10746">
                  <c:v>1.3715055518684696E-3</c:v>
                </c:pt>
                <c:pt idx="10747">
                  <c:v>9.990302495385794E-4</c:v>
                </c:pt>
                <c:pt idx="10748">
                  <c:v>2.8754778829570039E-3</c:v>
                </c:pt>
                <c:pt idx="10749">
                  <c:v>0</c:v>
                </c:pt>
                <c:pt idx="10750">
                  <c:v>1.4026750433756259E-3</c:v>
                </c:pt>
                <c:pt idx="10751">
                  <c:v>1.1389625053624753E-3</c:v>
                </c:pt>
                <c:pt idx="10752">
                  <c:v>2.3850983547312344E-3</c:v>
                </c:pt>
                <c:pt idx="10753">
                  <c:v>1.849700534661197E-4</c:v>
                </c:pt>
                <c:pt idx="10754">
                  <c:v>2.7874575493476647E-3</c:v>
                </c:pt>
                <c:pt idx="10755">
                  <c:v>1.7938350745219055E-3</c:v>
                </c:pt>
                <c:pt idx="10756">
                  <c:v>3.9346365515368579E-3</c:v>
                </c:pt>
                <c:pt idx="10757">
                  <c:v>1.7315499824899724E-3</c:v>
                </c:pt>
                <c:pt idx="10758">
                  <c:v>8.9895848218104844E-3</c:v>
                </c:pt>
                <c:pt idx="10759">
                  <c:v>2.662731531136588E-3</c:v>
                </c:pt>
                <c:pt idx="10760">
                  <c:v>4.8440239551440848E-4</c:v>
                </c:pt>
                <c:pt idx="10761">
                  <c:v>5.7115580004406447E-4</c:v>
                </c:pt>
                <c:pt idx="10762">
                  <c:v>1.9356733358140569E-3</c:v>
                </c:pt>
                <c:pt idx="10763">
                  <c:v>6.8988373799932353E-3</c:v>
                </c:pt>
                <c:pt idx="10764">
                  <c:v>3.6263768044081752E-3</c:v>
                </c:pt>
                <c:pt idx="10765">
                  <c:v>1.5004980851567851E-3</c:v>
                </c:pt>
                <c:pt idx="10766">
                  <c:v>2.1150669728104833E-3</c:v>
                </c:pt>
                <c:pt idx="10767">
                  <c:v>5.1478962784278354E-3</c:v>
                </c:pt>
                <c:pt idx="10768">
                  <c:v>3.0618150156244113E-3</c:v>
                </c:pt>
                <c:pt idx="10769">
                  <c:v>1.7112188867834301E-3</c:v>
                </c:pt>
                <c:pt idx="10770">
                  <c:v>3.6621220392054031E-3</c:v>
                </c:pt>
                <c:pt idx="10771">
                  <c:v>7.7878779974276512E-3</c:v>
                </c:pt>
                <c:pt idx="10772">
                  <c:v>3.2967791153126627E-3</c:v>
                </c:pt>
                <c:pt idx="10773">
                  <c:v>3.9002049774590829E-3</c:v>
                </c:pt>
                <c:pt idx="10774">
                  <c:v>4.1506323928383959E-3</c:v>
                </c:pt>
                <c:pt idx="10775">
                  <c:v>1.4192804204310289E-2</c:v>
                </c:pt>
                <c:pt idx="10776">
                  <c:v>3.5139539385446957E-3</c:v>
                </c:pt>
                <c:pt idx="10777">
                  <c:v>3.9286112231266945E-3</c:v>
                </c:pt>
                <c:pt idx="10778">
                  <c:v>4.3166438169833831E-3</c:v>
                </c:pt>
                <c:pt idx="10779">
                  <c:v>5.5069689263314474E-3</c:v>
                </c:pt>
                <c:pt idx="10780">
                  <c:v>4.7124926402296466E-3</c:v>
                </c:pt>
                <c:pt idx="10781">
                  <c:v>7.1744552501229559E-3</c:v>
                </c:pt>
                <c:pt idx="10782">
                  <c:v>9.7172550404421645E-3</c:v>
                </c:pt>
                <c:pt idx="10783">
                  <c:v>7.0390184030651014E-3</c:v>
                </c:pt>
                <c:pt idx="10784">
                  <c:v>1.3683484726554637E-2</c:v>
                </c:pt>
                <c:pt idx="10785">
                  <c:v>6.1886898393609018E-3</c:v>
                </c:pt>
                <c:pt idx="10786">
                  <c:v>1.0514082275633205E-2</c:v>
                </c:pt>
                <c:pt idx="10787">
                  <c:v>5.1423169419059968E-3</c:v>
                </c:pt>
                <c:pt idx="10788">
                  <c:v>3.9639012433576514E-3</c:v>
                </c:pt>
                <c:pt idx="10789">
                  <c:v>4.8100025871361017E-3</c:v>
                </c:pt>
                <c:pt idx="10790">
                  <c:v>5.4323474390244458E-3</c:v>
                </c:pt>
                <c:pt idx="10791">
                  <c:v>7.7951297291467053E-3</c:v>
                </c:pt>
                <c:pt idx="10792">
                  <c:v>6.049090610499787E-3</c:v>
                </c:pt>
                <c:pt idx="10793">
                  <c:v>4.9182258782147032E-3</c:v>
                </c:pt>
                <c:pt idx="10794">
                  <c:v>1.0035652146231531E-2</c:v>
                </c:pt>
                <c:pt idx="10795">
                  <c:v>8.3966017429124521E-3</c:v>
                </c:pt>
                <c:pt idx="10796">
                  <c:v>8.3454813108722048E-3</c:v>
                </c:pt>
                <c:pt idx="10797">
                  <c:v>6.0760718737601759E-3</c:v>
                </c:pt>
                <c:pt idx="10798">
                  <c:v>7.1744552501229559E-3</c:v>
                </c:pt>
                <c:pt idx="10799">
                  <c:v>6.1120442841299596E-3</c:v>
                </c:pt>
                <c:pt idx="10800">
                  <c:v>4.8765716927282963E-3</c:v>
                </c:pt>
                <c:pt idx="10801">
                  <c:v>5.7483287899153489E-3</c:v>
                </c:pt>
                <c:pt idx="10802">
                  <c:v>6.0212510421658021E-3</c:v>
                </c:pt>
                <c:pt idx="10803">
                  <c:v>7.1565133631127809E-3</c:v>
                </c:pt>
                <c:pt idx="10804">
                  <c:v>6.3564920912248845E-3</c:v>
                </c:pt>
                <c:pt idx="10805">
                  <c:v>8.5324676391330227E-3</c:v>
                </c:pt>
                <c:pt idx="10806">
                  <c:v>6.75519037587666E-3</c:v>
                </c:pt>
                <c:pt idx="10807">
                  <c:v>5.9398636085176947E-3</c:v>
                </c:pt>
                <c:pt idx="10808">
                  <c:v>5.2084060164228506E-3</c:v>
                </c:pt>
                <c:pt idx="10809">
                  <c:v>4.8795777986323351E-3</c:v>
                </c:pt>
                <c:pt idx="10810">
                  <c:v>3.9139779346668785E-3</c:v>
                </c:pt>
                <c:pt idx="10811">
                  <c:v>2.5569668789852378E-3</c:v>
                </c:pt>
                <c:pt idx="10812">
                  <c:v>3.2532449048101441E-3</c:v>
                </c:pt>
                <c:pt idx="10813">
                  <c:v>3.5066303667986988E-3</c:v>
                </c:pt>
                <c:pt idx="10814">
                  <c:v>1.1121116066760268E-2</c:v>
                </c:pt>
                <c:pt idx="10815">
                  <c:v>1.280307010680957E-2</c:v>
                </c:pt>
                <c:pt idx="10816">
                  <c:v>7.7516175224091773E-3</c:v>
                </c:pt>
                <c:pt idx="10817">
                  <c:v>4.0994399049403326E-3</c:v>
                </c:pt>
                <c:pt idx="10818">
                  <c:v>1.1834238593384273E-2</c:v>
                </c:pt>
                <c:pt idx="10819">
                  <c:v>3.0001428257893908E-3</c:v>
                </c:pt>
                <c:pt idx="10820">
                  <c:v>5.5948685979990455E-3</c:v>
                </c:pt>
                <c:pt idx="10821">
                  <c:v>1.3264790033026166E-3</c:v>
                </c:pt>
                <c:pt idx="10822">
                  <c:v>6.6006005845458944E-4</c:v>
                </c:pt>
                <c:pt idx="10823">
                  <c:v>4.9817730207560333E-3</c:v>
                </c:pt>
                <c:pt idx="10824">
                  <c:v>5.4473585384893705E-3</c:v>
                </c:pt>
                <c:pt idx="10825">
                  <c:v>2.2529119681566384E-3</c:v>
                </c:pt>
                <c:pt idx="10826">
                  <c:v>8.8245782051758022E-4</c:v>
                </c:pt>
                <c:pt idx="10827">
                  <c:v>1.2606625723405708E-3</c:v>
                </c:pt>
                <c:pt idx="10828">
                  <c:v>6.105620857944874E-3</c:v>
                </c:pt>
                <c:pt idx="10829">
                  <c:v>2.4801094637318119E-3</c:v>
                </c:pt>
                <c:pt idx="10830">
                  <c:v>1.4100341802078141E-3</c:v>
                </c:pt>
                <c:pt idx="10831">
                  <c:v>1.1264007703573442E-3</c:v>
                </c:pt>
                <c:pt idx="10832">
                  <c:v>9.2200889755271725E-3</c:v>
                </c:pt>
                <c:pt idx="10833">
                  <c:v>5.2315777261373216E-3</c:v>
                </c:pt>
                <c:pt idx="10834">
                  <c:v>0.18742567326730658</c:v>
                </c:pt>
                <c:pt idx="10835">
                  <c:v>1.7597972512640364E-2</c:v>
                </c:pt>
                <c:pt idx="10836">
                  <c:v>9.8229887661106501E-3</c:v>
                </c:pt>
                <c:pt idx="10837">
                  <c:v>3.8563007610880524E-3</c:v>
                </c:pt>
                <c:pt idx="10838">
                  <c:v>6.8693423180821323E-3</c:v>
                </c:pt>
                <c:pt idx="10839">
                  <c:v>9.221789658498852E-3</c:v>
                </c:pt>
                <c:pt idx="10840">
                  <c:v>8.5137300423568513E-3</c:v>
                </c:pt>
                <c:pt idx="10841">
                  <c:v>2.1025890883754783E-2</c:v>
                </c:pt>
                <c:pt idx="10842">
                  <c:v>1.0095060427814532E-2</c:v>
                </c:pt>
                <c:pt idx="10843">
                  <c:v>6.6683806143870991E-3</c:v>
                </c:pt>
                <c:pt idx="10844">
                  <c:v>5.0397302116779296E-3</c:v>
                </c:pt>
                <c:pt idx="10845">
                  <c:v>5.04659869945134E-3</c:v>
                </c:pt>
                <c:pt idx="10846">
                  <c:v>5.1444628490507627E-3</c:v>
                </c:pt>
                <c:pt idx="10847">
                  <c:v>7.7473513851258275E-3</c:v>
                </c:pt>
                <c:pt idx="10848">
                  <c:v>5.2603260919203039E-3</c:v>
                </c:pt>
                <c:pt idx="10849">
                  <c:v>7.611239610272106E-3</c:v>
                </c:pt>
                <c:pt idx="10850">
                  <c:v>8.0684743498600203E-3</c:v>
                </c:pt>
                <c:pt idx="10851">
                  <c:v>1.0045412636098518E-2</c:v>
                </c:pt>
                <c:pt idx="10852">
                  <c:v>3.1204601629656052E-3</c:v>
                </c:pt>
                <c:pt idx="10853">
                  <c:v>1.0504332313252535E-2</c:v>
                </c:pt>
                <c:pt idx="10854">
                  <c:v>3.4760423497503601E-3</c:v>
                </c:pt>
                <c:pt idx="10855">
                  <c:v>6.2023904129417627E-3</c:v>
                </c:pt>
                <c:pt idx="10856">
                  <c:v>3.5979507827253693E-3</c:v>
                </c:pt>
                <c:pt idx="10857">
                  <c:v>4.5797236412449989E-3</c:v>
                </c:pt>
                <c:pt idx="10858">
                  <c:v>7.7563102250189876E-3</c:v>
                </c:pt>
                <c:pt idx="10859">
                  <c:v>6.5849755841972885E-3</c:v>
                </c:pt>
                <c:pt idx="10860">
                  <c:v>1.0758183892410327E-2</c:v>
                </c:pt>
                <c:pt idx="10861">
                  <c:v>4.0959981766690969E-3</c:v>
                </c:pt>
                <c:pt idx="10862">
                  <c:v>6.8509603242719467E-3</c:v>
                </c:pt>
                <c:pt idx="10863">
                  <c:v>5.6548874201961209E-3</c:v>
                </c:pt>
                <c:pt idx="10864">
                  <c:v>4.0710448309685615E-3</c:v>
                </c:pt>
                <c:pt idx="10865">
                  <c:v>6.4617634647854529E-3</c:v>
                </c:pt>
                <c:pt idx="10866">
                  <c:v>4.1304142320564112E-3</c:v>
                </c:pt>
                <c:pt idx="10867">
                  <c:v>1.6389709104428789E-3</c:v>
                </c:pt>
                <c:pt idx="10868">
                  <c:v>3.2993844551222281E-4</c:v>
                </c:pt>
                <c:pt idx="10869">
                  <c:v>2.4490172070541433E-3</c:v>
                </c:pt>
                <c:pt idx="10870">
                  <c:v>3.2747970396048215E-3</c:v>
                </c:pt>
                <c:pt idx="10871">
                  <c:v>8.8549170036067773E-4</c:v>
                </c:pt>
                <c:pt idx="10872">
                  <c:v>1.360249352366748E-3</c:v>
                </c:pt>
                <c:pt idx="10873">
                  <c:v>2.1090163468652405E-3</c:v>
                </c:pt>
                <c:pt idx="10874">
                  <c:v>1.5165112631362744E-3</c:v>
                </c:pt>
                <c:pt idx="10875">
                  <c:v>3.0639712274447878E-3</c:v>
                </c:pt>
                <c:pt idx="10876">
                  <c:v>2.7939302403735817E-3</c:v>
                </c:pt>
                <c:pt idx="10877">
                  <c:v>3.0993315739530061E-3</c:v>
                </c:pt>
                <c:pt idx="10878">
                  <c:v>3.991873002548915E-3</c:v>
                </c:pt>
                <c:pt idx="10879">
                  <c:v>2.3777557220047785E-3</c:v>
                </c:pt>
                <c:pt idx="10880">
                  <c:v>3.6401584482403291E-3</c:v>
                </c:pt>
                <c:pt idx="10881">
                  <c:v>2.255504244840183E-3</c:v>
                </c:pt>
                <c:pt idx="10882">
                  <c:v>1.699106292236239E-3</c:v>
                </c:pt>
                <c:pt idx="10883">
                  <c:v>3.925168140788326E-3</c:v>
                </c:pt>
                <c:pt idx="10884">
                  <c:v>5.7937563209564018E-3</c:v>
                </c:pt>
                <c:pt idx="10885">
                  <c:v>3.48508973409257E-3</c:v>
                </c:pt>
                <c:pt idx="10886">
                  <c:v>3.6978643321816614E-3</c:v>
                </c:pt>
                <c:pt idx="10887">
                  <c:v>1.3032402535111906E-2</c:v>
                </c:pt>
                <c:pt idx="10888">
                  <c:v>8.4089549445644472E-3</c:v>
                </c:pt>
                <c:pt idx="10889">
                  <c:v>1.6502198883507511E-3</c:v>
                </c:pt>
                <c:pt idx="10890">
                  <c:v>1.6818019996987857E-3</c:v>
                </c:pt>
                <c:pt idx="10891">
                  <c:v>8.3642261679746244E-3</c:v>
                </c:pt>
                <c:pt idx="10892">
                  <c:v>5.2770593390685152E-3</c:v>
                </c:pt>
                <c:pt idx="10893">
                  <c:v>4.6579290647765391E-3</c:v>
                </c:pt>
                <c:pt idx="10894">
                  <c:v>3.890305394666099E-3</c:v>
                </c:pt>
                <c:pt idx="10895">
                  <c:v>1.7189072759545072E-2</c:v>
                </c:pt>
                <c:pt idx="10896">
                  <c:v>5.6415982530979196E-3</c:v>
                </c:pt>
                <c:pt idx="10897">
                  <c:v>2.3228980081141629E-3</c:v>
                </c:pt>
                <c:pt idx="10898">
                  <c:v>2.8612405090113857E-3</c:v>
                </c:pt>
                <c:pt idx="10899">
                  <c:v>5.2697654388085416E-3</c:v>
                </c:pt>
                <c:pt idx="10900">
                  <c:v>2.8111902781673389E-3</c:v>
                </c:pt>
                <c:pt idx="10901">
                  <c:v>3.3058302348652367E-3</c:v>
                </c:pt>
                <c:pt idx="10902">
                  <c:v>2.368685239592834E-3</c:v>
                </c:pt>
                <c:pt idx="10903">
                  <c:v>6.3586320073610219E-3</c:v>
                </c:pt>
                <c:pt idx="10904">
                  <c:v>3.1627142574993526E-3</c:v>
                </c:pt>
                <c:pt idx="10905">
                  <c:v>1.5870487748190173E-3</c:v>
                </c:pt>
                <c:pt idx="10906">
                  <c:v>4.647187395873352E-3</c:v>
                </c:pt>
                <c:pt idx="10907">
                  <c:v>4.4163921800193916E-3</c:v>
                </c:pt>
                <c:pt idx="10908">
                  <c:v>3.7740760247578311E-3</c:v>
                </c:pt>
                <c:pt idx="10909">
                  <c:v>2.6074781097007913E-3</c:v>
                </c:pt>
                <c:pt idx="10910">
                  <c:v>3.4282173297822513E-3</c:v>
                </c:pt>
                <c:pt idx="10911">
                  <c:v>4.0164006011420006E-3</c:v>
                </c:pt>
                <c:pt idx="10912">
                  <c:v>3.6812565742589586E-4</c:v>
                </c:pt>
                <c:pt idx="10913">
                  <c:v>4.0211338379073872E-3</c:v>
                </c:pt>
                <c:pt idx="10914">
                  <c:v>4.1166481371795512E-3</c:v>
                </c:pt>
                <c:pt idx="10915">
                  <c:v>1.9987937635416557E-3</c:v>
                </c:pt>
                <c:pt idx="10916">
                  <c:v>2.2498876258026487E-3</c:v>
                </c:pt>
                <c:pt idx="10917">
                  <c:v>1.9611820104980123E-3</c:v>
                </c:pt>
                <c:pt idx="10918">
                  <c:v>2.8271552024303338E-3</c:v>
                </c:pt>
                <c:pt idx="10919">
                  <c:v>8.8887539581922817E-3</c:v>
                </c:pt>
                <c:pt idx="10920">
                  <c:v>6.3945810219864846E-3</c:v>
                </c:pt>
                <c:pt idx="10921">
                  <c:v>7.6155070848041035E-3</c:v>
                </c:pt>
                <c:pt idx="10922">
                  <c:v>4.735690823725108E-3</c:v>
                </c:pt>
                <c:pt idx="10923">
                  <c:v>3.3243628911114303E-3</c:v>
                </c:pt>
                <c:pt idx="10924">
                  <c:v>4.7606060110284287E-3</c:v>
                </c:pt>
                <c:pt idx="10925">
                  <c:v>4.599491177114912E-3</c:v>
                </c:pt>
                <c:pt idx="10926">
                  <c:v>8.835989239804316E-3</c:v>
                </c:pt>
                <c:pt idx="10927">
                  <c:v>1.2392583200333443E-2</c:v>
                </c:pt>
                <c:pt idx="10928">
                  <c:v>9.9724158325140387E-3</c:v>
                </c:pt>
                <c:pt idx="10929">
                  <c:v>4.8963257220574269E-3</c:v>
                </c:pt>
                <c:pt idx="10930">
                  <c:v>3.4148598518142239E-3</c:v>
                </c:pt>
                <c:pt idx="10931">
                  <c:v>7.5766715210295642E-3</c:v>
                </c:pt>
                <c:pt idx="10932">
                  <c:v>7.2368189007153668E-3</c:v>
                </c:pt>
                <c:pt idx="10933">
                  <c:v>7.7524707448370827E-3</c:v>
                </c:pt>
                <c:pt idx="10934">
                  <c:v>6.0289606397618805E-3</c:v>
                </c:pt>
                <c:pt idx="10935">
                  <c:v>4.7683380199128253E-3</c:v>
                </c:pt>
                <c:pt idx="10936">
                  <c:v>5.8353226341803909E-3</c:v>
                </c:pt>
                <c:pt idx="10937">
                  <c:v>5.8657449398869565E-3</c:v>
                </c:pt>
                <c:pt idx="10938">
                  <c:v>1.002461828483898E-2</c:v>
                </c:pt>
                <c:pt idx="10939">
                  <c:v>7.7870248445586782E-3</c:v>
                </c:pt>
                <c:pt idx="10940">
                  <c:v>1.2434366817211863E-2</c:v>
                </c:pt>
                <c:pt idx="10941">
                  <c:v>8.5260799128730903E-3</c:v>
                </c:pt>
                <c:pt idx="10942">
                  <c:v>2.7455984849216451E-3</c:v>
                </c:pt>
                <c:pt idx="10943">
                  <c:v>3.5251544564605603E-3</c:v>
                </c:pt>
                <c:pt idx="10944">
                  <c:v>4.4181117784917777E-3</c:v>
                </c:pt>
                <c:pt idx="10945">
                  <c:v>7.8791556719431822E-3</c:v>
                </c:pt>
                <c:pt idx="10946">
                  <c:v>7.081320250676126E-3</c:v>
                </c:pt>
                <c:pt idx="10947">
                  <c:v>8.0011136479681243E-3</c:v>
                </c:pt>
                <c:pt idx="10948">
                  <c:v>8.5158593554321513E-3</c:v>
                </c:pt>
                <c:pt idx="10949">
                  <c:v>5.7779000810852009E-3</c:v>
                </c:pt>
                <c:pt idx="10950">
                  <c:v>7.0146609246001202E-3</c:v>
                </c:pt>
                <c:pt idx="10951">
                  <c:v>7.0770475238496958E-3</c:v>
                </c:pt>
                <c:pt idx="10952">
                  <c:v>4.3553420225854933E-3</c:v>
                </c:pt>
                <c:pt idx="10953">
                  <c:v>4.4856006407950439E-3</c:v>
                </c:pt>
                <c:pt idx="10954">
                  <c:v>5.20411482339171E-3</c:v>
                </c:pt>
                <c:pt idx="10955">
                  <c:v>4.0396359957632884E-3</c:v>
                </c:pt>
                <c:pt idx="10956">
                  <c:v>4.513538819961649E-3</c:v>
                </c:pt>
                <c:pt idx="10957">
                  <c:v>3.6164709777633318E-3</c:v>
                </c:pt>
                <c:pt idx="10958">
                  <c:v>4.6905821068484602E-3</c:v>
                </c:pt>
                <c:pt idx="10959">
                  <c:v>1.0721323172731055E-2</c:v>
                </c:pt>
                <c:pt idx="10960">
                  <c:v>7.7469247690925384E-3</c:v>
                </c:pt>
                <c:pt idx="10961">
                  <c:v>5.8396075949107874E-3</c:v>
                </c:pt>
                <c:pt idx="10962">
                  <c:v>4.0379148980516401E-3</c:v>
                </c:pt>
                <c:pt idx="10963">
                  <c:v>4.3084737549609351E-3</c:v>
                </c:pt>
                <c:pt idx="10964">
                  <c:v>2.8465712113050104E-3</c:v>
                </c:pt>
                <c:pt idx="10965">
                  <c:v>3.6423117905840011E-3</c:v>
                </c:pt>
                <c:pt idx="10966">
                  <c:v>5.4829542146623269E-3</c:v>
                </c:pt>
                <c:pt idx="10967">
                  <c:v>3.9126867384834335E-3</c:v>
                </c:pt>
                <c:pt idx="10968">
                  <c:v>3.9023570308151594E-3</c:v>
                </c:pt>
                <c:pt idx="10969">
                  <c:v>4.0435084406767888E-3</c:v>
                </c:pt>
                <c:pt idx="10970">
                  <c:v>5.3075207748627994E-3</c:v>
                </c:pt>
                <c:pt idx="10971">
                  <c:v>3.1001939854631904E-3</c:v>
                </c:pt>
                <c:pt idx="10972">
                  <c:v>3.1157170998062241E-3</c:v>
                </c:pt>
                <c:pt idx="10973">
                  <c:v>3.5036147425365331E-3</c:v>
                </c:pt>
                <c:pt idx="10974">
                  <c:v>6.1146136280026261E-3</c:v>
                </c:pt>
                <c:pt idx="10975">
                  <c:v>4.0912657557603373E-3</c:v>
                </c:pt>
                <c:pt idx="10976">
                  <c:v>4.0413570866543944E-3</c:v>
                </c:pt>
                <c:pt idx="10977">
                  <c:v>4.2611703749174555E-3</c:v>
                </c:pt>
                <c:pt idx="10978">
                  <c:v>8.6512622251142916E-3</c:v>
                </c:pt>
                <c:pt idx="10979">
                  <c:v>4.9371192432332046E-3</c:v>
                </c:pt>
                <c:pt idx="10980">
                  <c:v>1.9084336052700432E-3</c:v>
                </c:pt>
                <c:pt idx="10981">
                  <c:v>5.9492881974354626E-3</c:v>
                </c:pt>
                <c:pt idx="10982">
                  <c:v>6.8492503318045286E-3</c:v>
                </c:pt>
                <c:pt idx="10983">
                  <c:v>5.2350104668765869E-3</c:v>
                </c:pt>
                <c:pt idx="10984">
                  <c:v>1.6134433028231812E-3</c:v>
                </c:pt>
                <c:pt idx="10985">
                  <c:v>7.6039848073298022E-3</c:v>
                </c:pt>
                <c:pt idx="10986">
                  <c:v>6.0379549973171767E-3</c:v>
                </c:pt>
                <c:pt idx="10987">
                  <c:v>2.8491599469050001E-3</c:v>
                </c:pt>
                <c:pt idx="10988">
                  <c:v>5.6038719501205567E-3</c:v>
                </c:pt>
                <c:pt idx="10989">
                  <c:v>7.2005123850873223E-3</c:v>
                </c:pt>
                <c:pt idx="10990">
                  <c:v>1.7246288652737075E-3</c:v>
                </c:pt>
                <c:pt idx="10991">
                  <c:v>3.4777656755849667E-3</c:v>
                </c:pt>
                <c:pt idx="10992">
                  <c:v>3.3894364199544623E-3</c:v>
                </c:pt>
                <c:pt idx="10993">
                  <c:v>5.9060190805655752E-3</c:v>
                </c:pt>
                <c:pt idx="10994">
                  <c:v>3.4036564889865228E-3</c:v>
                </c:pt>
                <c:pt idx="10995">
                  <c:v>3.8171275665498652E-3</c:v>
                </c:pt>
                <c:pt idx="10996">
                  <c:v>8.9836292188112676E-3</c:v>
                </c:pt>
                <c:pt idx="10997">
                  <c:v>8.0586693277918432E-3</c:v>
                </c:pt>
                <c:pt idx="10998">
                  <c:v>4.1011607588477359E-3</c:v>
                </c:pt>
                <c:pt idx="10999">
                  <c:v>3.7732149503900076E-3</c:v>
                </c:pt>
                <c:pt idx="11000">
                  <c:v>6.6029410980435344E-3</c:v>
                </c:pt>
                <c:pt idx="11001">
                  <c:v>9.4725674874939422E-3</c:v>
                </c:pt>
                <c:pt idx="11002">
                  <c:v>1.7540428517267626E-3</c:v>
                </c:pt>
                <c:pt idx="11003">
                  <c:v>8.065063932509265E-3</c:v>
                </c:pt>
                <c:pt idx="11004">
                  <c:v>6.3085552061699739E-3</c:v>
                </c:pt>
                <c:pt idx="11005">
                  <c:v>1.6593053885739712E-3</c:v>
                </c:pt>
                <c:pt idx="11006">
                  <c:v>4.4696965668333975E-3</c:v>
                </c:pt>
                <c:pt idx="11007">
                  <c:v>6.1518674060924722E-3</c:v>
                </c:pt>
                <c:pt idx="11008">
                  <c:v>4.2826725500162482E-3</c:v>
                </c:pt>
                <c:pt idx="11009">
                  <c:v>4.538036975013442E-3</c:v>
                </c:pt>
                <c:pt idx="11010">
                  <c:v>2.6856078431416221E-3</c:v>
                </c:pt>
                <c:pt idx="11011">
                  <c:v>5.6810358843014455E-3</c:v>
                </c:pt>
                <c:pt idx="11012">
                  <c:v>1.7237637178662626E-3</c:v>
                </c:pt>
                <c:pt idx="11013">
                  <c:v>2.7602711935535125E-3</c:v>
                </c:pt>
                <c:pt idx="11014">
                  <c:v>2.3293776265520543E-3</c:v>
                </c:pt>
                <c:pt idx="11015">
                  <c:v>6.3064150432735324E-3</c:v>
                </c:pt>
                <c:pt idx="11016">
                  <c:v>5.7166124137306316E-3</c:v>
                </c:pt>
                <c:pt idx="11017">
                  <c:v>2.6368323651106747E-3</c:v>
                </c:pt>
                <c:pt idx="11018">
                  <c:v>2.9552848226926534E-3</c:v>
                </c:pt>
                <c:pt idx="11019">
                  <c:v>3.9290416064996607E-3</c:v>
                </c:pt>
                <c:pt idx="11020">
                  <c:v>2.7710596336521531E-3</c:v>
                </c:pt>
                <c:pt idx="11021">
                  <c:v>4.1420290352097225E-3</c:v>
                </c:pt>
                <c:pt idx="11022">
                  <c:v>1.918378466818039E-3</c:v>
                </c:pt>
                <c:pt idx="11023">
                  <c:v>1.7596658870180483E-3</c:v>
                </c:pt>
                <c:pt idx="11024">
                  <c:v>3.7292978936651947E-3</c:v>
                </c:pt>
                <c:pt idx="11025">
                  <c:v>2.8741835955213083E-3</c:v>
                </c:pt>
                <c:pt idx="11026">
                  <c:v>1.0427910013186621E-3</c:v>
                </c:pt>
                <c:pt idx="11027">
                  <c:v>1.6173374416519591E-3</c:v>
                </c:pt>
                <c:pt idx="11028">
                  <c:v>4.2289151160400419E-3</c:v>
                </c:pt>
                <c:pt idx="11029">
                  <c:v>1.8561112351109577E-3</c:v>
                </c:pt>
                <c:pt idx="11030">
                  <c:v>1.603924149797819E-3</c:v>
                </c:pt>
                <c:pt idx="11031">
                  <c:v>3.1872887277986112E-3</c:v>
                </c:pt>
                <c:pt idx="11032">
                  <c:v>1.0019101249016987E-2</c:v>
                </c:pt>
                <c:pt idx="11033">
                  <c:v>1.2554630547711325E-2</c:v>
                </c:pt>
                <c:pt idx="11034">
                  <c:v>1.9983614630458249E-3</c:v>
                </c:pt>
                <c:pt idx="11035">
                  <c:v>3.971217108200557E-3</c:v>
                </c:pt>
                <c:pt idx="11036">
                  <c:v>9.2970382132573116E-3</c:v>
                </c:pt>
                <c:pt idx="11037">
                  <c:v>6.9809000551946986E-3</c:v>
                </c:pt>
                <c:pt idx="11038">
                  <c:v>8.6861705852018661E-3</c:v>
                </c:pt>
                <c:pt idx="11039">
                  <c:v>1.3851781839770297E-2</c:v>
                </c:pt>
                <c:pt idx="11040">
                  <c:v>1.7543752851297164E-2</c:v>
                </c:pt>
                <c:pt idx="11041">
                  <c:v>4.179882534008506E-3</c:v>
                </c:pt>
                <c:pt idx="11042">
                  <c:v>1.0674857168981589E-3</c:v>
                </c:pt>
                <c:pt idx="11043">
                  <c:v>2.1327861781667095E-3</c:v>
                </c:pt>
                <c:pt idx="11044">
                  <c:v>2.7391250735174727E-3</c:v>
                </c:pt>
                <c:pt idx="11045">
                  <c:v>1.189638918970446E-3</c:v>
                </c:pt>
                <c:pt idx="11046">
                  <c:v>3.9509905929930433E-3</c:v>
                </c:pt>
                <c:pt idx="11047">
                  <c:v>2.4619725845219536E-3</c:v>
                </c:pt>
                <c:pt idx="11048">
                  <c:v>3.152366696088784E-3</c:v>
                </c:pt>
                <c:pt idx="11049">
                  <c:v>2.9069710217293995E-3</c:v>
                </c:pt>
                <c:pt idx="11050">
                  <c:v>3.6612607428380102E-3</c:v>
                </c:pt>
                <c:pt idx="11051">
                  <c:v>2.9108535793382091E-3</c:v>
                </c:pt>
                <c:pt idx="11052">
                  <c:v>4.0521137501967541E-3</c:v>
                </c:pt>
                <c:pt idx="11053">
                  <c:v>5.1688400620278283E-2</c:v>
                </c:pt>
                <c:pt idx="11054">
                  <c:v>1.6670928089166164E-3</c:v>
                </c:pt>
                <c:pt idx="11055">
                  <c:v>3.4114126940338633E-3</c:v>
                </c:pt>
                <c:pt idx="11056">
                  <c:v>3.4642878984828375E-4</c:v>
                </c:pt>
                <c:pt idx="11057">
                  <c:v>8.607866338319175E-4</c:v>
                </c:pt>
                <c:pt idx="11058">
                  <c:v>2.4079892952580655E-3</c:v>
                </c:pt>
                <c:pt idx="11059">
                  <c:v>3.0790644104465793E-3</c:v>
                </c:pt>
                <c:pt idx="11060">
                  <c:v>1.3273449424925272E-3</c:v>
                </c:pt>
                <c:pt idx="11061">
                  <c:v>7.9925862318313071E-3</c:v>
                </c:pt>
                <c:pt idx="11062">
                  <c:v>1.2364118990360888E-3</c:v>
                </c:pt>
                <c:pt idx="11063">
                  <c:v>2.936305041874053E-3</c:v>
                </c:pt>
                <c:pt idx="11064">
                  <c:v>8.8930088980894838E-3</c:v>
                </c:pt>
                <c:pt idx="11065">
                  <c:v>6.3282442099899588E-3</c:v>
                </c:pt>
                <c:pt idx="11066">
                  <c:v>7.4528866613655957E-3</c:v>
                </c:pt>
                <c:pt idx="11067">
                  <c:v>4.9469949932957683E-3</c:v>
                </c:pt>
                <c:pt idx="11068">
                  <c:v>3.3170361215387836E-3</c:v>
                </c:pt>
                <c:pt idx="11069">
                  <c:v>3.7680484683307071E-3</c:v>
                </c:pt>
                <c:pt idx="11070">
                  <c:v>3.9617494949498967E-3</c:v>
                </c:pt>
                <c:pt idx="11071">
                  <c:v>5.5374142410888833E-3</c:v>
                </c:pt>
                <c:pt idx="11072">
                  <c:v>7.0197889283302173E-3</c:v>
                </c:pt>
                <c:pt idx="11073">
                  <c:v>7.4191598425751241E-3</c:v>
                </c:pt>
                <c:pt idx="11074">
                  <c:v>3.4807814793407351E-3</c:v>
                </c:pt>
                <c:pt idx="11075">
                  <c:v>5.4113310280696674E-3</c:v>
                </c:pt>
                <c:pt idx="11076">
                  <c:v>7.5100881882929071E-3</c:v>
                </c:pt>
                <c:pt idx="11077">
                  <c:v>5.6681761806656253E-3</c:v>
                </c:pt>
                <c:pt idx="11078">
                  <c:v>4.6420313004286199E-3</c:v>
                </c:pt>
                <c:pt idx="11079">
                  <c:v>4.4916182466347961E-3</c:v>
                </c:pt>
                <c:pt idx="11080">
                  <c:v>3.5066303667986988E-3</c:v>
                </c:pt>
                <c:pt idx="11081">
                  <c:v>3.8997745655082179E-3</c:v>
                </c:pt>
                <c:pt idx="11082">
                  <c:v>3.5027531317583936E-3</c:v>
                </c:pt>
                <c:pt idx="11083">
                  <c:v>6.8757544584655593E-3</c:v>
                </c:pt>
                <c:pt idx="11084">
                  <c:v>5.875171137367673E-3</c:v>
                </c:pt>
                <c:pt idx="11085">
                  <c:v>8.472845206683028E-3</c:v>
                </c:pt>
                <c:pt idx="11086">
                  <c:v>8.1852649803983574E-3</c:v>
                </c:pt>
                <c:pt idx="11087">
                  <c:v>7.952931547156504E-3</c:v>
                </c:pt>
                <c:pt idx="11088">
                  <c:v>2.0891351252131109E-3</c:v>
                </c:pt>
                <c:pt idx="11089">
                  <c:v>3.7133660988928575E-3</c:v>
                </c:pt>
                <c:pt idx="11090">
                  <c:v>5.5318399064529199E-3</c:v>
                </c:pt>
                <c:pt idx="11091">
                  <c:v>4.7958284922541786E-3</c:v>
                </c:pt>
                <c:pt idx="11092">
                  <c:v>5.6634608605902201E-3</c:v>
                </c:pt>
                <c:pt idx="11093">
                  <c:v>5.7513288677513638E-3</c:v>
                </c:pt>
                <c:pt idx="11094">
                  <c:v>4.9336841470917579E-3</c:v>
                </c:pt>
                <c:pt idx="11095">
                  <c:v>5.9497165829813983E-3</c:v>
                </c:pt>
                <c:pt idx="11096">
                  <c:v>4.311913799808869E-3</c:v>
                </c:pt>
                <c:pt idx="11097">
                  <c:v>4.2151521431006058E-3</c:v>
                </c:pt>
                <c:pt idx="11098">
                  <c:v>4.1020211832444673E-3</c:v>
                </c:pt>
                <c:pt idx="11099">
                  <c:v>3.3295346540373875E-3</c:v>
                </c:pt>
                <c:pt idx="11100">
                  <c:v>5.5048248096347873E-3</c:v>
                </c:pt>
                <c:pt idx="11101">
                  <c:v>6.9851737280503803E-3</c:v>
                </c:pt>
                <c:pt idx="11102">
                  <c:v>8.8759888883719537E-3</c:v>
                </c:pt>
                <c:pt idx="11103">
                  <c:v>1.1596661168009892E-2</c:v>
                </c:pt>
                <c:pt idx="11104">
                  <c:v>1.781603401121527E-2</c:v>
                </c:pt>
                <c:pt idx="11105">
                  <c:v>1.8335937683295472E-2</c:v>
                </c:pt>
                <c:pt idx="11106">
                  <c:v>1.3814341372848652E-2</c:v>
                </c:pt>
                <c:pt idx="11107">
                  <c:v>1.151165974279466E-2</c:v>
                </c:pt>
                <c:pt idx="11108">
                  <c:v>1.1100373158496275E-2</c:v>
                </c:pt>
                <c:pt idx="11109">
                  <c:v>9.1801210083761412E-3</c:v>
                </c:pt>
                <c:pt idx="11110">
                  <c:v>1.0239303858867678E-2</c:v>
                </c:pt>
                <c:pt idx="11111">
                  <c:v>9.1065533256291919E-3</c:v>
                </c:pt>
                <c:pt idx="11112">
                  <c:v>8.7636400924080687E-3</c:v>
                </c:pt>
                <c:pt idx="11113">
                  <c:v>9.5860075047584075E-3</c:v>
                </c:pt>
                <c:pt idx="11114">
                  <c:v>9.1239895679713998E-3</c:v>
                </c:pt>
                <c:pt idx="11115">
                  <c:v>7.9171113001897803E-3</c:v>
                </c:pt>
                <c:pt idx="11116">
                  <c:v>5.3658634753417098E-3</c:v>
                </c:pt>
                <c:pt idx="11117">
                  <c:v>1.1019508689884223E-2</c:v>
                </c:pt>
                <c:pt idx="11118">
                  <c:v>8.3744502944871138E-3</c:v>
                </c:pt>
                <c:pt idx="11119">
                  <c:v>1.0714120137963737E-2</c:v>
                </c:pt>
                <c:pt idx="11120">
                  <c:v>1.0979705987671192E-2</c:v>
                </c:pt>
                <c:pt idx="11121">
                  <c:v>1.0638692951799882E-2</c:v>
                </c:pt>
                <c:pt idx="11122">
                  <c:v>7.9026117888225892E-3</c:v>
                </c:pt>
                <c:pt idx="11123">
                  <c:v>1.0127307234913121E-2</c:v>
                </c:pt>
                <c:pt idx="11124">
                  <c:v>1.0400460431775923E-2</c:v>
                </c:pt>
                <c:pt idx="11125">
                  <c:v>8.3420730681100577E-3</c:v>
                </c:pt>
                <c:pt idx="11126">
                  <c:v>8.0859523184549885E-3</c:v>
                </c:pt>
                <c:pt idx="11127">
                  <c:v>1.2078866678987258E-2</c:v>
                </c:pt>
                <c:pt idx="11128">
                  <c:v>1.1783098559341577E-2</c:v>
                </c:pt>
                <c:pt idx="11129">
                  <c:v>6.2332151233281822E-3</c:v>
                </c:pt>
                <c:pt idx="11130">
                  <c:v>7.9891752184937381E-3</c:v>
                </c:pt>
                <c:pt idx="11131">
                  <c:v>1.0222336529812021E-2</c:v>
                </c:pt>
                <c:pt idx="11132">
                  <c:v>4.223754052299503E-3</c:v>
                </c:pt>
                <c:pt idx="11133">
                  <c:v>6.189117988827644E-3</c:v>
                </c:pt>
                <c:pt idx="11134">
                  <c:v>9.9554380730767014E-3</c:v>
                </c:pt>
                <c:pt idx="11135">
                  <c:v>7.3568223720895153E-3</c:v>
                </c:pt>
                <c:pt idx="11136">
                  <c:v>7.9691349740727817E-3</c:v>
                </c:pt>
                <c:pt idx="11137">
                  <c:v>3.580291256542926E-3</c:v>
                </c:pt>
                <c:pt idx="11138">
                  <c:v>8.4387715698860718E-3</c:v>
                </c:pt>
                <c:pt idx="11139">
                  <c:v>4.286972857288642E-3</c:v>
                </c:pt>
                <c:pt idx="11140">
                  <c:v>4.5706990322462821E-3</c:v>
                </c:pt>
                <c:pt idx="11141">
                  <c:v>8.4110847714047622E-3</c:v>
                </c:pt>
                <c:pt idx="11142">
                  <c:v>8.4724193027221426E-3</c:v>
                </c:pt>
                <c:pt idx="11143">
                  <c:v>6.2452019198761602E-3</c:v>
                </c:pt>
                <c:pt idx="11144">
                  <c:v>4.5492111131328859E-3</c:v>
                </c:pt>
                <c:pt idx="11145">
                  <c:v>6.5477589411964028E-3</c:v>
                </c:pt>
                <c:pt idx="11146">
                  <c:v>1.4915592203769347E-2</c:v>
                </c:pt>
                <c:pt idx="11147">
                  <c:v>5.053467078599428E-3</c:v>
                </c:pt>
                <c:pt idx="11148">
                  <c:v>4.3480326256745833E-3</c:v>
                </c:pt>
                <c:pt idx="11149">
                  <c:v>3.1816841464502063E-3</c:v>
                </c:pt>
                <c:pt idx="11150">
                  <c:v>3.0609525278988466E-3</c:v>
                </c:pt>
                <c:pt idx="11151">
                  <c:v>5.702896506623218E-3</c:v>
                </c:pt>
                <c:pt idx="11152">
                  <c:v>1.8548139061790796E-3</c:v>
                </c:pt>
                <c:pt idx="11153">
                  <c:v>3.4510533566607378E-3</c:v>
                </c:pt>
                <c:pt idx="11154">
                  <c:v>3.5467372721776372E-4</c:v>
                </c:pt>
                <c:pt idx="11155">
                  <c:v>3.3079852355272117E-3</c:v>
                </c:pt>
                <c:pt idx="11156">
                  <c:v>3.4842280865612506E-3</c:v>
                </c:pt>
                <c:pt idx="11157">
                  <c:v>3.0592275473089328E-3</c:v>
                </c:pt>
                <c:pt idx="11158">
                  <c:v>4.4378866715586258E-3</c:v>
                </c:pt>
                <c:pt idx="11159">
                  <c:v>4.770485775728763E-3</c:v>
                </c:pt>
                <c:pt idx="11160">
                  <c:v>2.6890607667003409E-3</c:v>
                </c:pt>
                <c:pt idx="11161">
                  <c:v>1.7903750259675264E-3</c:v>
                </c:pt>
                <c:pt idx="11162">
                  <c:v>5.5091130324426323E-3</c:v>
                </c:pt>
                <c:pt idx="11163">
                  <c:v>3.5307546070966387E-3</c:v>
                </c:pt>
                <c:pt idx="11164">
                  <c:v>2.956147520294466E-3</c:v>
                </c:pt>
                <c:pt idx="11165">
                  <c:v>1.8556787925642002E-3</c:v>
                </c:pt>
                <c:pt idx="11166">
                  <c:v>6.6354482340882023E-3</c:v>
                </c:pt>
                <c:pt idx="11167">
                  <c:v>4.4176818795120289E-3</c:v>
                </c:pt>
                <c:pt idx="11168">
                  <c:v>4.9955117209744861E-3</c:v>
                </c:pt>
                <c:pt idx="11169">
                  <c:v>5.251315614863394E-3</c:v>
                </c:pt>
                <c:pt idx="11170">
                  <c:v>3.5949357925032831E-3</c:v>
                </c:pt>
                <c:pt idx="11171">
                  <c:v>2.6130901060456651E-3</c:v>
                </c:pt>
                <c:pt idx="11172">
                  <c:v>4.2968634024238839E-3</c:v>
                </c:pt>
                <c:pt idx="11173">
                  <c:v>7.8552717785221812E-3</c:v>
                </c:pt>
                <c:pt idx="11174">
                  <c:v>2.8961859573602838E-3</c:v>
                </c:pt>
                <c:pt idx="11175">
                  <c:v>2.9268148404063567E-3</c:v>
                </c:pt>
                <c:pt idx="11176">
                  <c:v>3.1627142574993526E-3</c:v>
                </c:pt>
                <c:pt idx="11177">
                  <c:v>5.2358686478219145E-3</c:v>
                </c:pt>
                <c:pt idx="11178">
                  <c:v>3.1700436310012543E-3</c:v>
                </c:pt>
                <c:pt idx="11179">
                  <c:v>2.9099907917580661E-3</c:v>
                </c:pt>
                <c:pt idx="11180">
                  <c:v>4.6660925554597417E-3</c:v>
                </c:pt>
                <c:pt idx="11181">
                  <c:v>4.9830610423645004E-3</c:v>
                </c:pt>
                <c:pt idx="11182">
                  <c:v>1.1698979124115817E-2</c:v>
                </c:pt>
                <c:pt idx="11183">
                  <c:v>6.6995999158240482E-3</c:v>
                </c:pt>
                <c:pt idx="11184">
                  <c:v>4.0056430530042856E-3</c:v>
                </c:pt>
                <c:pt idx="11185">
                  <c:v>3.6229313251148845E-3</c:v>
                </c:pt>
                <c:pt idx="11186">
                  <c:v>7.2893511912410693E-3</c:v>
                </c:pt>
                <c:pt idx="11187">
                  <c:v>3.1355513829500938E-3</c:v>
                </c:pt>
                <c:pt idx="11188">
                  <c:v>5.0770763034882656E-3</c:v>
                </c:pt>
                <c:pt idx="11189">
                  <c:v>4.9478537435578476E-3</c:v>
                </c:pt>
                <c:pt idx="11190">
                  <c:v>3.9380795588108758E-3</c:v>
                </c:pt>
                <c:pt idx="11191">
                  <c:v>3.8997745655082179E-3</c:v>
                </c:pt>
                <c:pt idx="11192">
                  <c:v>3.6621220392054031E-3</c:v>
                </c:pt>
                <c:pt idx="11193">
                  <c:v>4.8276121818436072E-3</c:v>
                </c:pt>
                <c:pt idx="11194">
                  <c:v>3.4859513799143696E-3</c:v>
                </c:pt>
                <c:pt idx="11195">
                  <c:v>3.1532290022896364E-3</c:v>
                </c:pt>
                <c:pt idx="11196">
                  <c:v>2.3496798049883606E-3</c:v>
                </c:pt>
                <c:pt idx="11197">
                  <c:v>3.7960328443195912E-3</c:v>
                </c:pt>
                <c:pt idx="11198">
                  <c:v>7.2786744109169781E-3</c:v>
                </c:pt>
                <c:pt idx="11199">
                  <c:v>2.2399503526366713E-3</c:v>
                </c:pt>
                <c:pt idx="11200">
                  <c:v>1.8396781156181899E-3</c:v>
                </c:pt>
                <c:pt idx="11201">
                  <c:v>2.4913366760630829E-3</c:v>
                </c:pt>
                <c:pt idx="11202">
                  <c:v>2.4995409938384024E-3</c:v>
                </c:pt>
                <c:pt idx="11203">
                  <c:v>3.1066620172022852E-3</c:v>
                </c:pt>
                <c:pt idx="11204">
                  <c:v>4.388017822161386E-3</c:v>
                </c:pt>
                <c:pt idx="11205">
                  <c:v>2.2019273819753153E-3</c:v>
                </c:pt>
                <c:pt idx="11206">
                  <c:v>7.3551143702492846E-3</c:v>
                </c:pt>
                <c:pt idx="11207">
                  <c:v>9.8578030741485433E-3</c:v>
                </c:pt>
                <c:pt idx="11208">
                  <c:v>9.0959211269682361E-3</c:v>
                </c:pt>
                <c:pt idx="11209">
                  <c:v>4.5328795835263194E-3</c:v>
                </c:pt>
                <c:pt idx="11210">
                  <c:v>6.9783358312946013E-3</c:v>
                </c:pt>
                <c:pt idx="11211">
                  <c:v>6.0752153514821968E-3</c:v>
                </c:pt>
                <c:pt idx="11212">
                  <c:v>5.7217557672197333E-3</c:v>
                </c:pt>
                <c:pt idx="11213">
                  <c:v>7.2526219652967331E-3</c:v>
                </c:pt>
                <c:pt idx="11214">
                  <c:v>8.2794418456923983E-3</c:v>
                </c:pt>
                <c:pt idx="11215">
                  <c:v>8.1814292906340867E-3</c:v>
                </c:pt>
                <c:pt idx="11216">
                  <c:v>1.0207489573090419E-2</c:v>
                </c:pt>
                <c:pt idx="11217">
                  <c:v>5.0972504423502088E-3</c:v>
                </c:pt>
                <c:pt idx="11218">
                  <c:v>6.4189733015980188E-3</c:v>
                </c:pt>
                <c:pt idx="11219">
                  <c:v>6.5434809617729277E-3</c:v>
                </c:pt>
                <c:pt idx="11220">
                  <c:v>2.8595147349983981E-3</c:v>
                </c:pt>
                <c:pt idx="11221">
                  <c:v>1.2015504750899523E-2</c:v>
                </c:pt>
                <c:pt idx="11222">
                  <c:v>1.9862054451940975E-2</c:v>
                </c:pt>
                <c:pt idx="11223">
                  <c:v>3.4334416336159197E-2</c:v>
                </c:pt>
                <c:pt idx="11224">
                  <c:v>4.1461377216224726E-2</c:v>
                </c:pt>
                <c:pt idx="11225">
                  <c:v>7.6699049448990086E-2</c:v>
                </c:pt>
                <c:pt idx="11226">
                  <c:v>6.3940271306099014E-2</c:v>
                </c:pt>
                <c:pt idx="11227">
                  <c:v>8.8688797574258155E-2</c:v>
                </c:pt>
                <c:pt idx="11228">
                  <c:v>5.2598970258232658E-3</c:v>
                </c:pt>
                <c:pt idx="11229">
                  <c:v>2.9876348100125339E-3</c:v>
                </c:pt>
                <c:pt idx="11230">
                  <c:v>6.1574337881691206E-3</c:v>
                </c:pt>
                <c:pt idx="11231">
                  <c:v>9.8340277513085817E-3</c:v>
                </c:pt>
                <c:pt idx="11232">
                  <c:v>5.1843747893107871E-3</c:v>
                </c:pt>
                <c:pt idx="11233">
                  <c:v>5.4473585384893705E-3</c:v>
                </c:pt>
                <c:pt idx="11234">
                  <c:v>6.2079561475033903E-3</c:v>
                </c:pt>
                <c:pt idx="11235">
                  <c:v>4.8112911182776816E-3</c:v>
                </c:pt>
                <c:pt idx="11236">
                  <c:v>3.1079556119906078E-3</c:v>
                </c:pt>
                <c:pt idx="11237">
                  <c:v>6.8706247537326029E-3</c:v>
                </c:pt>
                <c:pt idx="11238">
                  <c:v>3.2713487699098163E-3</c:v>
                </c:pt>
                <c:pt idx="11239">
                  <c:v>2.5250165717129198E-3</c:v>
                </c:pt>
                <c:pt idx="11240">
                  <c:v>5.2916467720994882E-3</c:v>
                </c:pt>
                <c:pt idx="11241">
                  <c:v>1.7097643528501134E-2</c:v>
                </c:pt>
                <c:pt idx="11242">
                  <c:v>1.9132498264052503E-2</c:v>
                </c:pt>
                <c:pt idx="11243">
                  <c:v>1.5293096990196374E-2</c:v>
                </c:pt>
                <c:pt idx="11244">
                  <c:v>1.5375265649458162E-2</c:v>
                </c:pt>
                <c:pt idx="11245">
                  <c:v>3.8304726779967977E-3</c:v>
                </c:pt>
                <c:pt idx="11246">
                  <c:v>3.5497084272852384E-3</c:v>
                </c:pt>
                <c:pt idx="11247">
                  <c:v>6.271742934929052E-3</c:v>
                </c:pt>
                <c:pt idx="11248">
                  <c:v>6.5725703908893649E-3</c:v>
                </c:pt>
                <c:pt idx="11249">
                  <c:v>2.5696963857853847E-2</c:v>
                </c:pt>
                <c:pt idx="11250">
                  <c:v>1.1627105393108053E-2</c:v>
                </c:pt>
                <c:pt idx="11251">
                  <c:v>6.0790696884303113E-3</c:v>
                </c:pt>
                <c:pt idx="11252">
                  <c:v>2.1047406362112091E-2</c:v>
                </c:pt>
                <c:pt idx="11253">
                  <c:v>1.5609528658172547E-2</c:v>
                </c:pt>
                <c:pt idx="11254">
                  <c:v>4.9590173424451534E-3</c:v>
                </c:pt>
                <c:pt idx="11255">
                  <c:v>2.2192109631390768E-3</c:v>
                </c:pt>
                <c:pt idx="11256">
                  <c:v>5.3015144636741748E-3</c:v>
                </c:pt>
                <c:pt idx="11257">
                  <c:v>6.5708593019349866E-3</c:v>
                </c:pt>
                <c:pt idx="11258">
                  <c:v>5.0045275068028037E-3</c:v>
                </c:pt>
                <c:pt idx="11259">
                  <c:v>2.189396355506878E-3</c:v>
                </c:pt>
                <c:pt idx="11260">
                  <c:v>5.8001843613916665E-3</c:v>
                </c:pt>
                <c:pt idx="11261">
                  <c:v>8.9925625926838438E-3</c:v>
                </c:pt>
                <c:pt idx="11262">
                  <c:v>3.7917276730730122E-3</c:v>
                </c:pt>
                <c:pt idx="11263">
                  <c:v>6.7333826589684028E-3</c:v>
                </c:pt>
                <c:pt idx="11264">
                  <c:v>8.5631274174298687E-3</c:v>
                </c:pt>
                <c:pt idx="11265">
                  <c:v>8.1405131584518578E-3</c:v>
                </c:pt>
                <c:pt idx="11266">
                  <c:v>1.6078183739814539E-3</c:v>
                </c:pt>
                <c:pt idx="11267">
                  <c:v>4.76275380508232E-3</c:v>
                </c:pt>
                <c:pt idx="11268">
                  <c:v>6.4604798212311663E-3</c:v>
                </c:pt>
                <c:pt idx="11269">
                  <c:v>4.1742907475637633E-3</c:v>
                </c:pt>
                <c:pt idx="11270">
                  <c:v>6.3837777105681776E-4</c:v>
                </c:pt>
                <c:pt idx="11271">
                  <c:v>3.8416650359273823E-3</c:v>
                </c:pt>
                <c:pt idx="11272">
                  <c:v>5.9677083943498344E-3</c:v>
                </c:pt>
                <c:pt idx="11273">
                  <c:v>1.9938385620963731E-2</c:v>
                </c:pt>
                <c:pt idx="11274">
                  <c:v>4.7846606977330697E-3</c:v>
                </c:pt>
                <c:pt idx="11275">
                  <c:v>7.2773931796392558E-3</c:v>
                </c:pt>
                <c:pt idx="11276">
                  <c:v>5.6788926268052193E-3</c:v>
                </c:pt>
                <c:pt idx="11277">
                  <c:v>4.1222406658498016E-3</c:v>
                </c:pt>
                <c:pt idx="11278">
                  <c:v>2.8763407391045911E-3</c:v>
                </c:pt>
                <c:pt idx="11279">
                  <c:v>5.8048981972435168E-3</c:v>
                </c:pt>
                <c:pt idx="11280">
                  <c:v>5.7796142970894882E-3</c:v>
                </c:pt>
                <c:pt idx="11281">
                  <c:v>6.5962642331485546E-4</c:v>
                </c:pt>
                <c:pt idx="11282">
                  <c:v>4.5462027196139848E-3</c:v>
                </c:pt>
                <c:pt idx="11283">
                  <c:v>5.0410180614098802E-3</c:v>
                </c:pt>
                <c:pt idx="11284">
                  <c:v>4.9633109579160081E-3</c:v>
                </c:pt>
                <c:pt idx="11285">
                  <c:v>1.5069899852300937E-3</c:v>
                </c:pt>
                <c:pt idx="11286">
                  <c:v>1.8634626925239726E-3</c:v>
                </c:pt>
                <c:pt idx="11287">
                  <c:v>6.3145476061730529E-3</c:v>
                </c:pt>
                <c:pt idx="11288">
                  <c:v>1.5299272549889249E-3</c:v>
                </c:pt>
                <c:pt idx="11289">
                  <c:v>1.7609635002077781E-3</c:v>
                </c:pt>
                <c:pt idx="11290">
                  <c:v>9.6480258465333427E-3</c:v>
                </c:pt>
                <c:pt idx="11291">
                  <c:v>6.5969526760035098E-3</c:v>
                </c:pt>
                <c:pt idx="11292">
                  <c:v>1.2667250290883342E-3</c:v>
                </c:pt>
                <c:pt idx="11293">
                  <c:v>6.0495188976124681E-3</c:v>
                </c:pt>
                <c:pt idx="11294">
                  <c:v>5.5832925852915575E-3</c:v>
                </c:pt>
                <c:pt idx="11295">
                  <c:v>4.9980876788809974E-3</c:v>
                </c:pt>
                <c:pt idx="11296">
                  <c:v>2.6441706189621601E-3</c:v>
                </c:pt>
                <c:pt idx="11297">
                  <c:v>2.4235371705597871E-3</c:v>
                </c:pt>
                <c:pt idx="11298">
                  <c:v>3.6160402845229933E-3</c:v>
                </c:pt>
                <c:pt idx="11299">
                  <c:v>3.6212085752176087E-3</c:v>
                </c:pt>
                <c:pt idx="11300">
                  <c:v>8.2479097849052028E-3</c:v>
                </c:pt>
                <c:pt idx="11301">
                  <c:v>1.821514470612058E-3</c:v>
                </c:pt>
                <c:pt idx="11302">
                  <c:v>1.5827216499684704E-3</c:v>
                </c:pt>
                <c:pt idx="11303">
                  <c:v>1.7830223312588636E-3</c:v>
                </c:pt>
                <c:pt idx="11304">
                  <c:v>2.1038300289599418E-3</c:v>
                </c:pt>
                <c:pt idx="11305">
                  <c:v>1.1203363544478235E-3</c:v>
                </c:pt>
                <c:pt idx="11306">
                  <c:v>2.3781876450133673E-3</c:v>
                </c:pt>
                <c:pt idx="11307">
                  <c:v>5.9107317678327087E-3</c:v>
                </c:pt>
                <c:pt idx="11308">
                  <c:v>1.8734085838975729E-3</c:v>
                </c:pt>
                <c:pt idx="11309">
                  <c:v>3.5018915192709691E-3</c:v>
                </c:pt>
                <c:pt idx="11310">
                  <c:v>4.6489060807516306E-3</c:v>
                </c:pt>
                <c:pt idx="11311">
                  <c:v>6.2597568709172454E-3</c:v>
                </c:pt>
                <c:pt idx="11312">
                  <c:v>4.074916995832352E-3</c:v>
                </c:pt>
                <c:pt idx="11313">
                  <c:v>3.4320952303072577E-3</c:v>
                </c:pt>
                <c:pt idx="11314">
                  <c:v>1.966370032166668E-3</c:v>
                </c:pt>
                <c:pt idx="11315">
                  <c:v>2.5608525668499244E-3</c:v>
                </c:pt>
                <c:pt idx="11316">
                  <c:v>2.1241427536729351E-3</c:v>
                </c:pt>
                <c:pt idx="11317">
                  <c:v>4.7702755695560841E-4</c:v>
                </c:pt>
                <c:pt idx="11318">
                  <c:v>3.9905820379340226E-3</c:v>
                </c:pt>
                <c:pt idx="11319">
                  <c:v>2.5401284964890174E-3</c:v>
                </c:pt>
                <c:pt idx="11320">
                  <c:v>5.3345481472978091E-3</c:v>
                </c:pt>
                <c:pt idx="11321">
                  <c:v>4.6029289175962924E-3</c:v>
                </c:pt>
                <c:pt idx="11322">
                  <c:v>4.2960033639624362E-3</c:v>
                </c:pt>
                <c:pt idx="11323">
                  <c:v>5.5250528041700516E-4</c:v>
                </c:pt>
                <c:pt idx="11324">
                  <c:v>5.7289069138484613E-4</c:v>
                </c:pt>
                <c:pt idx="11325">
                  <c:v>7.1512820225634252E-4</c:v>
                </c:pt>
                <c:pt idx="11326">
                  <c:v>3.4588087152858009E-3</c:v>
                </c:pt>
                <c:pt idx="11327">
                  <c:v>0.1601529752481517</c:v>
                </c:pt>
                <c:pt idx="11328">
                  <c:v>0.1876208226375595</c:v>
                </c:pt>
                <c:pt idx="11329">
                  <c:v>1.2333804696579651E-3</c:v>
                </c:pt>
                <c:pt idx="11330">
                  <c:v>5.1375959088639034E-3</c:v>
                </c:pt>
                <c:pt idx="11331">
                  <c:v>1.7618285735136947E-3</c:v>
                </c:pt>
                <c:pt idx="11332">
                  <c:v>1.1974347654753648E-3</c:v>
                </c:pt>
                <c:pt idx="11333">
                  <c:v>2.5206987823348363E-3</c:v>
                </c:pt>
                <c:pt idx="11334">
                  <c:v>1.2719213532305246E-3</c:v>
                </c:pt>
                <c:pt idx="11335">
                  <c:v>8.1917492380787404E-4</c:v>
                </c:pt>
                <c:pt idx="11336">
                  <c:v>1.5498340920747358E-3</c:v>
                </c:pt>
                <c:pt idx="11337">
                  <c:v>2.1025334398062884E-3</c:v>
                </c:pt>
                <c:pt idx="11338">
                  <c:v>2.3358760183172096E-4</c:v>
                </c:pt>
                <c:pt idx="11339">
                  <c:v>1.3775664615315638E-3</c:v>
                </c:pt>
                <c:pt idx="11340">
                  <c:v>6.1062286351747086E-4</c:v>
                </c:pt>
                <c:pt idx="11341">
                  <c:v>3.1355513829500938E-3</c:v>
                </c:pt>
                <c:pt idx="11342">
                  <c:v>5.6651755283594115E-3</c:v>
                </c:pt>
                <c:pt idx="11343">
                  <c:v>2.1189566164041859E-3</c:v>
                </c:pt>
                <c:pt idx="11344">
                  <c:v>2.3099384812060144E-3</c:v>
                </c:pt>
                <c:pt idx="11345">
                  <c:v>2.0740074990249777E-3</c:v>
                </c:pt>
                <c:pt idx="11346">
                  <c:v>3.5462623396865628E-3</c:v>
                </c:pt>
                <c:pt idx="11347">
                  <c:v>2.5902099737741867E-3</c:v>
                </c:pt>
                <c:pt idx="11348">
                  <c:v>4.8933197320774804E-3</c:v>
                </c:pt>
                <c:pt idx="11349">
                  <c:v>2.8172311293405872E-3</c:v>
                </c:pt>
                <c:pt idx="11350">
                  <c:v>3.4545001998139368E-3</c:v>
                </c:pt>
                <c:pt idx="11351">
                  <c:v>6.3920133339091688E-3</c:v>
                </c:pt>
                <c:pt idx="11352">
                  <c:v>6.7697282454750839E-3</c:v>
                </c:pt>
                <c:pt idx="11353">
                  <c:v>3.5983814939056689E-3</c:v>
                </c:pt>
                <c:pt idx="11354">
                  <c:v>4.3420130299627411E-3</c:v>
                </c:pt>
                <c:pt idx="11355">
                  <c:v>4.0379148980516401E-3</c:v>
                </c:pt>
                <c:pt idx="11356">
                  <c:v>3.7684790108497919E-3</c:v>
                </c:pt>
                <c:pt idx="11357">
                  <c:v>4.7739221629416947E-3</c:v>
                </c:pt>
                <c:pt idx="11358">
                  <c:v>1.7528319863990501E-2</c:v>
                </c:pt>
                <c:pt idx="11359">
                  <c:v>6.3594879708631967E-3</c:v>
                </c:pt>
                <c:pt idx="11360">
                  <c:v>5.1440336684700086E-3</c:v>
                </c:pt>
                <c:pt idx="11361">
                  <c:v>7.3717671016648003E-3</c:v>
                </c:pt>
                <c:pt idx="11362">
                  <c:v>0.15252377826841512</c:v>
                </c:pt>
                <c:pt idx="11363">
                  <c:v>6.974062091149767E-3</c:v>
                </c:pt>
                <c:pt idx="11364">
                  <c:v>4.6764041138336642E-3</c:v>
                </c:pt>
                <c:pt idx="11365">
                  <c:v>6.7526248189588274E-3</c:v>
                </c:pt>
                <c:pt idx="11366">
                  <c:v>7.1970951449831762E-3</c:v>
                </c:pt>
                <c:pt idx="11367">
                  <c:v>1.9423304986422144E-2</c:v>
                </c:pt>
                <c:pt idx="11368">
                  <c:v>8.4545309591919152E-3</c:v>
                </c:pt>
                <c:pt idx="11369">
                  <c:v>1.1325528880144117E-2</c:v>
                </c:pt>
                <c:pt idx="11370">
                  <c:v>9.5779359733602094E-3</c:v>
                </c:pt>
                <c:pt idx="11371">
                  <c:v>4.4658279202363154E-3</c:v>
                </c:pt>
                <c:pt idx="11372">
                  <c:v>5.0289979820610396E-3</c:v>
                </c:pt>
                <c:pt idx="11373">
                  <c:v>1.0868747283855881E-2</c:v>
                </c:pt>
                <c:pt idx="11374">
                  <c:v>5.0440230292660496E-3</c:v>
                </c:pt>
                <c:pt idx="11375">
                  <c:v>5.7950419366548473E-3</c:v>
                </c:pt>
                <c:pt idx="11376">
                  <c:v>4.0112370112909109E-3</c:v>
                </c:pt>
                <c:pt idx="11377">
                  <c:v>4.0400662691255458E-3</c:v>
                </c:pt>
                <c:pt idx="11378">
                  <c:v>5.5978697361115728E-3</c:v>
                </c:pt>
                <c:pt idx="11379">
                  <c:v>4.5780046825604319E-3</c:v>
                </c:pt>
                <c:pt idx="11380">
                  <c:v>3.5953665066736102E-3</c:v>
                </c:pt>
                <c:pt idx="11381">
                  <c:v>5.812183115652199E-3</c:v>
                </c:pt>
                <c:pt idx="11382">
                  <c:v>5.748757373732245E-3</c:v>
                </c:pt>
                <c:pt idx="11383">
                  <c:v>3.4195996490866466E-3</c:v>
                </c:pt>
                <c:pt idx="11384">
                  <c:v>4.0809402947768348E-3</c:v>
                </c:pt>
                <c:pt idx="11385">
                  <c:v>3.9626101955923402E-3</c:v>
                </c:pt>
                <c:pt idx="11386">
                  <c:v>1.1026283254633382E-2</c:v>
                </c:pt>
                <c:pt idx="11387">
                  <c:v>7.846314979845035E-3</c:v>
                </c:pt>
                <c:pt idx="11388">
                  <c:v>6.557598133952772E-3</c:v>
                </c:pt>
                <c:pt idx="11389">
                  <c:v>3.7663262939859336E-3</c:v>
                </c:pt>
                <c:pt idx="11390">
                  <c:v>6.0765001342656519E-3</c:v>
                </c:pt>
                <c:pt idx="11391">
                  <c:v>4.6892932175186582E-3</c:v>
                </c:pt>
                <c:pt idx="11392">
                  <c:v>5.5665711332942638E-3</c:v>
                </c:pt>
                <c:pt idx="11393">
                  <c:v>6.6504178074375054E-3</c:v>
                </c:pt>
                <c:pt idx="11394">
                  <c:v>6.3154036565667678E-3</c:v>
                </c:pt>
                <c:pt idx="11395">
                  <c:v>4.8190222248450584E-3</c:v>
                </c:pt>
                <c:pt idx="11396">
                  <c:v>6.8625025973218443E-3</c:v>
                </c:pt>
                <c:pt idx="11397">
                  <c:v>7.669700363700494E-3</c:v>
                </c:pt>
                <c:pt idx="11398">
                  <c:v>1.1417335207116613E-2</c:v>
                </c:pt>
                <c:pt idx="11399">
                  <c:v>5.9090180692887937E-3</c:v>
                </c:pt>
                <c:pt idx="11400">
                  <c:v>5.0513207217841669E-3</c:v>
                </c:pt>
                <c:pt idx="11401">
                  <c:v>6.952692759556716E-3</c:v>
                </c:pt>
                <c:pt idx="11402">
                  <c:v>9.4993369042176753E-3</c:v>
                </c:pt>
                <c:pt idx="11403">
                  <c:v>5.9060190805655752E-3</c:v>
                </c:pt>
                <c:pt idx="11404">
                  <c:v>2.5366743886141322E-3</c:v>
                </c:pt>
                <c:pt idx="11405">
                  <c:v>8.4864739129045172E-3</c:v>
                </c:pt>
                <c:pt idx="11406">
                  <c:v>8.7295892638933753E-3</c:v>
                </c:pt>
                <c:pt idx="11407">
                  <c:v>2.6277672921018081E-3</c:v>
                </c:pt>
                <c:pt idx="11408">
                  <c:v>5.9432907554243042E-3</c:v>
                </c:pt>
                <c:pt idx="11409">
                  <c:v>6.6606823595257792E-3</c:v>
                </c:pt>
                <c:pt idx="11410">
                  <c:v>2.6761121617982623E-3</c:v>
                </c:pt>
                <c:pt idx="11411">
                  <c:v>5.4297740555901766E-3</c:v>
                </c:pt>
                <c:pt idx="11412">
                  <c:v>7.216743908395943E-3</c:v>
                </c:pt>
                <c:pt idx="11413">
                  <c:v>5.4911022121052391E-3</c:v>
                </c:pt>
                <c:pt idx="11414">
                  <c:v>4.6192578132780455E-3</c:v>
                </c:pt>
                <c:pt idx="11415">
                  <c:v>4.9607347937272953E-3</c:v>
                </c:pt>
                <c:pt idx="11416">
                  <c:v>9.2302929734616856E-3</c:v>
                </c:pt>
                <c:pt idx="11417">
                  <c:v>1.8141879788525873E-2</c:v>
                </c:pt>
                <c:pt idx="11418">
                  <c:v>8.1004457101433551E-3</c:v>
                </c:pt>
                <c:pt idx="11419">
                  <c:v>4.0886844135291228E-3</c:v>
                </c:pt>
                <c:pt idx="11420">
                  <c:v>4.1665481551634333E-3</c:v>
                </c:pt>
                <c:pt idx="11421">
                  <c:v>3.0924322202191099E-3</c:v>
                </c:pt>
                <c:pt idx="11422">
                  <c:v>1.8984885159904464E-3</c:v>
                </c:pt>
                <c:pt idx="11423">
                  <c:v>2.8090328109562049E-3</c:v>
                </c:pt>
                <c:pt idx="11424">
                  <c:v>3.4898287649571995E-3</c:v>
                </c:pt>
                <c:pt idx="11425">
                  <c:v>2.0895673353615377E-3</c:v>
                </c:pt>
                <c:pt idx="11426">
                  <c:v>5.722184377260929E-3</c:v>
                </c:pt>
                <c:pt idx="11427">
                  <c:v>7.2282764642132413E-3</c:v>
                </c:pt>
                <c:pt idx="11428">
                  <c:v>9.6972943805646982E-3</c:v>
                </c:pt>
                <c:pt idx="11429">
                  <c:v>5.4349208072104853E-3</c:v>
                </c:pt>
                <c:pt idx="11430">
                  <c:v>5.7431857511231268E-3</c:v>
                </c:pt>
                <c:pt idx="11431">
                  <c:v>5.4962482369913922E-3</c:v>
                </c:pt>
                <c:pt idx="11432">
                  <c:v>5.5502778171848182E-3</c:v>
                </c:pt>
                <c:pt idx="11433">
                  <c:v>4.8568167648396828E-3</c:v>
                </c:pt>
                <c:pt idx="11434">
                  <c:v>6.0328153872376755E-3</c:v>
                </c:pt>
                <c:pt idx="11435">
                  <c:v>8.0556851467014773E-3</c:v>
                </c:pt>
                <c:pt idx="11436">
                  <c:v>5.8747426782842921E-3</c:v>
                </c:pt>
                <c:pt idx="11437">
                  <c:v>5.3881689073338596E-3</c:v>
                </c:pt>
                <c:pt idx="11438">
                  <c:v>5.8700296004681662E-3</c:v>
                </c:pt>
                <c:pt idx="11439">
                  <c:v>8.7040493903674607E-3</c:v>
                </c:pt>
                <c:pt idx="11440">
                  <c:v>1.2649929072244858E-3</c:v>
                </c:pt>
                <c:pt idx="11441">
                  <c:v>5.781328506327477E-3</c:v>
                </c:pt>
                <c:pt idx="11442">
                  <c:v>5.4670866230313179E-3</c:v>
                </c:pt>
                <c:pt idx="11443">
                  <c:v>2.0160854305269552E-3</c:v>
                </c:pt>
                <c:pt idx="11444">
                  <c:v>6.0148262729543796E-3</c:v>
                </c:pt>
                <c:pt idx="11445">
                  <c:v>5.3650055512324797E-3</c:v>
                </c:pt>
                <c:pt idx="11446">
                  <c:v>4.2461182188949682E-3</c:v>
                </c:pt>
                <c:pt idx="11447">
                  <c:v>2.1046944195785388E-3</c:v>
                </c:pt>
                <c:pt idx="11448">
                  <c:v>7.1086647069871492E-3</c:v>
                </c:pt>
                <c:pt idx="11449">
                  <c:v>3.6651365630401113E-3</c:v>
                </c:pt>
                <c:pt idx="11450">
                  <c:v>4.9122141806100189E-3</c:v>
                </c:pt>
                <c:pt idx="11451">
                  <c:v>3.3704756036058449E-3</c:v>
                </c:pt>
                <c:pt idx="11452">
                  <c:v>7.8185903845589613E-3</c:v>
                </c:pt>
                <c:pt idx="11453">
                  <c:v>6.3586320073610219E-3</c:v>
                </c:pt>
                <c:pt idx="11454">
                  <c:v>3.690543861113262E-3</c:v>
                </c:pt>
                <c:pt idx="11455">
                  <c:v>5.3096658658704794E-3</c:v>
                </c:pt>
                <c:pt idx="11456">
                  <c:v>8.21765389869979E-3</c:v>
                </c:pt>
                <c:pt idx="11457">
                  <c:v>3.4786273359379005E-3</c:v>
                </c:pt>
                <c:pt idx="11458">
                  <c:v>4.0740565177350653E-3</c:v>
                </c:pt>
                <c:pt idx="11459">
                  <c:v>3.2157416405133544E-3</c:v>
                </c:pt>
                <c:pt idx="11460">
                  <c:v>6.9749168425431943E-3</c:v>
                </c:pt>
                <c:pt idx="11461">
                  <c:v>3.9367884342818241E-3</c:v>
                </c:pt>
                <c:pt idx="11462">
                  <c:v>2.0152208635287987E-3</c:v>
                </c:pt>
                <c:pt idx="11463">
                  <c:v>5.1148483939362282E-3</c:v>
                </c:pt>
                <c:pt idx="11464">
                  <c:v>7.8330927013194277E-3</c:v>
                </c:pt>
                <c:pt idx="11465">
                  <c:v>9.2005306426628641E-3</c:v>
                </c:pt>
                <c:pt idx="11466">
                  <c:v>2.8845377870057361E-3</c:v>
                </c:pt>
                <c:pt idx="11467">
                  <c:v>6.1497264709119807E-3</c:v>
                </c:pt>
                <c:pt idx="11468">
                  <c:v>4.6226953972970412E-3</c:v>
                </c:pt>
                <c:pt idx="11469">
                  <c:v>6.21994364122539E-3</c:v>
                </c:pt>
                <c:pt idx="11470">
                  <c:v>3.7663262939859336E-3</c:v>
                </c:pt>
                <c:pt idx="11471">
                  <c:v>4.6540620945777047E-3</c:v>
                </c:pt>
                <c:pt idx="11472">
                  <c:v>5.702896506623218E-3</c:v>
                </c:pt>
                <c:pt idx="11473">
                  <c:v>5.6017283117830155E-3</c:v>
                </c:pt>
                <c:pt idx="11474">
                  <c:v>4.9542943163986526E-3</c:v>
                </c:pt>
                <c:pt idx="11475">
                  <c:v>1.7449593332289537E-3</c:v>
                </c:pt>
                <c:pt idx="11476">
                  <c:v>3.1239096309096368E-3</c:v>
                </c:pt>
                <c:pt idx="11477">
                  <c:v>2.1872357971579391E-3</c:v>
                </c:pt>
                <c:pt idx="11478">
                  <c:v>2.620860442804792E-3</c:v>
                </c:pt>
                <c:pt idx="11479">
                  <c:v>1.2836128552319729E-3</c:v>
                </c:pt>
                <c:pt idx="11480">
                  <c:v>6.6799277408255879E-3</c:v>
                </c:pt>
                <c:pt idx="11481">
                  <c:v>2.7788271445814985E-3</c:v>
                </c:pt>
                <c:pt idx="11482">
                  <c:v>2.3073465294176404E-3</c:v>
                </c:pt>
                <c:pt idx="11483">
                  <c:v>1.5307927886190423E-3</c:v>
                </c:pt>
                <c:pt idx="11484">
                  <c:v>5.8528907045080703E-3</c:v>
                </c:pt>
                <c:pt idx="11485">
                  <c:v>3.4062419060601422E-3</c:v>
                </c:pt>
                <c:pt idx="11486">
                  <c:v>2.3324014154056166E-3</c:v>
                </c:pt>
                <c:pt idx="11487">
                  <c:v>2.341904614744224E-3</c:v>
                </c:pt>
                <c:pt idx="11488">
                  <c:v>5.3933161520305509E-3</c:v>
                </c:pt>
                <c:pt idx="11489">
                  <c:v>1.3579528679549186E-2</c:v>
                </c:pt>
                <c:pt idx="11490">
                  <c:v>2.436743155780112E-2</c:v>
                </c:pt>
                <c:pt idx="11491">
                  <c:v>2.9705117867123411E-2</c:v>
                </c:pt>
                <c:pt idx="11492">
                  <c:v>2.1837774726658744E-2</c:v>
                </c:pt>
                <c:pt idx="11493">
                  <c:v>2.360551482358627E-2</c:v>
                </c:pt>
                <c:pt idx="11494">
                  <c:v>1.6724629968263086E-2</c:v>
                </c:pt>
                <c:pt idx="11495">
                  <c:v>2.5610174474567496E-2</c:v>
                </c:pt>
                <c:pt idx="11496">
                  <c:v>1.3419126613879397E-2</c:v>
                </c:pt>
                <c:pt idx="11497">
                  <c:v>1.4425605217506835E-2</c:v>
                </c:pt>
                <c:pt idx="11498">
                  <c:v>7.7780666382458114E-3</c:v>
                </c:pt>
                <c:pt idx="11499">
                  <c:v>7.2342561874075327E-3</c:v>
                </c:pt>
                <c:pt idx="11500">
                  <c:v>1.2449559863070163E-2</c:v>
                </c:pt>
                <c:pt idx="11501">
                  <c:v>1.4058277424335934E-2</c:v>
                </c:pt>
                <c:pt idx="11502">
                  <c:v>1.4666259168120095E-2</c:v>
                </c:pt>
                <c:pt idx="11503">
                  <c:v>2.182786269377214E-2</c:v>
                </c:pt>
                <c:pt idx="11504">
                  <c:v>1.2985196933809697E-2</c:v>
                </c:pt>
                <c:pt idx="11505">
                  <c:v>7.1125098830800149E-3</c:v>
                </c:pt>
                <c:pt idx="11506">
                  <c:v>1.1213812059779962E-2</c:v>
                </c:pt>
                <c:pt idx="11507">
                  <c:v>9.740187432070441E-3</c:v>
                </c:pt>
                <c:pt idx="11508">
                  <c:v>1.4681374336701939E-2</c:v>
                </c:pt>
                <c:pt idx="11509">
                  <c:v>9.0172347659390889E-3</c:v>
                </c:pt>
                <c:pt idx="11510">
                  <c:v>8.1400869284546529E-3</c:v>
                </c:pt>
                <c:pt idx="11511">
                  <c:v>1.3093087912606013E-2</c:v>
                </c:pt>
                <c:pt idx="11512">
                  <c:v>1.0122215792971347E-2</c:v>
                </c:pt>
                <c:pt idx="11513">
                  <c:v>5.7860425468442642E-3</c:v>
                </c:pt>
                <c:pt idx="11514">
                  <c:v>7.9733989333109507E-3</c:v>
                </c:pt>
                <c:pt idx="11515">
                  <c:v>8.7121371794869253E-3</c:v>
                </c:pt>
                <c:pt idx="11516">
                  <c:v>6.6940404784364945E-3</c:v>
                </c:pt>
                <c:pt idx="11517">
                  <c:v>8.7189478324512862E-3</c:v>
                </c:pt>
                <c:pt idx="11518">
                  <c:v>8.8657765623652591E-3</c:v>
                </c:pt>
                <c:pt idx="11519">
                  <c:v>8.8547129381929442E-3</c:v>
                </c:pt>
                <c:pt idx="11520">
                  <c:v>8.9168357911652337E-3</c:v>
                </c:pt>
                <c:pt idx="11521">
                  <c:v>1.0346182791420211E-2</c:v>
                </c:pt>
                <c:pt idx="11522">
                  <c:v>1.2991097914582129E-2</c:v>
                </c:pt>
                <c:pt idx="11523">
                  <c:v>1.0288929491488666E-2</c:v>
                </c:pt>
                <c:pt idx="11524">
                  <c:v>1.4313422473784103E-2</c:v>
                </c:pt>
                <c:pt idx="11525">
                  <c:v>9.6930473132893439E-3</c:v>
                </c:pt>
                <c:pt idx="11526">
                  <c:v>1.5449455623050895E-2</c:v>
                </c:pt>
                <c:pt idx="11527">
                  <c:v>9.8514348117265498E-3</c:v>
                </c:pt>
                <c:pt idx="11528">
                  <c:v>6.2032466844400905E-3</c:v>
                </c:pt>
                <c:pt idx="11529">
                  <c:v>9.449620959791823E-3</c:v>
                </c:pt>
                <c:pt idx="11530">
                  <c:v>7.6278825238201156E-3</c:v>
                </c:pt>
                <c:pt idx="11531">
                  <c:v>4.7700562254153322E-3</c:v>
                </c:pt>
                <c:pt idx="11532">
                  <c:v>5.5477051324464626E-3</c:v>
                </c:pt>
                <c:pt idx="11533">
                  <c:v>8.5550368528260635E-3</c:v>
                </c:pt>
                <c:pt idx="11534">
                  <c:v>4.4602398143117226E-3</c:v>
                </c:pt>
                <c:pt idx="11535">
                  <c:v>1.5030975706784647E-2</c:v>
                </c:pt>
                <c:pt idx="11536">
                  <c:v>1.4262993822980626E-2</c:v>
                </c:pt>
                <c:pt idx="11537">
                  <c:v>1.3047153233323157E-2</c:v>
                </c:pt>
                <c:pt idx="11538">
                  <c:v>6.7787072747654388E-3</c:v>
                </c:pt>
                <c:pt idx="11539">
                  <c:v>4.36222134259516E-3</c:v>
                </c:pt>
                <c:pt idx="11540">
                  <c:v>2.7507771445730357E-3</c:v>
                </c:pt>
                <c:pt idx="11541">
                  <c:v>8.7335605382216509E-4</c:v>
                </c:pt>
                <c:pt idx="11542">
                  <c:v>5.6548874201961209E-3</c:v>
                </c:pt>
                <c:pt idx="11543">
                  <c:v>5.046169422147956E-3</c:v>
                </c:pt>
                <c:pt idx="11544">
                  <c:v>4.2332159556394602E-3</c:v>
                </c:pt>
                <c:pt idx="11545">
                  <c:v>1.955561583751853E-3</c:v>
                </c:pt>
                <c:pt idx="11546">
                  <c:v>4.9804849953276617E-3</c:v>
                </c:pt>
                <c:pt idx="11547">
                  <c:v>5.2534609835000424E-3</c:v>
                </c:pt>
                <c:pt idx="11548">
                  <c:v>3.4458830406371237E-3</c:v>
                </c:pt>
                <c:pt idx="11549">
                  <c:v>1.8440026810341724E-3</c:v>
                </c:pt>
                <c:pt idx="11550">
                  <c:v>6.0944866941615473E-3</c:v>
                </c:pt>
                <c:pt idx="11551">
                  <c:v>2.7520717998372043E-3</c:v>
                </c:pt>
                <c:pt idx="11552">
                  <c:v>5.6415982530979196E-3</c:v>
                </c:pt>
                <c:pt idx="11553">
                  <c:v>4.1992381619182758E-3</c:v>
                </c:pt>
                <c:pt idx="11554">
                  <c:v>4.9830610423645004E-3</c:v>
                </c:pt>
                <c:pt idx="11555">
                  <c:v>8.0190206768677216E-3</c:v>
                </c:pt>
                <c:pt idx="11556">
                  <c:v>4.0848123714140802E-3</c:v>
                </c:pt>
                <c:pt idx="11557">
                  <c:v>1.0246514772989206E-2</c:v>
                </c:pt>
                <c:pt idx="11558">
                  <c:v>1.5468048496407145E-3</c:v>
                </c:pt>
                <c:pt idx="11559">
                  <c:v>3.3204840284997337E-3</c:v>
                </c:pt>
                <c:pt idx="11560">
                  <c:v>3.6899350958324601E-4</c:v>
                </c:pt>
                <c:pt idx="11561">
                  <c:v>6.7376587682002054E-3</c:v>
                </c:pt>
                <c:pt idx="11562">
                  <c:v>7.0479918665703727E-3</c:v>
                </c:pt>
                <c:pt idx="11563">
                  <c:v>3.0152382271656734E-3</c:v>
                </c:pt>
                <c:pt idx="11564">
                  <c:v>3.3566853990243798E-3</c:v>
                </c:pt>
                <c:pt idx="11565">
                  <c:v>7.5113687332717246E-3</c:v>
                </c:pt>
                <c:pt idx="11566">
                  <c:v>4.9220904970174962E-3</c:v>
                </c:pt>
                <c:pt idx="11567">
                  <c:v>2.2974105709207739E-3</c:v>
                </c:pt>
                <c:pt idx="11568">
                  <c:v>7.0197889283302173E-3</c:v>
                </c:pt>
                <c:pt idx="11569">
                  <c:v>9.7100353331979698E-3</c:v>
                </c:pt>
                <c:pt idx="11570">
                  <c:v>5.9034485023197764E-3</c:v>
                </c:pt>
                <c:pt idx="11571">
                  <c:v>8.4041473229173121E-4</c:v>
                </c:pt>
                <c:pt idx="11572">
                  <c:v>5.0401594953462751E-3</c:v>
                </c:pt>
                <c:pt idx="11573">
                  <c:v>9.2876859950776578E-3</c:v>
                </c:pt>
                <c:pt idx="11574">
                  <c:v>3.9479780526816832E-3</c:v>
                </c:pt>
                <c:pt idx="11575">
                  <c:v>8.6858838561511427E-4</c:v>
                </c:pt>
                <c:pt idx="11576">
                  <c:v>7.5954495898850494E-3</c:v>
                </c:pt>
                <c:pt idx="11577">
                  <c:v>8.167364804989443E-3</c:v>
                </c:pt>
                <c:pt idx="11578">
                  <c:v>3.0398210435487491E-3</c:v>
                </c:pt>
                <c:pt idx="11579">
                  <c:v>2.3073465294176404E-3</c:v>
                </c:pt>
                <c:pt idx="11580">
                  <c:v>9.6093716184659592E-3</c:v>
                </c:pt>
                <c:pt idx="11581">
                  <c:v>7.4084862530544963E-3</c:v>
                </c:pt>
                <c:pt idx="11582">
                  <c:v>2.2140259610121025E-3</c:v>
                </c:pt>
                <c:pt idx="11583">
                  <c:v>4.9276726634650825E-3</c:v>
                </c:pt>
                <c:pt idx="11584">
                  <c:v>1.4994895432796551E-2</c:v>
                </c:pt>
                <c:pt idx="11585">
                  <c:v>4.6781226830932901E-3</c:v>
                </c:pt>
                <c:pt idx="11586">
                  <c:v>2.283788391106301E-4</c:v>
                </c:pt>
                <c:pt idx="11587">
                  <c:v>6.8569452448864554E-3</c:v>
                </c:pt>
                <c:pt idx="11588">
                  <c:v>5.3010854382678357E-3</c:v>
                </c:pt>
                <c:pt idx="11589">
                  <c:v>6.2255091508382487E-3</c:v>
                </c:pt>
                <c:pt idx="11590">
                  <c:v>7.2752577857767252E-3</c:v>
                </c:pt>
                <c:pt idx="11591">
                  <c:v>7.1693290723265869E-3</c:v>
                </c:pt>
                <c:pt idx="11592">
                  <c:v>4.2577299281059819E-3</c:v>
                </c:pt>
                <c:pt idx="11593">
                  <c:v>6.2546198850728651E-3</c:v>
                </c:pt>
                <c:pt idx="11594">
                  <c:v>3.5794297978725092E-3</c:v>
                </c:pt>
                <c:pt idx="11595">
                  <c:v>6.1531519621349324E-3</c:v>
                </c:pt>
                <c:pt idx="11596">
                  <c:v>1.0765834160550156E-3</c:v>
                </c:pt>
                <c:pt idx="11597">
                  <c:v>2.863829157172502E-3</c:v>
                </c:pt>
                <c:pt idx="11598">
                  <c:v>3.0424086274879109E-3</c:v>
                </c:pt>
                <c:pt idx="11599">
                  <c:v>2.7365356819384129E-3</c:v>
                </c:pt>
                <c:pt idx="11600">
                  <c:v>8.1223925116193823E-4</c:v>
                </c:pt>
                <c:pt idx="11601">
                  <c:v>5.5412733539241922E-3</c:v>
                </c:pt>
                <c:pt idx="11602">
                  <c:v>3.1239096309096368E-3</c:v>
                </c:pt>
                <c:pt idx="11603">
                  <c:v>6.2796988859114785E-4</c:v>
                </c:pt>
                <c:pt idx="11604">
                  <c:v>7.0255420190980982E-4</c:v>
                </c:pt>
                <c:pt idx="11605">
                  <c:v>2.417490840750366E-3</c:v>
                </c:pt>
                <c:pt idx="11606">
                  <c:v>2.3241939395357517E-3</c:v>
                </c:pt>
                <c:pt idx="11607">
                  <c:v>8.4214854834996312E-4</c:v>
                </c:pt>
                <c:pt idx="11608">
                  <c:v>0</c:v>
                </c:pt>
                <c:pt idx="11609">
                  <c:v>4.0077945839492564E-3</c:v>
                </c:pt>
                <c:pt idx="11610">
                  <c:v>3.7189638231145961E-3</c:v>
                </c:pt>
                <c:pt idx="11611">
                  <c:v>7.5414864404594641E-4</c:v>
                </c:pt>
                <c:pt idx="11612">
                  <c:v>0</c:v>
                </c:pt>
                <c:pt idx="11613">
                  <c:v>2.9992802155770371E-3</c:v>
                </c:pt>
                <c:pt idx="11614">
                  <c:v>2.7050301810658101E-3</c:v>
                </c:pt>
                <c:pt idx="11615">
                  <c:v>1.0137620840686349E-3</c:v>
                </c:pt>
                <c:pt idx="11616">
                  <c:v>7.9489958494531631E-4</c:v>
                </c:pt>
                <c:pt idx="11617">
                  <c:v>3.416152528927774E-3</c:v>
                </c:pt>
                <c:pt idx="11618">
                  <c:v>2.6795651608543486E-3</c:v>
                </c:pt>
                <c:pt idx="11619">
                  <c:v>1.2099944460580044E-3</c:v>
                </c:pt>
                <c:pt idx="11620">
                  <c:v>3.7767193577503564E-4</c:v>
                </c:pt>
                <c:pt idx="11621">
                  <c:v>1.7371733090137263E-3</c:v>
                </c:pt>
                <c:pt idx="11622">
                  <c:v>2.0307828061688661E-3</c:v>
                </c:pt>
                <c:pt idx="11623">
                  <c:v>1.3663104191196033E-3</c:v>
                </c:pt>
                <c:pt idx="11624">
                  <c:v>1.0757169767271564E-3</c:v>
                </c:pt>
                <c:pt idx="11625">
                  <c:v>4.5767154590820964E-3</c:v>
                </c:pt>
                <c:pt idx="11626">
                  <c:v>2.0545569196216006E-3</c:v>
                </c:pt>
                <c:pt idx="11627">
                  <c:v>2.8595147349983981E-3</c:v>
                </c:pt>
                <c:pt idx="11628">
                  <c:v>1.8690843112876057E-3</c:v>
                </c:pt>
                <c:pt idx="11629">
                  <c:v>4.8714183199109586E-3</c:v>
                </c:pt>
                <c:pt idx="11630">
                  <c:v>1.2177899271807457E-3</c:v>
                </c:pt>
                <c:pt idx="11631">
                  <c:v>8.7552315843235817E-4</c:v>
                </c:pt>
                <c:pt idx="11632">
                  <c:v>2.6920820522943908E-3</c:v>
                </c:pt>
                <c:pt idx="11633">
                  <c:v>5.3251102083655116E-3</c:v>
                </c:pt>
                <c:pt idx="11634">
                  <c:v>1.9002181130940068E-3</c:v>
                </c:pt>
                <c:pt idx="11635">
                  <c:v>2.2801301016420034E-3</c:v>
                </c:pt>
                <c:pt idx="11636">
                  <c:v>3.8149750908149289E-3</c:v>
                </c:pt>
                <c:pt idx="11637">
                  <c:v>5.5211198310504538E-3</c:v>
                </c:pt>
                <c:pt idx="11638">
                  <c:v>3.009631425046982E-3</c:v>
                </c:pt>
                <c:pt idx="11639">
                  <c:v>2.8047178443803859E-3</c:v>
                </c:pt>
                <c:pt idx="11640">
                  <c:v>7.5886212951520636E-3</c:v>
                </c:pt>
                <c:pt idx="11641">
                  <c:v>5.4653711729939231E-3</c:v>
                </c:pt>
                <c:pt idx="11642">
                  <c:v>6.0923454760927155E-3</c:v>
                </c:pt>
                <c:pt idx="11643">
                  <c:v>4.7524442967505137E-3</c:v>
                </c:pt>
                <c:pt idx="11644">
                  <c:v>5.875171137367673E-3</c:v>
                </c:pt>
                <c:pt idx="11645">
                  <c:v>1.0586564263879049E-2</c:v>
                </c:pt>
                <c:pt idx="11646">
                  <c:v>7.4012280623386431E-3</c:v>
                </c:pt>
                <c:pt idx="11647">
                  <c:v>3.5617695185480038E-3</c:v>
                </c:pt>
                <c:pt idx="11648">
                  <c:v>6.2225123468323939E-3</c:v>
                </c:pt>
                <c:pt idx="11649">
                  <c:v>6.1728480123561403E-3</c:v>
                </c:pt>
                <c:pt idx="11650">
                  <c:v>2.808601316227882E-3</c:v>
                </c:pt>
                <c:pt idx="11651">
                  <c:v>3.8860011578487016E-3</c:v>
                </c:pt>
                <c:pt idx="11652">
                  <c:v>4.025867023087301E-3</c:v>
                </c:pt>
                <c:pt idx="11653">
                  <c:v>5.1341623980532599E-3</c:v>
                </c:pt>
                <c:pt idx="11654">
                  <c:v>3.2467790558062251E-3</c:v>
                </c:pt>
                <c:pt idx="11655">
                  <c:v>3.9238769778739812E-3</c:v>
                </c:pt>
                <c:pt idx="11656">
                  <c:v>9.6777575271952392E-3</c:v>
                </c:pt>
                <c:pt idx="11657">
                  <c:v>7.3692051845466924E-3</c:v>
                </c:pt>
                <c:pt idx="11658">
                  <c:v>5.4203381858703228E-3</c:v>
                </c:pt>
                <c:pt idx="11659">
                  <c:v>0.16291343421901772</c:v>
                </c:pt>
                <c:pt idx="11660">
                  <c:v>6.526796439363082E-3</c:v>
                </c:pt>
                <c:pt idx="11661">
                  <c:v>4.8864488197076401E-3</c:v>
                </c:pt>
                <c:pt idx="11662">
                  <c:v>5.3993211937407729E-3</c:v>
                </c:pt>
                <c:pt idx="11663">
                  <c:v>5.3328321736564304E-3</c:v>
                </c:pt>
                <c:pt idx="11664">
                  <c:v>7.3038711912667585E-3</c:v>
                </c:pt>
                <c:pt idx="11665">
                  <c:v>5.7744716287778958E-3</c:v>
                </c:pt>
                <c:pt idx="11666">
                  <c:v>6.8372801960072359E-3</c:v>
                </c:pt>
                <c:pt idx="11667">
                  <c:v>7.8394906282927695E-3</c:v>
                </c:pt>
                <c:pt idx="11668">
                  <c:v>8.6099645662968804E-3</c:v>
                </c:pt>
                <c:pt idx="11669">
                  <c:v>8.4822149881529207E-3</c:v>
                </c:pt>
                <c:pt idx="11670">
                  <c:v>7.9256401983987517E-3</c:v>
                </c:pt>
                <c:pt idx="11671">
                  <c:v>7.6931677956221193E-3</c:v>
                </c:pt>
                <c:pt idx="11672">
                  <c:v>5.1195696742621401E-3</c:v>
                </c:pt>
                <c:pt idx="11673">
                  <c:v>5.6098740811763416E-3</c:v>
                </c:pt>
                <c:pt idx="11674">
                  <c:v>8.065063932509265E-3</c:v>
                </c:pt>
                <c:pt idx="11675">
                  <c:v>6.4442200078042959E-3</c:v>
                </c:pt>
                <c:pt idx="11676">
                  <c:v>3.093294645429864E-3</c:v>
                </c:pt>
                <c:pt idx="11677">
                  <c:v>4.1299840481964179E-3</c:v>
                </c:pt>
                <c:pt idx="11678">
                  <c:v>5.7603289769152695E-3</c:v>
                </c:pt>
                <c:pt idx="11679">
                  <c:v>7.2564658670310912E-3</c:v>
                </c:pt>
                <c:pt idx="11680">
                  <c:v>8.834287045376624E-3</c:v>
                </c:pt>
                <c:pt idx="11681">
                  <c:v>1.11443977429086E-2</c:v>
                </c:pt>
                <c:pt idx="11682">
                  <c:v>7.0561105547420561E-3</c:v>
                </c:pt>
                <c:pt idx="11683">
                  <c:v>7.6475118072445456E-3</c:v>
                </c:pt>
                <c:pt idx="11684">
                  <c:v>5.9407770979371256E-2</c:v>
                </c:pt>
                <c:pt idx="11685">
                  <c:v>3.5764146790695289E-3</c:v>
                </c:pt>
                <c:pt idx="11686">
                  <c:v>7.0385497744874896E-4</c:v>
                </c:pt>
                <c:pt idx="11687">
                  <c:v>6.9142253127808667E-3</c:v>
                </c:pt>
                <c:pt idx="11688">
                  <c:v>2.0623372559183542E-3</c:v>
                </c:pt>
                <c:pt idx="11689">
                  <c:v>4.2108511246098535E-3</c:v>
                </c:pt>
                <c:pt idx="11690">
                  <c:v>2.9949671388145209E-3</c:v>
                </c:pt>
                <c:pt idx="11691">
                  <c:v>4.7099149877933635E-3</c:v>
                </c:pt>
                <c:pt idx="11692">
                  <c:v>2.5984124239503597E-3</c:v>
                </c:pt>
                <c:pt idx="11693">
                  <c:v>2.382074932760771E-3</c:v>
                </c:pt>
                <c:pt idx="11694">
                  <c:v>2.4140357573503237E-3</c:v>
                </c:pt>
                <c:pt idx="11695">
                  <c:v>4.4451945563495146E-3</c:v>
                </c:pt>
                <c:pt idx="11696">
                  <c:v>2.5820073686767279E-3</c:v>
                </c:pt>
                <c:pt idx="11697">
                  <c:v>4.6072260549313007E-3</c:v>
                </c:pt>
                <c:pt idx="11698">
                  <c:v>5.1427461241831699E-3</c:v>
                </c:pt>
                <c:pt idx="11699">
                  <c:v>7.5322837667958975E-3</c:v>
                </c:pt>
                <c:pt idx="11700">
                  <c:v>9.4882894083928668E-3</c:v>
                </c:pt>
                <c:pt idx="11701">
                  <c:v>6.6089294375112368E-3</c:v>
                </c:pt>
                <c:pt idx="11702">
                  <c:v>8.9547008424602625E-3</c:v>
                </c:pt>
                <c:pt idx="11703">
                  <c:v>5.2834950316872674E-3</c:v>
                </c:pt>
                <c:pt idx="11704">
                  <c:v>4.9615935168214973E-3</c:v>
                </c:pt>
                <c:pt idx="11705">
                  <c:v>3.1256343546073842E-3</c:v>
                </c:pt>
                <c:pt idx="11706">
                  <c:v>7.7371124846622938E-3</c:v>
                </c:pt>
                <c:pt idx="11707">
                  <c:v>7.9392860871533993E-3</c:v>
                </c:pt>
                <c:pt idx="11708">
                  <c:v>3.8717968736800574E-3</c:v>
                </c:pt>
                <c:pt idx="11709">
                  <c:v>2.2814261606887926E-3</c:v>
                </c:pt>
                <c:pt idx="11710">
                  <c:v>8.660628158119292E-3</c:v>
                </c:pt>
                <c:pt idx="11711">
                  <c:v>3.5807219852372969E-3</c:v>
                </c:pt>
                <c:pt idx="11712">
                  <c:v>2.1941495460404458E-3</c:v>
                </c:pt>
                <c:pt idx="11713">
                  <c:v>4.2164424403419616E-3</c:v>
                </c:pt>
                <c:pt idx="11714">
                  <c:v>3.4898287649571995E-3</c:v>
                </c:pt>
                <c:pt idx="11715">
                  <c:v>4.7382683231799918E-3</c:v>
                </c:pt>
                <c:pt idx="11716">
                  <c:v>1.2039311973323851E-3</c:v>
                </c:pt>
                <c:pt idx="11717">
                  <c:v>1.1080899322565566E-2</c:v>
                </c:pt>
                <c:pt idx="11718">
                  <c:v>9.6998426009941453E-3</c:v>
                </c:pt>
                <c:pt idx="11719">
                  <c:v>1.0272388244005275E-2</c:v>
                </c:pt>
                <c:pt idx="11720">
                  <c:v>4.3093337687275003E-3</c:v>
                </c:pt>
                <c:pt idx="11721">
                  <c:v>7.4417869848406367E-3</c:v>
                </c:pt>
                <c:pt idx="11722">
                  <c:v>5.5279807097914158E-3</c:v>
                </c:pt>
                <c:pt idx="11723">
                  <c:v>1.1069045255762907E-2</c:v>
                </c:pt>
                <c:pt idx="11724">
                  <c:v>4.5887480627167729E-3</c:v>
                </c:pt>
                <c:pt idx="11725">
                  <c:v>8.8925834059756254E-3</c:v>
                </c:pt>
                <c:pt idx="11726">
                  <c:v>1.1818429325229894E-3</c:v>
                </c:pt>
                <c:pt idx="11727">
                  <c:v>5.2663329727688423E-3</c:v>
                </c:pt>
                <c:pt idx="11728">
                  <c:v>1.2368449586485678E-3</c:v>
                </c:pt>
                <c:pt idx="11729">
                  <c:v>8.5886755793582181E-3</c:v>
                </c:pt>
                <c:pt idx="11730">
                  <c:v>2.5660334299234832E-3</c:v>
                </c:pt>
                <c:pt idx="11731">
                  <c:v>4.1166481371795512E-3</c:v>
                </c:pt>
                <c:pt idx="11732">
                  <c:v>1.142960278546085E-2</c:v>
                </c:pt>
                <c:pt idx="11733">
                  <c:v>4.8108616083219653E-3</c:v>
                </c:pt>
                <c:pt idx="11734">
                  <c:v>7.3149743931512122E-3</c:v>
                </c:pt>
                <c:pt idx="11735">
                  <c:v>7.0334633089303147E-3</c:v>
                </c:pt>
                <c:pt idx="11736">
                  <c:v>2.9565788684528345E-3</c:v>
                </c:pt>
                <c:pt idx="11737">
                  <c:v>5.4576515639716038E-3</c:v>
                </c:pt>
                <c:pt idx="11738">
                  <c:v>7.407632354560453E-3</c:v>
                </c:pt>
                <c:pt idx="11739">
                  <c:v>2.3814414638246652E-2</c:v>
                </c:pt>
                <c:pt idx="11740">
                  <c:v>6.7684455118505252E-3</c:v>
                </c:pt>
                <c:pt idx="11741">
                  <c:v>8.4200299300778974E-3</c:v>
                </c:pt>
                <c:pt idx="11742">
                  <c:v>1.0394948168408608E-2</c:v>
                </c:pt>
                <c:pt idx="11743">
                  <c:v>1.5201687052679278E-2</c:v>
                </c:pt>
                <c:pt idx="11744">
                  <c:v>6.5036937347155242E-3</c:v>
                </c:pt>
                <c:pt idx="11745">
                  <c:v>1.0148520933870668E-2</c:v>
                </c:pt>
                <c:pt idx="11746">
                  <c:v>1.6911803357878404E-2</c:v>
                </c:pt>
                <c:pt idx="11747">
                  <c:v>1.4034310468645166E-2</c:v>
                </c:pt>
                <c:pt idx="11748">
                  <c:v>9.227316832163053E-3</c:v>
                </c:pt>
                <c:pt idx="11749">
                  <c:v>1.1138894913909549E-2</c:v>
                </c:pt>
                <c:pt idx="11750">
                  <c:v>1.1068621890250071E-2</c:v>
                </c:pt>
                <c:pt idx="11751">
                  <c:v>1.0517049612042199E-2</c:v>
                </c:pt>
                <c:pt idx="11752">
                  <c:v>1.1475285891279078E-2</c:v>
                </c:pt>
                <c:pt idx="11753">
                  <c:v>8.8998167152168177E-3</c:v>
                </c:pt>
                <c:pt idx="11754">
                  <c:v>1.0271115814256956E-2</c:v>
                </c:pt>
                <c:pt idx="11755">
                  <c:v>1.1702783872482176E-2</c:v>
                </c:pt>
                <c:pt idx="11756">
                  <c:v>6.5511812943948007E-3</c:v>
                </c:pt>
                <c:pt idx="11757">
                  <c:v>1.0971660317421993E-2</c:v>
                </c:pt>
                <c:pt idx="11758">
                  <c:v>6.7265407966220631E-3</c:v>
                </c:pt>
                <c:pt idx="11759">
                  <c:v>1.1100373158496275E-2</c:v>
                </c:pt>
                <c:pt idx="11760">
                  <c:v>1.0653525174805752E-2</c:v>
                </c:pt>
                <c:pt idx="11761">
                  <c:v>1.4175149939989001E-2</c:v>
                </c:pt>
                <c:pt idx="11762">
                  <c:v>5.6158761292813171E-3</c:v>
                </c:pt>
                <c:pt idx="11763">
                  <c:v>1.43264489235615E-2</c:v>
                </c:pt>
                <c:pt idx="11764">
                  <c:v>7.9375803745070188E-3</c:v>
                </c:pt>
                <c:pt idx="11765">
                  <c:v>5.7719002717857588E-3</c:v>
                </c:pt>
                <c:pt idx="11766">
                  <c:v>4.3901674596283505E-3</c:v>
                </c:pt>
                <c:pt idx="11767">
                  <c:v>1.5085509966296498E-2</c:v>
                </c:pt>
                <c:pt idx="11768">
                  <c:v>7.0326086727566543E-3</c:v>
                </c:pt>
                <c:pt idx="11769">
                  <c:v>7.0522648792636341E-3</c:v>
                </c:pt>
                <c:pt idx="11770">
                  <c:v>7.2517677602909926E-3</c:v>
                </c:pt>
                <c:pt idx="11771">
                  <c:v>1.0704798386215656E-2</c:v>
                </c:pt>
                <c:pt idx="11772">
                  <c:v>1.0408940700342295E-2</c:v>
                </c:pt>
                <c:pt idx="11773">
                  <c:v>8.3910639867284254E-3</c:v>
                </c:pt>
                <c:pt idx="11774">
                  <c:v>1.1646977555510581E-2</c:v>
                </c:pt>
                <c:pt idx="11775">
                  <c:v>6.6760787327923479E-3</c:v>
                </c:pt>
                <c:pt idx="11776">
                  <c:v>5.4542205825830704E-3</c:v>
                </c:pt>
                <c:pt idx="11777">
                  <c:v>6.9761989664791852E-3</c:v>
                </c:pt>
                <c:pt idx="11778">
                  <c:v>6.4467873872384026E-3</c:v>
                </c:pt>
                <c:pt idx="11779">
                  <c:v>7.2791014871695621E-3</c:v>
                </c:pt>
                <c:pt idx="11780">
                  <c:v>4.6403125883436912E-3</c:v>
                </c:pt>
                <c:pt idx="11781">
                  <c:v>4.1325651449649102E-3</c:v>
                </c:pt>
                <c:pt idx="11782">
                  <c:v>6.3860220026910964E-3</c:v>
                </c:pt>
                <c:pt idx="11783">
                  <c:v>8.1886744539715079E-3</c:v>
                </c:pt>
                <c:pt idx="11784">
                  <c:v>7.8458884610146089E-3</c:v>
                </c:pt>
                <c:pt idx="11785">
                  <c:v>6.9830368968793743E-3</c:v>
                </c:pt>
                <c:pt idx="11786">
                  <c:v>7.8616693787691809E-3</c:v>
                </c:pt>
                <c:pt idx="11787">
                  <c:v>7.3072875913116446E-3</c:v>
                </c:pt>
                <c:pt idx="11788">
                  <c:v>1.0564948094676332E-2</c:v>
                </c:pt>
                <c:pt idx="11789">
                  <c:v>8.7398047927746952E-3</c:v>
                </c:pt>
                <c:pt idx="11790">
                  <c:v>6.0285323323748226E-3</c:v>
                </c:pt>
                <c:pt idx="11791">
                  <c:v>6.2383523623601592E-3</c:v>
                </c:pt>
                <c:pt idx="11792">
                  <c:v>5.9715636855294822E-3</c:v>
                </c:pt>
                <c:pt idx="11793">
                  <c:v>9.8030329653935339E-3</c:v>
                </c:pt>
                <c:pt idx="11794">
                  <c:v>7.9375803745070188E-3</c:v>
                </c:pt>
                <c:pt idx="11795">
                  <c:v>7.2257137004969945E-3</c:v>
                </c:pt>
                <c:pt idx="11796">
                  <c:v>1.0728102390440484E-2</c:v>
                </c:pt>
                <c:pt idx="11797">
                  <c:v>9.6989931958455945E-3</c:v>
                </c:pt>
                <c:pt idx="11798">
                  <c:v>8.3254575016070212E-3</c:v>
                </c:pt>
                <c:pt idx="11799">
                  <c:v>1.5751114780566167E-2</c:v>
                </c:pt>
                <c:pt idx="11800">
                  <c:v>1.5589418009674321E-2</c:v>
                </c:pt>
                <c:pt idx="11801">
                  <c:v>1.4098639833956518E-2</c:v>
                </c:pt>
                <c:pt idx="11802">
                  <c:v>1.1398298623616061E-2</c:v>
                </c:pt>
                <c:pt idx="11803">
                  <c:v>1.1060154493322099E-2</c:v>
                </c:pt>
                <c:pt idx="11804">
                  <c:v>1.5472506423960091E-2</c:v>
                </c:pt>
                <c:pt idx="11805">
                  <c:v>1.2582476347313012E-2</c:v>
                </c:pt>
                <c:pt idx="11806">
                  <c:v>1.6269311568956803E-2</c:v>
                </c:pt>
                <c:pt idx="11807">
                  <c:v>1.2752465763994284E-2</c:v>
                </c:pt>
                <c:pt idx="11808">
                  <c:v>1.1915796599917775E-2</c:v>
                </c:pt>
                <c:pt idx="11809">
                  <c:v>8.53331932886911E-3</c:v>
                </c:pt>
                <c:pt idx="11810">
                  <c:v>9.4139239511168808E-3</c:v>
                </c:pt>
                <c:pt idx="11811">
                  <c:v>1.0632336129725629E-2</c:v>
                </c:pt>
                <c:pt idx="11812">
                  <c:v>9.2196638037435833E-3</c:v>
                </c:pt>
                <c:pt idx="11813">
                  <c:v>1.0281719281581695E-2</c:v>
                </c:pt>
                <c:pt idx="11814">
                  <c:v>1.2244831105715502E-2</c:v>
                </c:pt>
                <c:pt idx="11815">
                  <c:v>1.1402952087751236E-2</c:v>
                </c:pt>
                <c:pt idx="11816">
                  <c:v>9.341671025875211E-3</c:v>
                </c:pt>
                <c:pt idx="11817">
                  <c:v>1.0450067653947546E-2</c:v>
                </c:pt>
                <c:pt idx="11818">
                  <c:v>1.8622285337822495E-2</c:v>
                </c:pt>
                <c:pt idx="11819">
                  <c:v>1.5149264417493993E-2</c:v>
                </c:pt>
                <c:pt idx="11820">
                  <c:v>1.6630595035998869E-2</c:v>
                </c:pt>
                <c:pt idx="11821">
                  <c:v>5.5978697361115728E-3</c:v>
                </c:pt>
                <c:pt idx="11822">
                  <c:v>8.9785243512362951E-3</c:v>
                </c:pt>
                <c:pt idx="11823">
                  <c:v>6.8894333748768721E-3</c:v>
                </c:pt>
                <c:pt idx="11824">
                  <c:v>1.8492869591481283E-2</c:v>
                </c:pt>
                <c:pt idx="11825">
                  <c:v>7.4285523843643647E-3</c:v>
                </c:pt>
                <c:pt idx="11826">
                  <c:v>6.8552352759840614E-3</c:v>
                </c:pt>
                <c:pt idx="11827">
                  <c:v>4.0736262780471369E-3</c:v>
                </c:pt>
                <c:pt idx="11828">
                  <c:v>5.1736461335811397E-3</c:v>
                </c:pt>
                <c:pt idx="11829">
                  <c:v>6.4039957483899819E-3</c:v>
                </c:pt>
                <c:pt idx="11830">
                  <c:v>1.1434255914185905E-2</c:v>
                </c:pt>
                <c:pt idx="11831">
                  <c:v>7.2547574704605461E-3</c:v>
                </c:pt>
                <c:pt idx="11832">
                  <c:v>7.2675702809339958E-3</c:v>
                </c:pt>
                <c:pt idx="11833">
                  <c:v>6.9838916306094413E-3</c:v>
                </c:pt>
                <c:pt idx="11834">
                  <c:v>6.1719916809204788E-3</c:v>
                </c:pt>
                <c:pt idx="11835">
                  <c:v>4.8061369707731397E-3</c:v>
                </c:pt>
                <c:pt idx="11836">
                  <c:v>9.701541406307395E-3</c:v>
                </c:pt>
                <c:pt idx="11837">
                  <c:v>1.0059840784532648E-2</c:v>
                </c:pt>
                <c:pt idx="11838">
                  <c:v>9.146953306838795E-3</c:v>
                </c:pt>
                <c:pt idx="11839">
                  <c:v>1.3898472730873844E-2</c:v>
                </c:pt>
                <c:pt idx="11840">
                  <c:v>9.6216903723396752E-3</c:v>
                </c:pt>
                <c:pt idx="11841">
                  <c:v>6.5263686226677067E-3</c:v>
                </c:pt>
                <c:pt idx="11842">
                  <c:v>1.5337117848169605E-2</c:v>
                </c:pt>
                <c:pt idx="11843">
                  <c:v>2.2565690463757039E-2</c:v>
                </c:pt>
                <c:pt idx="11844">
                  <c:v>2.559911986449771E-2</c:v>
                </c:pt>
                <c:pt idx="11845">
                  <c:v>1.2568975576536391E-2</c:v>
                </c:pt>
                <c:pt idx="11846">
                  <c:v>8.4251413665994476E-3</c:v>
                </c:pt>
                <c:pt idx="11847">
                  <c:v>7.0710656356706486E-3</c:v>
                </c:pt>
                <c:pt idx="11848">
                  <c:v>1.4874046637165272E-2</c:v>
                </c:pt>
                <c:pt idx="11849">
                  <c:v>8.7913044248970566E-3</c:v>
                </c:pt>
                <c:pt idx="11850">
                  <c:v>1.0295291341999352E-2</c:v>
                </c:pt>
                <c:pt idx="11851">
                  <c:v>9.2570773274157914E-3</c:v>
                </c:pt>
                <c:pt idx="11852">
                  <c:v>4.7829425500096855E-3</c:v>
                </c:pt>
                <c:pt idx="11853">
                  <c:v>1.2006210890724241E-2</c:v>
                </c:pt>
                <c:pt idx="11854">
                  <c:v>1.1410989771997929E-2</c:v>
                </c:pt>
                <c:pt idx="11855">
                  <c:v>8.1038558496613379E-3</c:v>
                </c:pt>
                <c:pt idx="11856">
                  <c:v>7.8160311019181607E-3</c:v>
                </c:pt>
                <c:pt idx="11857">
                  <c:v>9.053389729206841E-3</c:v>
                </c:pt>
                <c:pt idx="11858">
                  <c:v>1.1817333463316327E-2</c:v>
                </c:pt>
                <c:pt idx="11859">
                  <c:v>9.0134064171323615E-3</c:v>
                </c:pt>
                <c:pt idx="11860">
                  <c:v>8.7793876977228427E-3</c:v>
                </c:pt>
                <c:pt idx="11861">
                  <c:v>1.0885265833456507E-2</c:v>
                </c:pt>
                <c:pt idx="11862">
                  <c:v>9.1703410520298269E-3</c:v>
                </c:pt>
                <c:pt idx="11863">
                  <c:v>1.1879034005875292E-2</c:v>
                </c:pt>
                <c:pt idx="11864">
                  <c:v>1.4986504241786436E-2</c:v>
                </c:pt>
                <c:pt idx="11865">
                  <c:v>1.8552796789188836E-2</c:v>
                </c:pt>
                <c:pt idx="11866">
                  <c:v>9.3497469495028955E-3</c:v>
                </c:pt>
                <c:pt idx="11867">
                  <c:v>8.415344393751141E-3</c:v>
                </c:pt>
                <c:pt idx="11868">
                  <c:v>1.051916912563565E-2</c:v>
                </c:pt>
                <c:pt idx="11869">
                  <c:v>1.0374170546844348E-2</c:v>
                </c:pt>
                <c:pt idx="11870">
                  <c:v>7.2991735973223148E-3</c:v>
                </c:pt>
                <c:pt idx="11871">
                  <c:v>1.1830434996491435E-2</c:v>
                </c:pt>
                <c:pt idx="11872">
                  <c:v>1.3497019530534482E-2</c:v>
                </c:pt>
                <c:pt idx="11873">
                  <c:v>8.0224314558036049E-3</c:v>
                </c:pt>
                <c:pt idx="11874">
                  <c:v>9.4300729613389089E-3</c:v>
                </c:pt>
                <c:pt idx="11875">
                  <c:v>7.9507994722923456E-3</c:v>
                </c:pt>
                <c:pt idx="11876">
                  <c:v>7.1394251625231768E-3</c:v>
                </c:pt>
                <c:pt idx="11877">
                  <c:v>5.9518585043723659E-3</c:v>
                </c:pt>
                <c:pt idx="11878">
                  <c:v>3.9677743636259933E-3</c:v>
                </c:pt>
                <c:pt idx="11879">
                  <c:v>4.9212316958110146E-3</c:v>
                </c:pt>
                <c:pt idx="11880">
                  <c:v>3.675471914478633E-3</c:v>
                </c:pt>
                <c:pt idx="11881">
                  <c:v>5.3045176296519295E-3</c:v>
                </c:pt>
                <c:pt idx="11882">
                  <c:v>3.7284367305112395E-3</c:v>
                </c:pt>
                <c:pt idx="11883">
                  <c:v>1.3748707597720554E-2</c:v>
                </c:pt>
                <c:pt idx="11884">
                  <c:v>3.8123921058509061E-3</c:v>
                </c:pt>
                <c:pt idx="11885">
                  <c:v>1.8729761585740696E-3</c:v>
                </c:pt>
                <c:pt idx="11886">
                  <c:v>3.2997961761229498E-3</c:v>
                </c:pt>
                <c:pt idx="11887">
                  <c:v>6.7872585586443044E-3</c:v>
                </c:pt>
                <c:pt idx="11888">
                  <c:v>6.2567603032256313E-3</c:v>
                </c:pt>
                <c:pt idx="11889">
                  <c:v>5.4898156963561571E-3</c:v>
                </c:pt>
                <c:pt idx="11890">
                  <c:v>1.3288572021186924E-2</c:v>
                </c:pt>
                <c:pt idx="11891">
                  <c:v>3.0071204513511616E-2</c:v>
                </c:pt>
                <c:pt idx="11892">
                  <c:v>1.7787271172278331E-2</c:v>
                </c:pt>
                <c:pt idx="11893">
                  <c:v>8.3676342368894773E-3</c:v>
                </c:pt>
                <c:pt idx="11894">
                  <c:v>6.8056432488427842E-3</c:v>
                </c:pt>
                <c:pt idx="11895">
                  <c:v>7.4101940450060511E-3</c:v>
                </c:pt>
                <c:pt idx="11896">
                  <c:v>8.0642113239869657E-3</c:v>
                </c:pt>
                <c:pt idx="11897">
                  <c:v>3.983266499296605E-3</c:v>
                </c:pt>
                <c:pt idx="11898">
                  <c:v>7.6867677126752146E-3</c:v>
                </c:pt>
                <c:pt idx="11899">
                  <c:v>4.1114857391015046E-3</c:v>
                </c:pt>
                <c:pt idx="11900">
                  <c:v>3.3902982555743763E-3</c:v>
                </c:pt>
                <c:pt idx="11901">
                  <c:v>4.332553496695906E-3</c:v>
                </c:pt>
                <c:pt idx="11902">
                  <c:v>7.3508443362605468E-3</c:v>
                </c:pt>
                <c:pt idx="11903">
                  <c:v>4.9165082588190955E-3</c:v>
                </c:pt>
                <c:pt idx="11904">
                  <c:v>4.7219439016063852E-3</c:v>
                </c:pt>
                <c:pt idx="11905">
                  <c:v>6.0126846620958511E-3</c:v>
                </c:pt>
                <c:pt idx="11906">
                  <c:v>2.9112849724854646E-3</c:v>
                </c:pt>
                <c:pt idx="11907">
                  <c:v>3.4221849712503813E-3</c:v>
                </c:pt>
                <c:pt idx="11908">
                  <c:v>7.6078256004543958E-3</c:v>
                </c:pt>
                <c:pt idx="11909">
                  <c:v>2.6070464146705483E-3</c:v>
                </c:pt>
                <c:pt idx="11910">
                  <c:v>2.146615299558249E-3</c:v>
                </c:pt>
                <c:pt idx="11911">
                  <c:v>7.5724036648718044E-3</c:v>
                </c:pt>
                <c:pt idx="11912">
                  <c:v>7.9520787184668568E-3</c:v>
                </c:pt>
                <c:pt idx="11913">
                  <c:v>4.5496408819344844E-3</c:v>
                </c:pt>
                <c:pt idx="11914">
                  <c:v>3.5742610099656416E-3</c:v>
                </c:pt>
                <c:pt idx="11915">
                  <c:v>4.0004793352478524E-3</c:v>
                </c:pt>
                <c:pt idx="11916">
                  <c:v>2.5820073686767279E-3</c:v>
                </c:pt>
                <c:pt idx="11917">
                  <c:v>7.3747559858683039E-3</c:v>
                </c:pt>
                <c:pt idx="11918">
                  <c:v>3.8928879162804541E-3</c:v>
                </c:pt>
                <c:pt idx="11919">
                  <c:v>3.7168108607985731E-3</c:v>
                </c:pt>
                <c:pt idx="11920">
                  <c:v>1.8712464529746901E-3</c:v>
                </c:pt>
                <c:pt idx="11921">
                  <c:v>4.7013227025108255E-3</c:v>
                </c:pt>
                <c:pt idx="11922">
                  <c:v>3.7538403257466714E-3</c:v>
                </c:pt>
                <c:pt idx="11923">
                  <c:v>4.8078550267378218E-3</c:v>
                </c:pt>
                <c:pt idx="11924">
                  <c:v>3.1101115947420651E-3</c:v>
                </c:pt>
                <c:pt idx="11925">
                  <c:v>6.7748591420868859E-3</c:v>
                </c:pt>
                <c:pt idx="11926">
                  <c:v>8.4472902297133088E-3</c:v>
                </c:pt>
                <c:pt idx="11927">
                  <c:v>8.0654902361426764E-3</c:v>
                </c:pt>
                <c:pt idx="11928">
                  <c:v>7.7405254783048417E-3</c:v>
                </c:pt>
                <c:pt idx="11929">
                  <c:v>4.5010743159239388E-3</c:v>
                </c:pt>
                <c:pt idx="11930">
                  <c:v>6.9048216408651485E-3</c:v>
                </c:pt>
                <c:pt idx="11931">
                  <c:v>4.624843873491628E-3</c:v>
                </c:pt>
                <c:pt idx="11932">
                  <c:v>3.7689095529420545E-3</c:v>
                </c:pt>
                <c:pt idx="11933">
                  <c:v>5.5043959850252268E-3</c:v>
                </c:pt>
                <c:pt idx="11934">
                  <c:v>5.7410428003173411E-3</c:v>
                </c:pt>
                <c:pt idx="11935">
                  <c:v>6.2704587296076491E-3</c:v>
                </c:pt>
                <c:pt idx="11936">
                  <c:v>6.7445004553979733E-3</c:v>
                </c:pt>
                <c:pt idx="11937">
                  <c:v>5.7744716287778958E-3</c:v>
                </c:pt>
                <c:pt idx="11938">
                  <c:v>5.8336086380503848E-3</c:v>
                </c:pt>
                <c:pt idx="11939">
                  <c:v>7.1624940744752378E-3</c:v>
                </c:pt>
                <c:pt idx="11940">
                  <c:v>8.0642113239869657E-3</c:v>
                </c:pt>
                <c:pt idx="11941">
                  <c:v>1.0905171968696782E-2</c:v>
                </c:pt>
                <c:pt idx="11942">
                  <c:v>1.0255846366480883E-2</c:v>
                </c:pt>
                <c:pt idx="11943">
                  <c:v>1.297676682218811E-2</c:v>
                </c:pt>
                <c:pt idx="11944">
                  <c:v>1.5205461238221104E-2</c:v>
                </c:pt>
                <c:pt idx="11945">
                  <c:v>3.5893405149830152E-2</c:v>
                </c:pt>
                <c:pt idx="11946">
                  <c:v>1.0780214093222421E-2</c:v>
                </c:pt>
                <c:pt idx="11947">
                  <c:v>7.7209003985660059E-3</c:v>
                </c:pt>
                <c:pt idx="11948">
                  <c:v>9.9431287824470454E-3</c:v>
                </c:pt>
                <c:pt idx="11949">
                  <c:v>9.7928424156019604E-3</c:v>
                </c:pt>
                <c:pt idx="11950">
                  <c:v>1.2380764882413497E-2</c:v>
                </c:pt>
                <c:pt idx="11951">
                  <c:v>1.2454624093580266E-2</c:v>
                </c:pt>
                <c:pt idx="11952">
                  <c:v>1.0383499397856004E-2</c:v>
                </c:pt>
                <c:pt idx="11953">
                  <c:v>6.2734552027839639E-3</c:v>
                </c:pt>
                <c:pt idx="11954">
                  <c:v>7.1244724354338398E-3</c:v>
                </c:pt>
                <c:pt idx="11955">
                  <c:v>7.0526921782207222E-3</c:v>
                </c:pt>
                <c:pt idx="11956">
                  <c:v>9.8497365926429777E-3</c:v>
                </c:pt>
                <c:pt idx="11957">
                  <c:v>9.1154841713546996E-3</c:v>
                </c:pt>
                <c:pt idx="11958">
                  <c:v>1.2967493510399232E-2</c:v>
                </c:pt>
                <c:pt idx="11959">
                  <c:v>1.3484389195768673E-2</c:v>
                </c:pt>
                <c:pt idx="11960">
                  <c:v>9.553295633765781E-3</c:v>
                </c:pt>
                <c:pt idx="11961">
                  <c:v>1.1745902024559277E-2</c:v>
                </c:pt>
                <c:pt idx="11962">
                  <c:v>1.8658897585517732E-2</c:v>
                </c:pt>
                <c:pt idx="11963">
                  <c:v>1.7390232790084673E-2</c:v>
                </c:pt>
                <c:pt idx="11964">
                  <c:v>1.9866618105413934E-2</c:v>
                </c:pt>
                <c:pt idx="11965">
                  <c:v>1.0439892275444892E-2</c:v>
                </c:pt>
                <c:pt idx="11966">
                  <c:v>1.4678015455812781E-2</c:v>
                </c:pt>
                <c:pt idx="11967">
                  <c:v>1.1439331997754902E-2</c:v>
                </c:pt>
                <c:pt idx="11968">
                  <c:v>1.4457112011692284E-2</c:v>
                </c:pt>
                <c:pt idx="11969">
                  <c:v>1.2770177954709659E-2</c:v>
                </c:pt>
                <c:pt idx="11970">
                  <c:v>5.5498490374534656E-3</c:v>
                </c:pt>
                <c:pt idx="11971">
                  <c:v>5.0277100966844923E-3</c:v>
                </c:pt>
                <c:pt idx="11972">
                  <c:v>3.6806394979639477E-3</c:v>
                </c:pt>
                <c:pt idx="11973">
                  <c:v>2.4693137935410023E-3</c:v>
                </c:pt>
                <c:pt idx="11974">
                  <c:v>6.2888653096965863E-3</c:v>
                </c:pt>
                <c:pt idx="11975">
                  <c:v>5.4769503292525362E-3</c:v>
                </c:pt>
                <c:pt idx="11976">
                  <c:v>7.9742517201349342E-3</c:v>
                </c:pt>
                <c:pt idx="11977">
                  <c:v>1.0601822088507854E-2</c:v>
                </c:pt>
                <c:pt idx="11978">
                  <c:v>7.8339457636949616E-3</c:v>
                </c:pt>
                <c:pt idx="11979">
                  <c:v>2.9000686113873687E-3</c:v>
                </c:pt>
                <c:pt idx="11980">
                  <c:v>7.1449789014657377E-3</c:v>
                </c:pt>
                <c:pt idx="11981">
                  <c:v>9.671811353894463E-3</c:v>
                </c:pt>
                <c:pt idx="11982">
                  <c:v>1.2699746636038211E-2</c:v>
                </c:pt>
                <c:pt idx="11983">
                  <c:v>1.2411154193023908E-2</c:v>
                </c:pt>
                <c:pt idx="11984">
                  <c:v>7.7925703082489172E-3</c:v>
                </c:pt>
                <c:pt idx="11985">
                  <c:v>2.904814030281947E-3</c:v>
                </c:pt>
                <c:pt idx="11986">
                  <c:v>5.7689003360527815E-3</c:v>
                </c:pt>
                <c:pt idx="11987">
                  <c:v>1.2218652635821857E-2</c:v>
                </c:pt>
                <c:pt idx="11988">
                  <c:v>1.4414682328628152E-2</c:v>
                </c:pt>
                <c:pt idx="11989">
                  <c:v>3.4893979461064106E-3</c:v>
                </c:pt>
                <c:pt idx="11990">
                  <c:v>3.2256566115108926E-3</c:v>
                </c:pt>
                <c:pt idx="11991">
                  <c:v>2.2019273819753153E-3</c:v>
                </c:pt>
                <c:pt idx="11992">
                  <c:v>9.7011167056020153E-3</c:v>
                </c:pt>
                <c:pt idx="11993">
                  <c:v>4.4288591146856987E-3</c:v>
                </c:pt>
                <c:pt idx="11994">
                  <c:v>4.8722772196270929E-3</c:v>
                </c:pt>
                <c:pt idx="11995">
                  <c:v>4.354052137952185E-3</c:v>
                </c:pt>
                <c:pt idx="11996">
                  <c:v>3.5751224788888231E-3</c:v>
                </c:pt>
                <c:pt idx="11997">
                  <c:v>3.5268775874245108E-3</c:v>
                </c:pt>
                <c:pt idx="11998">
                  <c:v>4.2099909158002449E-3</c:v>
                </c:pt>
                <c:pt idx="11999">
                  <c:v>1.8699491692541698E-3</c:v>
                </c:pt>
                <c:pt idx="12000">
                  <c:v>4.1471910702387824E-3</c:v>
                </c:pt>
                <c:pt idx="12001">
                  <c:v>1.8932996833503886E-3</c:v>
                </c:pt>
                <c:pt idx="12002">
                  <c:v>7.6530590526378752E-3</c:v>
                </c:pt>
                <c:pt idx="12003">
                  <c:v>5.6613175163587074E-3</c:v>
                </c:pt>
                <c:pt idx="12004">
                  <c:v>5.5035383345357382E-3</c:v>
                </c:pt>
                <c:pt idx="12005">
                  <c:v>3.5914900637624148E-3</c:v>
                </c:pt>
                <c:pt idx="12006">
                  <c:v>2.6834497519763571E-3</c:v>
                </c:pt>
                <c:pt idx="12007">
                  <c:v>7.4144634955042709E-3</c:v>
                </c:pt>
                <c:pt idx="12008">
                  <c:v>8.5669597375313683E-3</c:v>
                </c:pt>
                <c:pt idx="12009">
                  <c:v>1.5889305233201131E-2</c:v>
                </c:pt>
                <c:pt idx="12010">
                  <c:v>5.1942449185070341E-3</c:v>
                </c:pt>
                <c:pt idx="12011">
                  <c:v>6.2165186767823748E-3</c:v>
                </c:pt>
                <c:pt idx="12012">
                  <c:v>3.501460712386141E-3</c:v>
                </c:pt>
                <c:pt idx="12013">
                  <c:v>7.0676473768607308E-3</c:v>
                </c:pt>
                <c:pt idx="12014">
                  <c:v>2.3708448954453715E-3</c:v>
                </c:pt>
                <c:pt idx="12015">
                  <c:v>4.3132038096018403E-3</c:v>
                </c:pt>
                <c:pt idx="12016">
                  <c:v>7.2991735973223148E-3</c:v>
                </c:pt>
                <c:pt idx="12017">
                  <c:v>3.820141014656192E-3</c:v>
                </c:pt>
                <c:pt idx="12018">
                  <c:v>1.6172249059592227E-2</c:v>
                </c:pt>
                <c:pt idx="12019">
                  <c:v>1.0595464726723351E-2</c:v>
                </c:pt>
                <c:pt idx="12020">
                  <c:v>1.1415220072378397E-2</c:v>
                </c:pt>
                <c:pt idx="12021">
                  <c:v>8.9729940103157324E-3</c:v>
                </c:pt>
                <c:pt idx="12022">
                  <c:v>1.7093468218214732E-2</c:v>
                </c:pt>
                <c:pt idx="12023">
                  <c:v>1.0193914768474862E-2</c:v>
                </c:pt>
                <c:pt idx="12024">
                  <c:v>9.3977743403801349E-3</c:v>
                </c:pt>
                <c:pt idx="12025">
                  <c:v>1.3254031661027765E-2</c:v>
                </c:pt>
                <c:pt idx="12026">
                  <c:v>1.259428917747204E-2</c:v>
                </c:pt>
                <c:pt idx="12027">
                  <c:v>1.2325045622801937E-2</c:v>
                </c:pt>
                <c:pt idx="12028">
                  <c:v>8.5759016862586735E-3</c:v>
                </c:pt>
                <c:pt idx="12029">
                  <c:v>8.442179053868076E-3</c:v>
                </c:pt>
                <c:pt idx="12030">
                  <c:v>9.8811525708035752E-3</c:v>
                </c:pt>
                <c:pt idx="12031">
                  <c:v>9.7762822621814873E-3</c:v>
                </c:pt>
                <c:pt idx="12032">
                  <c:v>6.6350205244106756E-3</c:v>
                </c:pt>
                <c:pt idx="12033">
                  <c:v>1.4656601979437954E-2</c:v>
                </c:pt>
                <c:pt idx="12034">
                  <c:v>2.7244516504310902E-3</c:v>
                </c:pt>
                <c:pt idx="12035">
                  <c:v>1.1363607592343351E-2</c:v>
                </c:pt>
                <c:pt idx="12036">
                  <c:v>7.484476495772936E-3</c:v>
                </c:pt>
                <c:pt idx="12037">
                  <c:v>1.0781485032251103E-2</c:v>
                </c:pt>
                <c:pt idx="12038">
                  <c:v>7.4341024272146696E-3</c:v>
                </c:pt>
                <c:pt idx="12039">
                  <c:v>7.6718338190032613E-3</c:v>
                </c:pt>
                <c:pt idx="12040">
                  <c:v>8.7483175499575103E-3</c:v>
                </c:pt>
                <c:pt idx="12041">
                  <c:v>1.0867476600170119E-2</c:v>
                </c:pt>
                <c:pt idx="12042">
                  <c:v>1.363550810459228E-2</c:v>
                </c:pt>
                <c:pt idx="12043">
                  <c:v>7.9043176388151407E-3</c:v>
                </c:pt>
                <c:pt idx="12044">
                  <c:v>1.0902207282975527E-2</c:v>
                </c:pt>
                <c:pt idx="12045">
                  <c:v>7.9610333361829072E-3</c:v>
                </c:pt>
                <c:pt idx="12046">
                  <c:v>1.0258815467816877E-2</c:v>
                </c:pt>
                <c:pt idx="12047">
                  <c:v>5.9347228374486043E-3</c:v>
                </c:pt>
                <c:pt idx="12048">
                  <c:v>1.0038622753325739E-2</c:v>
                </c:pt>
                <c:pt idx="12049">
                  <c:v>1.1818178735448395E-2</c:v>
                </c:pt>
                <c:pt idx="12050">
                  <c:v>7.2970383105500662E-3</c:v>
                </c:pt>
                <c:pt idx="12051">
                  <c:v>1.1248938248346448E-2</c:v>
                </c:pt>
                <c:pt idx="12052">
                  <c:v>8.1895268181825815E-3</c:v>
                </c:pt>
                <c:pt idx="12053">
                  <c:v>4.4924778978053118E-3</c:v>
                </c:pt>
                <c:pt idx="12054">
                  <c:v>6.4989874775384223E-3</c:v>
                </c:pt>
                <c:pt idx="12055">
                  <c:v>9.6076724525784602E-3</c:v>
                </c:pt>
                <c:pt idx="12056">
                  <c:v>1.0974201071498099E-2</c:v>
                </c:pt>
                <c:pt idx="12057">
                  <c:v>7.8719053431425701E-3</c:v>
                </c:pt>
                <c:pt idx="12058">
                  <c:v>7.5335642463314045E-3</c:v>
                </c:pt>
                <c:pt idx="12059">
                  <c:v>7.8121921496784267E-3</c:v>
                </c:pt>
                <c:pt idx="12060">
                  <c:v>7.0018406503633713E-3</c:v>
                </c:pt>
                <c:pt idx="12061">
                  <c:v>6.8552352759840614E-3</c:v>
                </c:pt>
                <c:pt idx="12062">
                  <c:v>8.7138398527410958E-3</c:v>
                </c:pt>
                <c:pt idx="12063">
                  <c:v>8.5277833157289297E-3</c:v>
                </c:pt>
                <c:pt idx="12064">
                  <c:v>7.0697837917698151E-3</c:v>
                </c:pt>
                <c:pt idx="12065">
                  <c:v>3.9699260821833126E-3</c:v>
                </c:pt>
                <c:pt idx="12066">
                  <c:v>8.7678962582615778E-3</c:v>
                </c:pt>
                <c:pt idx="12067">
                  <c:v>8.7470406470174806E-3</c:v>
                </c:pt>
                <c:pt idx="12068">
                  <c:v>7.9716933546393337E-3</c:v>
                </c:pt>
                <c:pt idx="12069">
                  <c:v>9.3323197687919177E-3</c:v>
                </c:pt>
                <c:pt idx="12070">
                  <c:v>1.4707824615935583E-2</c:v>
                </c:pt>
                <c:pt idx="12071">
                  <c:v>1.391655884433703E-2</c:v>
                </c:pt>
                <c:pt idx="12072">
                  <c:v>8.5661081137645961E-3</c:v>
                </c:pt>
                <c:pt idx="12073">
                  <c:v>5.3203911619849782E-3</c:v>
                </c:pt>
                <c:pt idx="12074">
                  <c:v>7.9422710681646622E-3</c:v>
                </c:pt>
                <c:pt idx="12075">
                  <c:v>5.6308808866490506E-3</c:v>
                </c:pt>
                <c:pt idx="12076">
                  <c:v>8.8193925595389799E-3</c:v>
                </c:pt>
                <c:pt idx="12077">
                  <c:v>1.0570882052181874E-2</c:v>
                </c:pt>
                <c:pt idx="12078">
                  <c:v>7.1637756447662133E-3</c:v>
                </c:pt>
                <c:pt idx="12079">
                  <c:v>7.6385507226997829E-3</c:v>
                </c:pt>
                <c:pt idx="12080">
                  <c:v>8.0126253941628801E-3</c:v>
                </c:pt>
                <c:pt idx="12081">
                  <c:v>9.3459215307149547E-3</c:v>
                </c:pt>
                <c:pt idx="12082">
                  <c:v>1.0569610496684733E-2</c:v>
                </c:pt>
                <c:pt idx="12083">
                  <c:v>5.110127062284012E-3</c:v>
                </c:pt>
                <c:pt idx="12084">
                  <c:v>1.1141857984342331E-2</c:v>
                </c:pt>
                <c:pt idx="12085">
                  <c:v>1.1652896747271794E-2</c:v>
                </c:pt>
                <c:pt idx="12086">
                  <c:v>1.0726407595933934E-2</c:v>
                </c:pt>
                <c:pt idx="12087">
                  <c:v>1.4824522486768384E-2</c:v>
                </c:pt>
                <c:pt idx="12088">
                  <c:v>1.2375277696912282E-2</c:v>
                </c:pt>
                <c:pt idx="12089">
                  <c:v>1.0411484748622425E-2</c:v>
                </c:pt>
                <c:pt idx="12090">
                  <c:v>1.2720835055177663E-2</c:v>
                </c:pt>
                <c:pt idx="12091">
                  <c:v>1.6403155306132348E-2</c:v>
                </c:pt>
                <c:pt idx="12092">
                  <c:v>1.8569025648938545E-2</c:v>
                </c:pt>
                <c:pt idx="12093">
                  <c:v>1.0925500697038218E-2</c:v>
                </c:pt>
                <c:pt idx="12094">
                  <c:v>9.0555163980211312E-3</c:v>
                </c:pt>
                <c:pt idx="12095">
                  <c:v>1.292070241719947E-2</c:v>
                </c:pt>
                <c:pt idx="12096">
                  <c:v>1.7411094680119341E-2</c:v>
                </c:pt>
                <c:pt idx="12097">
                  <c:v>2.2719040853210411E-2</c:v>
                </c:pt>
                <c:pt idx="12098">
                  <c:v>2.4886117628093205E-2</c:v>
                </c:pt>
                <c:pt idx="12099">
                  <c:v>1.3804244514579548E-2</c:v>
                </c:pt>
                <c:pt idx="12100">
                  <c:v>1.919150623118044E-2</c:v>
                </c:pt>
                <c:pt idx="12101">
                  <c:v>1.2330111305450083E-2</c:v>
                </c:pt>
                <c:pt idx="12102">
                  <c:v>1.2466018396319643E-2</c:v>
                </c:pt>
                <c:pt idx="12103">
                  <c:v>1.2223719559600081E-2</c:v>
                </c:pt>
                <c:pt idx="12104">
                  <c:v>1.0518745223744496E-2</c:v>
                </c:pt>
                <c:pt idx="12105">
                  <c:v>8.8968383083546931E-3</c:v>
                </c:pt>
                <c:pt idx="12106">
                  <c:v>1.2909320037623717E-2</c:v>
                </c:pt>
                <c:pt idx="12107">
                  <c:v>9.0333985333024471E-3</c:v>
                </c:pt>
                <c:pt idx="12108">
                  <c:v>1.0998760927933377E-2</c:v>
                </c:pt>
                <c:pt idx="12109">
                  <c:v>1.2148131809941353E-2</c:v>
                </c:pt>
                <c:pt idx="12110">
                  <c:v>1.2691310981651636E-2</c:v>
                </c:pt>
                <c:pt idx="12111">
                  <c:v>1.5303997808777094E-2</c:v>
                </c:pt>
                <c:pt idx="12112">
                  <c:v>4.8649765178955633E-3</c:v>
                </c:pt>
                <c:pt idx="12113">
                  <c:v>6.2250810372463643E-3</c:v>
                </c:pt>
                <c:pt idx="12114">
                  <c:v>4.8181632198005088E-3</c:v>
                </c:pt>
                <c:pt idx="12115">
                  <c:v>8.4353640591685701E-3</c:v>
                </c:pt>
                <c:pt idx="12116">
                  <c:v>5.5661423696490376E-3</c:v>
                </c:pt>
                <c:pt idx="12117">
                  <c:v>8.4570864819503676E-3</c:v>
                </c:pt>
                <c:pt idx="12118">
                  <c:v>9.9783578915197645E-3</c:v>
                </c:pt>
                <c:pt idx="12119">
                  <c:v>1.7055888619161515E-2</c:v>
                </c:pt>
                <c:pt idx="12120">
                  <c:v>9.0329731787107109E-3</c:v>
                </c:pt>
                <c:pt idx="12121">
                  <c:v>7.40549760097988E-3</c:v>
                </c:pt>
                <c:pt idx="12122">
                  <c:v>9.4768167114299071E-3</c:v>
                </c:pt>
                <c:pt idx="12123">
                  <c:v>1.749494936785519E-2</c:v>
                </c:pt>
                <c:pt idx="12124">
                  <c:v>7.1069557289068826E-3</c:v>
                </c:pt>
                <c:pt idx="12125">
                  <c:v>7.222723790380952E-3</c:v>
                </c:pt>
                <c:pt idx="12126">
                  <c:v>1.0049231898508565E-2</c:v>
                </c:pt>
                <c:pt idx="12127">
                  <c:v>6.8748995118844197E-3</c:v>
                </c:pt>
                <c:pt idx="12128">
                  <c:v>9.0593443756439383E-3</c:v>
                </c:pt>
                <c:pt idx="12129">
                  <c:v>9.0236152722907425E-3</c:v>
                </c:pt>
                <c:pt idx="12130">
                  <c:v>1.2379920704541199E-2</c:v>
                </c:pt>
                <c:pt idx="12131">
                  <c:v>8.1452016608128969E-3</c:v>
                </c:pt>
                <c:pt idx="12132">
                  <c:v>1.1323836415441432E-2</c:v>
                </c:pt>
                <c:pt idx="12133">
                  <c:v>7.2436527289396905E-3</c:v>
                </c:pt>
                <c:pt idx="12134">
                  <c:v>1.6050890409211812E-2</c:v>
                </c:pt>
                <c:pt idx="12135">
                  <c:v>2.1950921070517788E-2</c:v>
                </c:pt>
                <c:pt idx="12136">
                  <c:v>1.7983987621564113E-2</c:v>
                </c:pt>
                <c:pt idx="12137">
                  <c:v>6.9287578597990503E-3</c:v>
                </c:pt>
                <c:pt idx="12138">
                  <c:v>8.6985155531337371E-3</c:v>
                </c:pt>
                <c:pt idx="12139">
                  <c:v>6.412126484223582E-3</c:v>
                </c:pt>
                <c:pt idx="12140">
                  <c:v>6.496848252871135E-3</c:v>
                </c:pt>
                <c:pt idx="12141">
                  <c:v>5.9514301209393E-3</c:v>
                </c:pt>
                <c:pt idx="12142">
                  <c:v>3.5264468053244958E-3</c:v>
                </c:pt>
                <c:pt idx="12143">
                  <c:v>9.2974633092984919E-3</c:v>
                </c:pt>
                <c:pt idx="12144">
                  <c:v>4.3875878933912153E-3</c:v>
                </c:pt>
                <c:pt idx="12145">
                  <c:v>8.572069445062544E-3</c:v>
                </c:pt>
                <c:pt idx="12146">
                  <c:v>1.1124079258495248E-2</c:v>
                </c:pt>
                <c:pt idx="12147">
                  <c:v>1.0695052704542237E-2</c:v>
                </c:pt>
                <c:pt idx="12148">
                  <c:v>8.5363002297922184E-3</c:v>
                </c:pt>
                <c:pt idx="12149">
                  <c:v>1.0285960596024121E-2</c:v>
                </c:pt>
                <c:pt idx="12150">
                  <c:v>7.6039848073298022E-3</c:v>
                </c:pt>
                <c:pt idx="12151">
                  <c:v>8.7657681805487237E-3</c:v>
                </c:pt>
                <c:pt idx="12152">
                  <c:v>6.8090635704571674E-3</c:v>
                </c:pt>
                <c:pt idx="12153">
                  <c:v>1.1659661439071371E-2</c:v>
                </c:pt>
                <c:pt idx="12154">
                  <c:v>9.7189537776456517E-3</c:v>
                </c:pt>
                <c:pt idx="12155">
                  <c:v>1.198255289459726E-2</c:v>
                </c:pt>
                <c:pt idx="12156">
                  <c:v>8.0612271809773779E-3</c:v>
                </c:pt>
                <c:pt idx="12157">
                  <c:v>1.0258815467816877E-2</c:v>
                </c:pt>
                <c:pt idx="12158">
                  <c:v>1.000849136775419E-2</c:v>
                </c:pt>
                <c:pt idx="12159">
                  <c:v>1.276216538648234E-2</c:v>
                </c:pt>
                <c:pt idx="12160">
                  <c:v>1.1723920756447818E-2</c:v>
                </c:pt>
                <c:pt idx="12161">
                  <c:v>3.1510732335772867E-3</c:v>
                </c:pt>
                <c:pt idx="12162">
                  <c:v>3.2670383942890071E-3</c:v>
                </c:pt>
                <c:pt idx="12163">
                  <c:v>3.9027874402066546E-3</c:v>
                </c:pt>
                <c:pt idx="12164">
                  <c:v>2.7848684459257857E-3</c:v>
                </c:pt>
                <c:pt idx="12165">
                  <c:v>4.7657606989132918E-3</c:v>
                </c:pt>
                <c:pt idx="12166">
                  <c:v>7.5062465307015949E-3</c:v>
                </c:pt>
                <c:pt idx="12167">
                  <c:v>4.57628571707221E-3</c:v>
                </c:pt>
                <c:pt idx="12168">
                  <c:v>1.7289545764594405E-3</c:v>
                </c:pt>
                <c:pt idx="12169">
                  <c:v>3.8265983330470323E-3</c:v>
                </c:pt>
                <c:pt idx="12170">
                  <c:v>4.837919905976735E-3</c:v>
                </c:pt>
                <c:pt idx="12171">
                  <c:v>1.7107862999380383E-3</c:v>
                </c:pt>
                <c:pt idx="12172">
                  <c:v>2.9514026622770302E-3</c:v>
                </c:pt>
                <c:pt idx="12173">
                  <c:v>4.2633206403343161E-3</c:v>
                </c:pt>
                <c:pt idx="12174">
                  <c:v>3.0717335013595048E-3</c:v>
                </c:pt>
                <c:pt idx="12175">
                  <c:v>2.0636339650833648E-3</c:v>
                </c:pt>
                <c:pt idx="12176">
                  <c:v>5.2534609835000424E-3</c:v>
                </c:pt>
                <c:pt idx="12177">
                  <c:v>2.7516402485113396E-3</c:v>
                </c:pt>
                <c:pt idx="12178">
                  <c:v>7.3089957812558599E-3</c:v>
                </c:pt>
                <c:pt idx="12179">
                  <c:v>3.0186885309532183E-3</c:v>
                </c:pt>
                <c:pt idx="12180">
                  <c:v>3.6474797686478332E-3</c:v>
                </c:pt>
                <c:pt idx="12181">
                  <c:v>2.6117950364026562E-3</c:v>
                </c:pt>
                <c:pt idx="12182">
                  <c:v>5.8760280542664274E-3</c:v>
                </c:pt>
                <c:pt idx="12183">
                  <c:v>3.5342008177494848E-3</c:v>
                </c:pt>
                <c:pt idx="12184">
                  <c:v>4.5694097870805682E-3</c:v>
                </c:pt>
                <c:pt idx="12185">
                  <c:v>7.6300161845608335E-3</c:v>
                </c:pt>
                <c:pt idx="12186">
                  <c:v>7.0573924390007715E-3</c:v>
                </c:pt>
                <c:pt idx="12187">
                  <c:v>3.4713031684448581E-3</c:v>
                </c:pt>
                <c:pt idx="12188">
                  <c:v>4.6506247588284765E-3</c:v>
                </c:pt>
                <c:pt idx="12189">
                  <c:v>2.7373988141802122E-3</c:v>
                </c:pt>
                <c:pt idx="12190">
                  <c:v>2.7896151237416442E-3</c:v>
                </c:pt>
                <c:pt idx="12191">
                  <c:v>3.7344648367295037E-3</c:v>
                </c:pt>
                <c:pt idx="12192">
                  <c:v>8.672548144370431E-3</c:v>
                </c:pt>
                <c:pt idx="12193">
                  <c:v>6.1570056074654305E-3</c:v>
                </c:pt>
                <c:pt idx="12194">
                  <c:v>3.2592796103628795E-3</c:v>
                </c:pt>
                <c:pt idx="12195">
                  <c:v>3.4023637746779314E-3</c:v>
                </c:pt>
                <c:pt idx="12196">
                  <c:v>3.4794889945811681E-3</c:v>
                </c:pt>
                <c:pt idx="12197">
                  <c:v>4.5290114997181352E-3</c:v>
                </c:pt>
                <c:pt idx="12198">
                  <c:v>4.9259550814308457E-3</c:v>
                </c:pt>
                <c:pt idx="12199">
                  <c:v>3.6461877798972726E-3</c:v>
                </c:pt>
                <c:pt idx="12200">
                  <c:v>3.2976411348257851E-3</c:v>
                </c:pt>
                <c:pt idx="12201">
                  <c:v>5.469659785382666E-3</c:v>
                </c:pt>
                <c:pt idx="12202">
                  <c:v>2.1941495460404458E-3</c:v>
                </c:pt>
                <c:pt idx="12203">
                  <c:v>2.8478655810338189E-3</c:v>
                </c:pt>
                <c:pt idx="12204">
                  <c:v>2.8715950090781256E-3</c:v>
                </c:pt>
                <c:pt idx="12205">
                  <c:v>4.9220904970174962E-3</c:v>
                </c:pt>
                <c:pt idx="12206">
                  <c:v>3.4549310532845609E-3</c:v>
                </c:pt>
                <c:pt idx="12207">
                  <c:v>4.1140669458110688E-3</c:v>
                </c:pt>
                <c:pt idx="12208">
                  <c:v>2.8478655810338189E-3</c:v>
                </c:pt>
                <c:pt idx="12209">
                  <c:v>3.9200034660988306E-3</c:v>
                </c:pt>
                <c:pt idx="12210">
                  <c:v>3.5884750286876784E-3</c:v>
                </c:pt>
                <c:pt idx="12211">
                  <c:v>2.1626046722454527E-3</c:v>
                </c:pt>
                <c:pt idx="12212">
                  <c:v>6.218231162380205E-3</c:v>
                </c:pt>
                <c:pt idx="12213">
                  <c:v>1.1483322236935245E-2</c:v>
                </c:pt>
                <c:pt idx="12214">
                  <c:v>9.9083213139682449E-3</c:v>
                </c:pt>
                <c:pt idx="12215">
                  <c:v>8.3944718450443545E-3</c:v>
                </c:pt>
                <c:pt idx="12216">
                  <c:v>4.5526492516371302E-3</c:v>
                </c:pt>
                <c:pt idx="12217">
                  <c:v>4.2336460372568441E-3</c:v>
                </c:pt>
                <c:pt idx="12218">
                  <c:v>5.6017283117830155E-3</c:v>
                </c:pt>
                <c:pt idx="12219">
                  <c:v>7.2534761686223583E-3</c:v>
                </c:pt>
                <c:pt idx="12220">
                  <c:v>8.4604938222368597E-3</c:v>
                </c:pt>
                <c:pt idx="12221">
                  <c:v>4.7812243954888749E-3</c:v>
                </c:pt>
                <c:pt idx="12222">
                  <c:v>7.5066733832232693E-3</c:v>
                </c:pt>
                <c:pt idx="12223">
                  <c:v>7.1765911396804091E-3</c:v>
                </c:pt>
                <c:pt idx="12224">
                  <c:v>6.0392398903333106E-3</c:v>
                </c:pt>
                <c:pt idx="12225">
                  <c:v>6.4164057577320499E-3</c:v>
                </c:pt>
                <c:pt idx="12226">
                  <c:v>5.2779174369279184E-3</c:v>
                </c:pt>
                <c:pt idx="12227">
                  <c:v>6.4951368655504884E-3</c:v>
                </c:pt>
                <c:pt idx="12228">
                  <c:v>1.0336429058905344E-2</c:v>
                </c:pt>
                <c:pt idx="12229">
                  <c:v>8.431530577653638E-3</c:v>
                </c:pt>
                <c:pt idx="12230">
                  <c:v>6.9813274243727208E-3</c:v>
                </c:pt>
                <c:pt idx="12231">
                  <c:v>1.0280446879171921E-2</c:v>
                </c:pt>
                <c:pt idx="12232">
                  <c:v>1.0628098196650303E-2</c:v>
                </c:pt>
                <c:pt idx="12233">
                  <c:v>5.7954704743752479E-3</c:v>
                </c:pt>
                <c:pt idx="12234">
                  <c:v>6.4052795589047687E-3</c:v>
                </c:pt>
                <c:pt idx="12235">
                  <c:v>1.1267135036128684E-2</c:v>
                </c:pt>
                <c:pt idx="12236">
                  <c:v>1.3138175028688684E-2</c:v>
                </c:pt>
                <c:pt idx="12237">
                  <c:v>7.2218695265670162E-3</c:v>
                </c:pt>
                <c:pt idx="12238">
                  <c:v>6.2653218703478527E-3</c:v>
                </c:pt>
                <c:pt idx="12239">
                  <c:v>1.0506875802802408E-2</c:v>
                </c:pt>
                <c:pt idx="12240">
                  <c:v>1.6447063795983957E-2</c:v>
                </c:pt>
                <c:pt idx="12241">
                  <c:v>1.6872537056593244E-2</c:v>
                </c:pt>
                <c:pt idx="12242">
                  <c:v>1.2954426234967552E-2</c:v>
                </c:pt>
                <c:pt idx="12243">
                  <c:v>0.16591558318671867</c:v>
                </c:pt>
                <c:pt idx="12244">
                  <c:v>1.3000370722374838E-2</c:v>
                </c:pt>
                <c:pt idx="12245">
                  <c:v>1.0620046009873346E-2</c:v>
                </c:pt>
                <c:pt idx="12246">
                  <c:v>1.4061220643497621E-2</c:v>
                </c:pt>
                <c:pt idx="12247">
                  <c:v>7.916684850882592E-3</c:v>
                </c:pt>
                <c:pt idx="12248">
                  <c:v>7.3265043408179287E-3</c:v>
                </c:pt>
                <c:pt idx="12249">
                  <c:v>1.114863064084709E-2</c:v>
                </c:pt>
                <c:pt idx="12250">
                  <c:v>7.3747559858683039E-3</c:v>
                </c:pt>
                <c:pt idx="12251">
                  <c:v>1.0571729753778273E-2</c:v>
                </c:pt>
                <c:pt idx="12252">
                  <c:v>1.311415724103689E-2</c:v>
                </c:pt>
                <c:pt idx="12253">
                  <c:v>1.1090213005216532E-2</c:v>
                </c:pt>
                <c:pt idx="12254">
                  <c:v>1.1586089757334855E-2</c:v>
                </c:pt>
                <c:pt idx="12255">
                  <c:v>6.6602546746990666E-3</c:v>
                </c:pt>
                <c:pt idx="12256">
                  <c:v>3.854148479497417E-3</c:v>
                </c:pt>
                <c:pt idx="12257">
                  <c:v>1.1664734888773677E-2</c:v>
                </c:pt>
                <c:pt idx="12258">
                  <c:v>1.5939964050543143E-2</c:v>
                </c:pt>
                <c:pt idx="12259">
                  <c:v>1.0842909318121707E-2</c:v>
                </c:pt>
                <c:pt idx="12260">
                  <c:v>5.2320068202135325E-3</c:v>
                </c:pt>
                <c:pt idx="12261">
                  <c:v>1.3223280004484734E-2</c:v>
                </c:pt>
                <c:pt idx="12262">
                  <c:v>1.6664449957221682E-2</c:v>
                </c:pt>
                <c:pt idx="12263">
                  <c:v>1.3547537196711182E-2</c:v>
                </c:pt>
                <c:pt idx="12264">
                  <c:v>3.8829881666943536E-3</c:v>
                </c:pt>
                <c:pt idx="12265">
                  <c:v>1.6458933928675777E-3</c:v>
                </c:pt>
                <c:pt idx="12266">
                  <c:v>9.7622693314451479E-3</c:v>
                </c:pt>
                <c:pt idx="12267">
                  <c:v>4.5036532081791526E-3</c:v>
                </c:pt>
                <c:pt idx="12268">
                  <c:v>2.8077383254849994E-3</c:v>
                </c:pt>
                <c:pt idx="12269">
                  <c:v>2.7624289030132583E-3</c:v>
                </c:pt>
                <c:pt idx="12270">
                  <c:v>6.0525168955754228E-3</c:v>
                </c:pt>
                <c:pt idx="12271">
                  <c:v>8.2253246045154403E-3</c:v>
                </c:pt>
                <c:pt idx="12272">
                  <c:v>5.6664615247435926E-3</c:v>
                </c:pt>
                <c:pt idx="12273">
                  <c:v>3.8726577526121734E-3</c:v>
                </c:pt>
                <c:pt idx="12274">
                  <c:v>6.4262479267871379E-3</c:v>
                </c:pt>
                <c:pt idx="12275">
                  <c:v>7.0595289043572087E-3</c:v>
                </c:pt>
                <c:pt idx="12276">
                  <c:v>1.268890171703434E-3</c:v>
                </c:pt>
                <c:pt idx="12277">
                  <c:v>2.8508857620655518E-3</c:v>
                </c:pt>
                <c:pt idx="12278">
                  <c:v>1.1737025107901517E-2</c:v>
                </c:pt>
                <c:pt idx="12279">
                  <c:v>1.0753099841211287E-2</c:v>
                </c:pt>
                <c:pt idx="12280">
                  <c:v>3.9699260821833126E-3</c:v>
                </c:pt>
                <c:pt idx="12281">
                  <c:v>2.4567904799111802E-3</c:v>
                </c:pt>
                <c:pt idx="12282">
                  <c:v>5.6608888462430914E-3</c:v>
                </c:pt>
                <c:pt idx="12283">
                  <c:v>3.5410931570172186E-3</c:v>
                </c:pt>
                <c:pt idx="12284">
                  <c:v>2.9772830762437525E-3</c:v>
                </c:pt>
                <c:pt idx="12285">
                  <c:v>3.4295099671379512E-3</c:v>
                </c:pt>
                <c:pt idx="12286">
                  <c:v>7.0035500421278089E-3</c:v>
                </c:pt>
                <c:pt idx="12287">
                  <c:v>2.1051266142426308E-3</c:v>
                </c:pt>
                <c:pt idx="12288">
                  <c:v>3.5281699311608692E-3</c:v>
                </c:pt>
                <c:pt idx="12289">
                  <c:v>3.8915966573928895E-3</c:v>
                </c:pt>
                <c:pt idx="12290">
                  <c:v>3.4846589105406484E-3</c:v>
                </c:pt>
                <c:pt idx="12291">
                  <c:v>2.8042863453648899E-3</c:v>
                </c:pt>
                <c:pt idx="12292">
                  <c:v>2.6782702894256136E-3</c:v>
                </c:pt>
                <c:pt idx="12293">
                  <c:v>2.0234341805213589E-3</c:v>
                </c:pt>
                <c:pt idx="12294">
                  <c:v>2.621723804973955E-3</c:v>
                </c:pt>
                <c:pt idx="12295">
                  <c:v>2.0152208635287987E-3</c:v>
                </c:pt>
                <c:pt idx="12296">
                  <c:v>3.6212085752176087E-3</c:v>
                </c:pt>
                <c:pt idx="12297">
                  <c:v>1.932214417112972E-3</c:v>
                </c:pt>
                <c:pt idx="12298">
                  <c:v>4.6884339558403449E-3</c:v>
                </c:pt>
                <c:pt idx="12299">
                  <c:v>1.8630302572973619E-3</c:v>
                </c:pt>
                <c:pt idx="12300">
                  <c:v>2.6553935909039285E-3</c:v>
                </c:pt>
                <c:pt idx="12301">
                  <c:v>1.4974684985790997E-3</c:v>
                </c:pt>
                <c:pt idx="12302">
                  <c:v>6.3273881849062802E-3</c:v>
                </c:pt>
                <c:pt idx="12303">
                  <c:v>1.5364187151687117E-3</c:v>
                </c:pt>
                <c:pt idx="12304">
                  <c:v>1.1333567997411573E-2</c:v>
                </c:pt>
                <c:pt idx="12305">
                  <c:v>1.004074460309563E-2</c:v>
                </c:pt>
                <c:pt idx="12306">
                  <c:v>1.2101674710291697E-2</c:v>
                </c:pt>
                <c:pt idx="12307">
                  <c:v>8.5363002297922184E-3</c:v>
                </c:pt>
                <c:pt idx="12308">
                  <c:v>1.0677679425229448E-2</c:v>
                </c:pt>
                <c:pt idx="12309">
                  <c:v>9.0448829498087652E-3</c:v>
                </c:pt>
                <c:pt idx="12310">
                  <c:v>1.1920021986044064E-2</c:v>
                </c:pt>
                <c:pt idx="12311">
                  <c:v>1.2229630895959727E-2</c:v>
                </c:pt>
                <c:pt idx="12312">
                  <c:v>7.7750805284119567E-3</c:v>
                </c:pt>
                <c:pt idx="12313">
                  <c:v>1.430585854944715E-2</c:v>
                </c:pt>
                <c:pt idx="12314">
                  <c:v>9.9282722773907078E-3</c:v>
                </c:pt>
                <c:pt idx="12315">
                  <c:v>1.1917486759301541E-2</c:v>
                </c:pt>
                <c:pt idx="12316">
                  <c:v>1.2541128911260217E-2</c:v>
                </c:pt>
                <c:pt idx="12317">
                  <c:v>1.8347178723917675E-2</c:v>
                </c:pt>
                <c:pt idx="12318">
                  <c:v>8.3582619830191544E-3</c:v>
                </c:pt>
                <c:pt idx="12319">
                  <c:v>1.0502212727248678E-2</c:v>
                </c:pt>
                <c:pt idx="12320">
                  <c:v>9.4521706338538646E-3</c:v>
                </c:pt>
                <c:pt idx="12321">
                  <c:v>1.0775553951629326E-2</c:v>
                </c:pt>
                <c:pt idx="12322">
                  <c:v>8.0343689711365428E-3</c:v>
                </c:pt>
                <c:pt idx="12323">
                  <c:v>1.0977588720477712E-2</c:v>
                </c:pt>
                <c:pt idx="12324">
                  <c:v>1.0120094341212117E-2</c:v>
                </c:pt>
                <c:pt idx="12325">
                  <c:v>6.6307434044675043E-3</c:v>
                </c:pt>
                <c:pt idx="12326">
                  <c:v>7.5843535564248197E-3</c:v>
                </c:pt>
                <c:pt idx="12327">
                  <c:v>7.8254150645356672E-3</c:v>
                </c:pt>
                <c:pt idx="12328">
                  <c:v>8.5563143204153407E-3</c:v>
                </c:pt>
                <c:pt idx="12329">
                  <c:v>9.5180320262040503E-3</c:v>
                </c:pt>
                <c:pt idx="12330">
                  <c:v>7.1133643620328035E-3</c:v>
                </c:pt>
                <c:pt idx="12331">
                  <c:v>4.2284850297376001E-3</c:v>
                </c:pt>
                <c:pt idx="12332">
                  <c:v>8.3280137839841697E-3</c:v>
                </c:pt>
                <c:pt idx="12333">
                  <c:v>1.2376121883809658E-2</c:v>
                </c:pt>
                <c:pt idx="12334">
                  <c:v>1.3826120744151056E-2</c:v>
                </c:pt>
                <c:pt idx="12335">
                  <c:v>5.3701530704662421E-3</c:v>
                </c:pt>
                <c:pt idx="12336">
                  <c:v>7.6351369275701351E-3</c:v>
                </c:pt>
                <c:pt idx="12337">
                  <c:v>7.3901270654304074E-3</c:v>
                </c:pt>
                <c:pt idx="12338">
                  <c:v>5.71061175767209E-3</c:v>
                </c:pt>
                <c:pt idx="12339">
                  <c:v>4.5281519208598955E-3</c:v>
                </c:pt>
                <c:pt idx="12340">
                  <c:v>6.7385139849941511E-3</c:v>
                </c:pt>
                <c:pt idx="12341">
                  <c:v>7.6483652342246491E-3</c:v>
                </c:pt>
                <c:pt idx="12342">
                  <c:v>8.9206649913424786E-3</c:v>
                </c:pt>
                <c:pt idx="12343">
                  <c:v>8.781515708700182E-3</c:v>
                </c:pt>
                <c:pt idx="12344">
                  <c:v>6.8659224711668668E-3</c:v>
                </c:pt>
                <c:pt idx="12345">
                  <c:v>8.3246054041376128E-3</c:v>
                </c:pt>
                <c:pt idx="12346">
                  <c:v>7.1787270187334638E-3</c:v>
                </c:pt>
                <c:pt idx="12347">
                  <c:v>8.0944779015542784E-3</c:v>
                </c:pt>
                <c:pt idx="12348">
                  <c:v>7.5531977931289134E-3</c:v>
                </c:pt>
                <c:pt idx="12349">
                  <c:v>7.1881247617772105E-3</c:v>
                </c:pt>
                <c:pt idx="12350">
                  <c:v>6.3646237164485461E-3</c:v>
                </c:pt>
                <c:pt idx="12351">
                  <c:v>7.2974653687443601E-3</c:v>
                </c:pt>
                <c:pt idx="12352">
                  <c:v>7.7349793500152038E-3</c:v>
                </c:pt>
                <c:pt idx="12353">
                  <c:v>7.0108148820662878E-3</c:v>
                </c:pt>
                <c:pt idx="12354">
                  <c:v>6.6636761415201926E-3</c:v>
                </c:pt>
                <c:pt idx="12355">
                  <c:v>3.4157216369840437E-3</c:v>
                </c:pt>
                <c:pt idx="12356">
                  <c:v>3.334275382617206E-3</c:v>
                </c:pt>
                <c:pt idx="12357">
                  <c:v>8.7555532623702775E-3</c:v>
                </c:pt>
                <c:pt idx="12358">
                  <c:v>1.5197074114696892E-2</c:v>
                </c:pt>
                <c:pt idx="12359">
                  <c:v>5.5481339142945015E-3</c:v>
                </c:pt>
                <c:pt idx="12360">
                  <c:v>5.0779347965733213E-3</c:v>
                </c:pt>
                <c:pt idx="12361">
                  <c:v>3.504476351605299E-3</c:v>
                </c:pt>
                <c:pt idx="12362">
                  <c:v>5.0320030330874305E-3</c:v>
                </c:pt>
                <c:pt idx="12363">
                  <c:v>8.2943548607813285E-3</c:v>
                </c:pt>
                <c:pt idx="12364">
                  <c:v>4.8104320979414708E-3</c:v>
                </c:pt>
                <c:pt idx="12365">
                  <c:v>4.7262398615119938E-3</c:v>
                </c:pt>
                <c:pt idx="12366">
                  <c:v>1.1398298623616061E-2</c:v>
                </c:pt>
                <c:pt idx="12367">
                  <c:v>2.0758099505850721E-2</c:v>
                </c:pt>
                <c:pt idx="12368">
                  <c:v>7.7371124846622938E-3</c:v>
                </c:pt>
                <c:pt idx="12369">
                  <c:v>9.7291460613323014E-3</c:v>
                </c:pt>
                <c:pt idx="12370">
                  <c:v>6.2374961600748843E-3</c:v>
                </c:pt>
                <c:pt idx="12371">
                  <c:v>1.0614536532899401E-2</c:v>
                </c:pt>
                <c:pt idx="12372">
                  <c:v>9.3765239375817374E-3</c:v>
                </c:pt>
                <c:pt idx="12373">
                  <c:v>5.3105238993069754E-3</c:v>
                </c:pt>
                <c:pt idx="12374">
                  <c:v>9.8132232760734604E-3</c:v>
                </c:pt>
                <c:pt idx="12375">
                  <c:v>7.3341908025409729E-3</c:v>
                </c:pt>
                <c:pt idx="12376">
                  <c:v>9.3769489558278747E-3</c:v>
                </c:pt>
                <c:pt idx="12377">
                  <c:v>9.5830338001172497E-3</c:v>
                </c:pt>
                <c:pt idx="12378">
                  <c:v>1.6355059961197391E-2</c:v>
                </c:pt>
                <c:pt idx="12379">
                  <c:v>1.6274331453584347E-2</c:v>
                </c:pt>
                <c:pt idx="12380">
                  <c:v>5.7230415960744189E-3</c:v>
                </c:pt>
                <c:pt idx="12381">
                  <c:v>5.1496129829374229E-3</c:v>
                </c:pt>
                <c:pt idx="12382">
                  <c:v>8.5639790470415176E-3</c:v>
                </c:pt>
                <c:pt idx="12383">
                  <c:v>1.29244964774325E-2</c:v>
                </c:pt>
                <c:pt idx="12384">
                  <c:v>8.078705441227671E-3</c:v>
                </c:pt>
                <c:pt idx="12385">
                  <c:v>1.1894246491183055E-2</c:v>
                </c:pt>
                <c:pt idx="12386">
                  <c:v>8.3548538405557819E-3</c:v>
                </c:pt>
                <c:pt idx="12387">
                  <c:v>1.1190534104599491E-2</c:v>
                </c:pt>
                <c:pt idx="12388">
                  <c:v>1.5787969867588708E-2</c:v>
                </c:pt>
                <c:pt idx="12389">
                  <c:v>8.7534251241747491E-3</c:v>
                </c:pt>
                <c:pt idx="12390">
                  <c:v>9.6879507777347419E-3</c:v>
                </c:pt>
                <c:pt idx="12391">
                  <c:v>7.4622784737768616E-3</c:v>
                </c:pt>
                <c:pt idx="12392">
                  <c:v>9.7244746276681036E-3</c:v>
                </c:pt>
                <c:pt idx="12393">
                  <c:v>7.8706258607893695E-3</c:v>
                </c:pt>
                <c:pt idx="12394">
                  <c:v>6.2803042066956211E-3</c:v>
                </c:pt>
                <c:pt idx="12395">
                  <c:v>1.013367145340335E-2</c:v>
                </c:pt>
                <c:pt idx="12396">
                  <c:v>8.6384901727686748E-3</c:v>
                </c:pt>
                <c:pt idx="12397">
                  <c:v>9.1635374742406253E-3</c:v>
                </c:pt>
                <c:pt idx="12398">
                  <c:v>5.4374941601482863E-3</c:v>
                </c:pt>
                <c:pt idx="12399">
                  <c:v>7.9985554407078947E-3</c:v>
                </c:pt>
                <c:pt idx="12400">
                  <c:v>1.3702000601762557E-2</c:v>
                </c:pt>
                <c:pt idx="12401">
                  <c:v>1.285282529470743E-2</c:v>
                </c:pt>
                <c:pt idx="12402">
                  <c:v>7.73028641691098E-3</c:v>
                </c:pt>
                <c:pt idx="12403">
                  <c:v>5.5438460767634505E-3</c:v>
                </c:pt>
                <c:pt idx="12404">
                  <c:v>1.2717460976927997E-2</c:v>
                </c:pt>
                <c:pt idx="12405">
                  <c:v>1.2658410363843364E-2</c:v>
                </c:pt>
                <c:pt idx="12406">
                  <c:v>1.0091665887779138E-2</c:v>
                </c:pt>
                <c:pt idx="12407">
                  <c:v>4.6287111038579125E-3</c:v>
                </c:pt>
                <c:pt idx="12408">
                  <c:v>1.1649514361858326E-2</c:v>
                </c:pt>
                <c:pt idx="12409">
                  <c:v>7.7554570101342609E-3</c:v>
                </c:pt>
                <c:pt idx="12410">
                  <c:v>1.2178537402602826E-2</c:v>
                </c:pt>
                <c:pt idx="12411">
                  <c:v>9.7321187656840263E-3</c:v>
                </c:pt>
                <c:pt idx="12412">
                  <c:v>8.4843444557493822E-3</c:v>
                </c:pt>
                <c:pt idx="12413">
                  <c:v>9.9588336780611492E-3</c:v>
                </c:pt>
                <c:pt idx="12414">
                  <c:v>8.3412210032403396E-3</c:v>
                </c:pt>
                <c:pt idx="12415">
                  <c:v>1.1347530321098958E-2</c:v>
                </c:pt>
                <c:pt idx="12416">
                  <c:v>1.0800125044041138E-2</c:v>
                </c:pt>
                <c:pt idx="12417">
                  <c:v>9.8068543599187635E-3</c:v>
                </c:pt>
                <c:pt idx="12418">
                  <c:v>7.7486312307110698E-3</c:v>
                </c:pt>
                <c:pt idx="12419">
                  <c:v>1.3824437996382706E-2</c:v>
                </c:pt>
                <c:pt idx="12420">
                  <c:v>1.2067462214137089E-2</c:v>
                </c:pt>
                <c:pt idx="12421">
                  <c:v>9.0916681746208115E-3</c:v>
                </c:pt>
                <c:pt idx="12422">
                  <c:v>7.8429028174733361E-3</c:v>
                </c:pt>
                <c:pt idx="12423">
                  <c:v>1.2234275460939763E-2</c:v>
                </c:pt>
                <c:pt idx="12424">
                  <c:v>5.053896348689621E-3</c:v>
                </c:pt>
                <c:pt idx="12425">
                  <c:v>3.501460712386141E-3</c:v>
                </c:pt>
                <c:pt idx="12426">
                  <c:v>5.5215486391471287E-3</c:v>
                </c:pt>
                <c:pt idx="12427">
                  <c:v>4.4705562613972715E-3</c:v>
                </c:pt>
                <c:pt idx="12428">
                  <c:v>4.3746898323738263E-3</c:v>
                </c:pt>
                <c:pt idx="12429">
                  <c:v>7.7985422668808979E-3</c:v>
                </c:pt>
                <c:pt idx="12430">
                  <c:v>8.4276970623006747E-3</c:v>
                </c:pt>
                <c:pt idx="12431">
                  <c:v>9.0240406360478469E-3</c:v>
                </c:pt>
                <c:pt idx="12432">
                  <c:v>9.2889613094156564E-3</c:v>
                </c:pt>
                <c:pt idx="12433">
                  <c:v>8.3148061630744854E-3</c:v>
                </c:pt>
                <c:pt idx="12434">
                  <c:v>9.7125834788712659E-3</c:v>
                </c:pt>
                <c:pt idx="12435">
                  <c:v>9.9482223243322274E-3</c:v>
                </c:pt>
                <c:pt idx="12436">
                  <c:v>6.5071164351754307E-3</c:v>
                </c:pt>
                <c:pt idx="12437">
                  <c:v>7.4942944897607618E-3</c:v>
                </c:pt>
                <c:pt idx="12438">
                  <c:v>1.2835538121385E-2</c:v>
                </c:pt>
                <c:pt idx="12439">
                  <c:v>8.4294008510795437E-3</c:v>
                </c:pt>
                <c:pt idx="12440">
                  <c:v>1.6885486973837929E-2</c:v>
                </c:pt>
                <c:pt idx="12441">
                  <c:v>1.1040678853855889E-2</c:v>
                </c:pt>
                <c:pt idx="12442">
                  <c:v>9.0176601359455363E-3</c:v>
                </c:pt>
                <c:pt idx="12443">
                  <c:v>8.1946409683185482E-3</c:v>
                </c:pt>
                <c:pt idx="12444">
                  <c:v>4.1347160472207222E-3</c:v>
                </c:pt>
                <c:pt idx="12445">
                  <c:v>1.1597084019084646E-2</c:v>
                </c:pt>
                <c:pt idx="12446">
                  <c:v>7.0133789142066416E-3</c:v>
                </c:pt>
                <c:pt idx="12447">
                  <c:v>7.9691349740727817E-3</c:v>
                </c:pt>
                <c:pt idx="12448">
                  <c:v>8.5563143204153407E-3</c:v>
                </c:pt>
                <c:pt idx="12449">
                  <c:v>2.3191530636391136E-2</c:v>
                </c:pt>
                <c:pt idx="12450">
                  <c:v>8.9199280008660231E-4</c:v>
                </c:pt>
                <c:pt idx="12451">
                  <c:v>1.9097307740387327E-3</c:v>
                </c:pt>
                <c:pt idx="12452">
                  <c:v>1.0549219142652032E-3</c:v>
                </c:pt>
                <c:pt idx="12453">
                  <c:v>2.3518395553527929E-3</c:v>
                </c:pt>
                <c:pt idx="12454">
                  <c:v>7.4591128716091683E-4</c:v>
                </c:pt>
                <c:pt idx="12455">
                  <c:v>2.4438349478535099E-3</c:v>
                </c:pt>
                <c:pt idx="12456">
                  <c:v>1.9901476718633387E-3</c:v>
                </c:pt>
                <c:pt idx="12457">
                  <c:v>2.5940953642214935E-3</c:v>
                </c:pt>
                <c:pt idx="12458">
                  <c:v>2.6117950364026562E-3</c:v>
                </c:pt>
                <c:pt idx="12459">
                  <c:v>1.112105940262325E-3</c:v>
                </c:pt>
                <c:pt idx="12460">
                  <c:v>5.4529339575742934E-3</c:v>
                </c:pt>
                <c:pt idx="12461">
                  <c:v>2.5008160498626354E-4</c:v>
                </c:pt>
                <c:pt idx="12462">
                  <c:v>2.2377900457731604E-3</c:v>
                </c:pt>
                <c:pt idx="12463">
                  <c:v>1.8323262555806398E-3</c:v>
                </c:pt>
                <c:pt idx="12464">
                  <c:v>3.3036752235099391E-3</c:v>
                </c:pt>
                <c:pt idx="12465">
                  <c:v>7.3290461607039483E-4</c:v>
                </c:pt>
                <c:pt idx="12466">
                  <c:v>1.1887727051649653E-3</c:v>
                </c:pt>
                <c:pt idx="12467">
                  <c:v>2.1868036841982521E-3</c:v>
                </c:pt>
                <c:pt idx="12468">
                  <c:v>4.5771452006667449E-3</c:v>
                </c:pt>
                <c:pt idx="12469">
                  <c:v>4.4796079728963575E-4</c:v>
                </c:pt>
                <c:pt idx="12470">
                  <c:v>7.172960965562391E-4</c:v>
                </c:pt>
                <c:pt idx="12471">
                  <c:v>3.4553619063278419E-3</c:v>
                </c:pt>
                <c:pt idx="12472">
                  <c:v>1.9304849474317722E-3</c:v>
                </c:pt>
                <c:pt idx="12473">
                  <c:v>9.7476496207472266E-4</c:v>
                </c:pt>
                <c:pt idx="12474">
                  <c:v>2.3596145677348495E-3</c:v>
                </c:pt>
                <c:pt idx="12475">
                  <c:v>2.9427755148853092E-3</c:v>
                </c:pt>
                <c:pt idx="12476">
                  <c:v>1.0492897468224963E-3</c:v>
                </c:pt>
                <c:pt idx="12477">
                  <c:v>5.3775779087769822E-4</c:v>
                </c:pt>
                <c:pt idx="12478">
                  <c:v>4.5513599528877033E-3</c:v>
                </c:pt>
                <c:pt idx="12479">
                  <c:v>3.4437287241272123E-3</c:v>
                </c:pt>
                <c:pt idx="12480">
                  <c:v>1.2749525136013734E-3</c:v>
                </c:pt>
                <c:pt idx="12481">
                  <c:v>9.3836448861738182E-4</c:v>
                </c:pt>
                <c:pt idx="12482">
                  <c:v>2.7861629995661829E-3</c:v>
                </c:pt>
                <c:pt idx="12483">
                  <c:v>1.5199734942581335E-3</c:v>
                </c:pt>
                <c:pt idx="12484">
                  <c:v>1.3754018606475353E-3</c:v>
                </c:pt>
                <c:pt idx="12485">
                  <c:v>6.6542670429006363E-3</c:v>
                </c:pt>
                <c:pt idx="12486">
                  <c:v>3.0937258573931086E-3</c:v>
                </c:pt>
                <c:pt idx="12487">
                  <c:v>1.6195008370248692E-3</c:v>
                </c:pt>
                <c:pt idx="12488">
                  <c:v>1.861732949033924E-3</c:v>
                </c:pt>
                <c:pt idx="12489">
                  <c:v>3.2433305636422076E-3</c:v>
                </c:pt>
                <c:pt idx="12490">
                  <c:v>3.6737493729860305E-3</c:v>
                </c:pt>
                <c:pt idx="12491">
                  <c:v>2.889283375603559E-3</c:v>
                </c:pt>
                <c:pt idx="12492">
                  <c:v>1.463275984829149E-3</c:v>
                </c:pt>
                <c:pt idx="12493">
                  <c:v>3.6879601359809597E-3</c:v>
                </c:pt>
                <c:pt idx="12494">
                  <c:v>2.1777292127279622E-3</c:v>
                </c:pt>
                <c:pt idx="12495">
                  <c:v>3.5458315768140095E-3</c:v>
                </c:pt>
                <c:pt idx="12496">
                  <c:v>2.0359699964676518E-3</c:v>
                </c:pt>
                <c:pt idx="12497">
                  <c:v>2.7663127530261245E-3</c:v>
                </c:pt>
                <c:pt idx="12498">
                  <c:v>2.66186825048548E-3</c:v>
                </c:pt>
                <c:pt idx="12499">
                  <c:v>3.2450548131470851E-3</c:v>
                </c:pt>
                <c:pt idx="12500">
                  <c:v>3.0083375373554577E-3</c:v>
                </c:pt>
                <c:pt idx="12501">
                  <c:v>3.2941930465073474E-3</c:v>
                </c:pt>
                <c:pt idx="12502">
                  <c:v>4.5788641627531809E-3</c:v>
                </c:pt>
                <c:pt idx="12503">
                  <c:v>8.4660306931867105E-3</c:v>
                </c:pt>
                <c:pt idx="12504">
                  <c:v>6.3068430766966008E-3</c:v>
                </c:pt>
                <c:pt idx="12505">
                  <c:v>4.3944667026422106E-3</c:v>
                </c:pt>
                <c:pt idx="12506">
                  <c:v>3.3635805560503643E-3</c:v>
                </c:pt>
                <c:pt idx="12507">
                  <c:v>2.7253148066893359E-3</c:v>
                </c:pt>
                <c:pt idx="12508">
                  <c:v>8.3156582797703736E-3</c:v>
                </c:pt>
                <c:pt idx="12509">
                  <c:v>2.537106153600921E-3</c:v>
                </c:pt>
                <c:pt idx="12510">
                  <c:v>1.9823660421793106E-3</c:v>
                </c:pt>
                <c:pt idx="12511">
                  <c:v>5.8850255796223288E-3</c:v>
                </c:pt>
                <c:pt idx="12512">
                  <c:v>1.1753510665854876E-2</c:v>
                </c:pt>
                <c:pt idx="12513">
                  <c:v>4.6059369181951863E-3</c:v>
                </c:pt>
                <c:pt idx="12514">
                  <c:v>6.2207998781158395E-3</c:v>
                </c:pt>
                <c:pt idx="12515">
                  <c:v>5.0530378080850258E-3</c:v>
                </c:pt>
                <c:pt idx="12516">
                  <c:v>5.2114098263165232E-3</c:v>
                </c:pt>
                <c:pt idx="12517">
                  <c:v>6.3855940472984825E-3</c:v>
                </c:pt>
                <c:pt idx="12518">
                  <c:v>4.3304035740361511E-3</c:v>
                </c:pt>
                <c:pt idx="12519">
                  <c:v>9.2515505324965285E-3</c:v>
                </c:pt>
                <c:pt idx="12520">
                  <c:v>7.0967017191987678E-3</c:v>
                </c:pt>
                <c:pt idx="12521">
                  <c:v>1.1322990180616823E-2</c:v>
                </c:pt>
                <c:pt idx="12522">
                  <c:v>6.3183998196566305E-3</c:v>
                </c:pt>
                <c:pt idx="12523">
                  <c:v>1.0382227293608623E-2</c:v>
                </c:pt>
                <c:pt idx="12524">
                  <c:v>1.0880183269728162E-2</c:v>
                </c:pt>
                <c:pt idx="12525">
                  <c:v>4.0198429602691611E-3</c:v>
                </c:pt>
                <c:pt idx="12526">
                  <c:v>3.2985031526279111E-3</c:v>
                </c:pt>
                <c:pt idx="12527">
                  <c:v>3.8063650811913353E-3</c:v>
                </c:pt>
                <c:pt idx="12528">
                  <c:v>6.7483488570825234E-3</c:v>
                </c:pt>
                <c:pt idx="12529">
                  <c:v>8.076573983735463E-3</c:v>
                </c:pt>
                <c:pt idx="12530">
                  <c:v>9.0027719378188587E-3</c:v>
                </c:pt>
                <c:pt idx="12531">
                  <c:v>6.0705044487579327E-3</c:v>
                </c:pt>
                <c:pt idx="12532">
                  <c:v>1.1328913789762694E-2</c:v>
                </c:pt>
                <c:pt idx="12533">
                  <c:v>1.5613718259397124E-2</c:v>
                </c:pt>
                <c:pt idx="12534">
                  <c:v>1.0110335529643093E-2</c:v>
                </c:pt>
                <c:pt idx="12535">
                  <c:v>7.0385910906543689E-3</c:v>
                </c:pt>
                <c:pt idx="12536">
                  <c:v>9.372698754648804E-3</c:v>
                </c:pt>
                <c:pt idx="12537">
                  <c:v>8.3851001703291218E-3</c:v>
                </c:pt>
                <c:pt idx="12538">
                  <c:v>8.7878996790702376E-3</c:v>
                </c:pt>
                <c:pt idx="12539">
                  <c:v>3.4458830406371237E-3</c:v>
                </c:pt>
                <c:pt idx="12540">
                  <c:v>5.8606032913904637E-3</c:v>
                </c:pt>
                <c:pt idx="12541">
                  <c:v>8.498824558506559E-3</c:v>
                </c:pt>
                <c:pt idx="12542">
                  <c:v>1.2700590192465075E-2</c:v>
                </c:pt>
                <c:pt idx="12543">
                  <c:v>4.3605015228086958E-3</c:v>
                </c:pt>
                <c:pt idx="12544">
                  <c:v>3.8623270927980306E-3</c:v>
                </c:pt>
                <c:pt idx="12545">
                  <c:v>6.8941354028887831E-3</c:v>
                </c:pt>
                <c:pt idx="12546">
                  <c:v>6.8783192881110896E-3</c:v>
                </c:pt>
                <c:pt idx="12547">
                  <c:v>3.1057996185360798E-3</c:v>
                </c:pt>
                <c:pt idx="12548">
                  <c:v>2.6316523465606751E-3</c:v>
                </c:pt>
                <c:pt idx="12549">
                  <c:v>5.1946740494705828E-3</c:v>
                </c:pt>
                <c:pt idx="12550">
                  <c:v>9.4224235050346453E-3</c:v>
                </c:pt>
                <c:pt idx="12551">
                  <c:v>1.186044024460591E-2</c:v>
                </c:pt>
                <c:pt idx="12552">
                  <c:v>5.4010369046929088E-3</c:v>
                </c:pt>
                <c:pt idx="12553">
                  <c:v>4.2426776528389568E-3</c:v>
                </c:pt>
                <c:pt idx="12554">
                  <c:v>3.4648405651382537E-3</c:v>
                </c:pt>
                <c:pt idx="12555">
                  <c:v>2.2313090607059172E-3</c:v>
                </c:pt>
                <c:pt idx="12556">
                  <c:v>4.1446100603938097E-3</c:v>
                </c:pt>
                <c:pt idx="12557">
                  <c:v>1.2299159530299408E-3</c:v>
                </c:pt>
                <c:pt idx="12558">
                  <c:v>3.6453264519282196E-3</c:v>
                </c:pt>
                <c:pt idx="12559">
                  <c:v>2.0204082397009197E-3</c:v>
                </c:pt>
                <c:pt idx="12560">
                  <c:v>4.6506247588284765E-3</c:v>
                </c:pt>
                <c:pt idx="12561">
                  <c:v>2.9268148404063567E-3</c:v>
                </c:pt>
                <c:pt idx="12562">
                  <c:v>4.1704194686179438E-3</c:v>
                </c:pt>
                <c:pt idx="12563">
                  <c:v>1.2879429612865218E-3</c:v>
                </c:pt>
                <c:pt idx="12564">
                  <c:v>2.1314896754590852E-3</c:v>
                </c:pt>
                <c:pt idx="12565">
                  <c:v>2.1794576981026782E-3</c:v>
                </c:pt>
                <c:pt idx="12566">
                  <c:v>3.3347063553766263E-3</c:v>
                </c:pt>
                <c:pt idx="12567">
                  <c:v>1.7315499824899724E-3</c:v>
                </c:pt>
                <c:pt idx="12568">
                  <c:v>7.496001944319374E-3</c:v>
                </c:pt>
                <c:pt idx="12569">
                  <c:v>3.7314507940793074E-3</c:v>
                </c:pt>
                <c:pt idx="12570">
                  <c:v>2.805149342967256E-3</c:v>
                </c:pt>
                <c:pt idx="12571">
                  <c:v>1.9391322269669601E-3</c:v>
                </c:pt>
                <c:pt idx="12572">
                  <c:v>2.4922002957591832E-3</c:v>
                </c:pt>
                <c:pt idx="12573">
                  <c:v>1.7583682699512141E-3</c:v>
                </c:pt>
                <c:pt idx="12574">
                  <c:v>4.9611641554866866E-3</c:v>
                </c:pt>
                <c:pt idx="12575">
                  <c:v>4.1454703987130635E-3</c:v>
                </c:pt>
                <c:pt idx="12576">
                  <c:v>3.6668591386938634E-3</c:v>
                </c:pt>
                <c:pt idx="12577">
                  <c:v>4.90749064554101E-3</c:v>
                </c:pt>
                <c:pt idx="12578">
                  <c:v>4.7880969727881568E-3</c:v>
                </c:pt>
                <c:pt idx="12579">
                  <c:v>7.2581742568813886E-3</c:v>
                </c:pt>
                <c:pt idx="12580">
                  <c:v>7.5310032834849973E-3</c:v>
                </c:pt>
                <c:pt idx="12581">
                  <c:v>5.7423285720696752E-3</c:v>
                </c:pt>
                <c:pt idx="12582">
                  <c:v>6.4356619667413325E-3</c:v>
                </c:pt>
                <c:pt idx="12583">
                  <c:v>8.2917983802775555E-3</c:v>
                </c:pt>
                <c:pt idx="12584">
                  <c:v>1.8092310329714468E-2</c:v>
                </c:pt>
                <c:pt idx="12585">
                  <c:v>7.5463688340448101E-3</c:v>
                </c:pt>
                <c:pt idx="12586">
                  <c:v>6.9005471772279831E-3</c:v>
                </c:pt>
                <c:pt idx="12587">
                  <c:v>4.6029289175962924E-3</c:v>
                </c:pt>
                <c:pt idx="12588">
                  <c:v>5.1878079031692529E-3</c:v>
                </c:pt>
                <c:pt idx="12589">
                  <c:v>1.6255582867373216E-3</c:v>
                </c:pt>
                <c:pt idx="12590">
                  <c:v>4.1304142320564112E-3</c:v>
                </c:pt>
                <c:pt idx="12591">
                  <c:v>2.5543764010943441E-3</c:v>
                </c:pt>
                <c:pt idx="12592">
                  <c:v>9.6136195041003295E-3</c:v>
                </c:pt>
                <c:pt idx="12593">
                  <c:v>5.5897237415555986E-3</c:v>
                </c:pt>
                <c:pt idx="12594">
                  <c:v>6.7214093291265388E-3</c:v>
                </c:pt>
                <c:pt idx="12595">
                  <c:v>6.9552571348662504E-3</c:v>
                </c:pt>
                <c:pt idx="12596">
                  <c:v>1.1541264117283416E-2</c:v>
                </c:pt>
                <c:pt idx="12597">
                  <c:v>7.5770983043386801E-3</c:v>
                </c:pt>
                <c:pt idx="12598">
                  <c:v>1.1662620958600425E-2</c:v>
                </c:pt>
                <c:pt idx="12599">
                  <c:v>1.3152922134863354E-2</c:v>
                </c:pt>
                <c:pt idx="12600">
                  <c:v>8.813434622171783E-3</c:v>
                </c:pt>
                <c:pt idx="12601">
                  <c:v>8.1204798963690362E-3</c:v>
                </c:pt>
                <c:pt idx="12602">
                  <c:v>1.0959379796506016E-2</c:v>
                </c:pt>
                <c:pt idx="12603">
                  <c:v>8.0846734665547728E-3</c:v>
                </c:pt>
                <c:pt idx="12604">
                  <c:v>8.6367872040762003E-3</c:v>
                </c:pt>
                <c:pt idx="12605">
                  <c:v>5.5189757842160018E-3</c:v>
                </c:pt>
                <c:pt idx="12606">
                  <c:v>8.3271616915302459E-3</c:v>
                </c:pt>
                <c:pt idx="12607">
                  <c:v>1.6080605489770545E-2</c:v>
                </c:pt>
                <c:pt idx="12608">
                  <c:v>7.0381637778230985E-3</c:v>
                </c:pt>
                <c:pt idx="12609">
                  <c:v>6.7432176472582567E-3</c:v>
                </c:pt>
                <c:pt idx="12610">
                  <c:v>7.1394251625231768E-3</c:v>
                </c:pt>
                <c:pt idx="12611">
                  <c:v>7.6889010841371258E-3</c:v>
                </c:pt>
                <c:pt idx="12612">
                  <c:v>6.8539527948887694E-3</c:v>
                </c:pt>
                <c:pt idx="12613">
                  <c:v>1.1326798224342729E-2</c:v>
                </c:pt>
                <c:pt idx="12614">
                  <c:v>1.0417844804124079E-2</c:v>
                </c:pt>
                <c:pt idx="12615">
                  <c:v>8.05824301746297E-3</c:v>
                </c:pt>
                <c:pt idx="12616">
                  <c:v>1.0956838955719235E-2</c:v>
                </c:pt>
                <c:pt idx="12617">
                  <c:v>9.3493219046348278E-3</c:v>
                </c:pt>
                <c:pt idx="12618">
                  <c:v>8.7947091440318398E-3</c:v>
                </c:pt>
                <c:pt idx="12619">
                  <c:v>9.2404967316530463E-3</c:v>
                </c:pt>
                <c:pt idx="12620">
                  <c:v>1.1020778928824283E-2</c:v>
                </c:pt>
                <c:pt idx="12621">
                  <c:v>1.1808458006601741E-2</c:v>
                </c:pt>
                <c:pt idx="12622">
                  <c:v>4.3858681740543536E-3</c:v>
                </c:pt>
                <c:pt idx="12623">
                  <c:v>5.6008708534853457E-3</c:v>
                </c:pt>
                <c:pt idx="12624">
                  <c:v>6.8030779899543887E-3</c:v>
                </c:pt>
                <c:pt idx="12625">
                  <c:v>9.0325478237022819E-3</c:v>
                </c:pt>
                <c:pt idx="12626">
                  <c:v>8.9606568421729729E-3</c:v>
                </c:pt>
                <c:pt idx="12627">
                  <c:v>4.2809524151844955E-3</c:v>
                </c:pt>
                <c:pt idx="12628">
                  <c:v>8.3382387630312593E-3</c:v>
                </c:pt>
                <c:pt idx="12629">
                  <c:v>5.725184635705551E-3</c:v>
                </c:pt>
                <c:pt idx="12630">
                  <c:v>8.9632093884740027E-3</c:v>
                </c:pt>
                <c:pt idx="12631">
                  <c:v>7.501977982410756E-3</c:v>
                </c:pt>
                <c:pt idx="12632">
                  <c:v>1.112661912103351E-2</c:v>
                </c:pt>
                <c:pt idx="12633">
                  <c:v>7.1419884354755776E-3</c:v>
                </c:pt>
                <c:pt idx="12634">
                  <c:v>6.2892933604166259E-3</c:v>
                </c:pt>
                <c:pt idx="12635">
                  <c:v>6.5434809617729277E-3</c:v>
                </c:pt>
                <c:pt idx="12636">
                  <c:v>6.6611100439313174E-3</c:v>
                </c:pt>
                <c:pt idx="12637">
                  <c:v>5.8893100499897537E-3</c:v>
                </c:pt>
                <c:pt idx="12638">
                  <c:v>3.8855707318207599E-3</c:v>
                </c:pt>
                <c:pt idx="12639">
                  <c:v>6.1313139926712458E-3</c:v>
                </c:pt>
                <c:pt idx="12640">
                  <c:v>5.886310925170694E-3</c:v>
                </c:pt>
                <c:pt idx="12641">
                  <c:v>6.9663692529052306E-3</c:v>
                </c:pt>
                <c:pt idx="12642">
                  <c:v>5.5142588439212837E-3</c:v>
                </c:pt>
                <c:pt idx="12643">
                  <c:v>9.0538150638028725E-3</c:v>
                </c:pt>
                <c:pt idx="12644">
                  <c:v>5.29894030487862E-3</c:v>
                </c:pt>
                <c:pt idx="12645">
                  <c:v>6.6162008815732146E-3</c:v>
                </c:pt>
                <c:pt idx="12646">
                  <c:v>5.8443210028842818E-3</c:v>
                </c:pt>
                <c:pt idx="12647">
                  <c:v>4.9937944072151715E-3</c:v>
                </c:pt>
                <c:pt idx="12648">
                  <c:v>7.8522861994879106E-3</c:v>
                </c:pt>
                <c:pt idx="12649">
                  <c:v>9.8722374565977829E-3</c:v>
                </c:pt>
                <c:pt idx="12650">
                  <c:v>8.6295495126335452E-3</c:v>
                </c:pt>
                <c:pt idx="12651">
                  <c:v>1.1346684132441272E-2</c:v>
                </c:pt>
                <c:pt idx="12652">
                  <c:v>1.0911101279425128E-2</c:v>
                </c:pt>
                <c:pt idx="12653">
                  <c:v>1.1014004278211869E-2</c:v>
                </c:pt>
                <c:pt idx="12654">
                  <c:v>1.2595554818789257E-2</c:v>
                </c:pt>
                <c:pt idx="12655">
                  <c:v>7.6073988473401863E-3</c:v>
                </c:pt>
                <c:pt idx="12656">
                  <c:v>4.7137814607106678E-3</c:v>
                </c:pt>
                <c:pt idx="12657">
                  <c:v>4.8542399688653202E-3</c:v>
                </c:pt>
                <c:pt idx="12658">
                  <c:v>8.7168195148731257E-3</c:v>
                </c:pt>
                <c:pt idx="12659">
                  <c:v>1.7097643528501134E-2</c:v>
                </c:pt>
                <c:pt idx="12660">
                  <c:v>1.487908267509824E-2</c:v>
                </c:pt>
                <c:pt idx="12661">
                  <c:v>2.0456170598166991E-2</c:v>
                </c:pt>
                <c:pt idx="12662">
                  <c:v>1.1547184750025336E-2</c:v>
                </c:pt>
                <c:pt idx="12663">
                  <c:v>1.1219737158250307E-2</c:v>
                </c:pt>
                <c:pt idx="12664">
                  <c:v>1.8656401393947676E-2</c:v>
                </c:pt>
                <c:pt idx="12665">
                  <c:v>9.5664656443649639E-3</c:v>
                </c:pt>
                <c:pt idx="12666">
                  <c:v>6.9744894670567643E-3</c:v>
                </c:pt>
                <c:pt idx="12667">
                  <c:v>8.5503527728496981E-3</c:v>
                </c:pt>
                <c:pt idx="12668">
                  <c:v>8.068048049155712E-3</c:v>
                </c:pt>
                <c:pt idx="12669">
                  <c:v>1.5047336703675E-2</c:v>
                </c:pt>
                <c:pt idx="12670">
                  <c:v>1.890220739530726E-2</c:v>
                </c:pt>
                <c:pt idx="12671">
                  <c:v>1.8323863648905092E-2</c:v>
                </c:pt>
                <c:pt idx="12672">
                  <c:v>2.748782599317896E-2</c:v>
                </c:pt>
                <c:pt idx="12673">
                  <c:v>1.5111935644243251E-2</c:v>
                </c:pt>
                <c:pt idx="12674">
                  <c:v>1.0977165265800401E-2</c:v>
                </c:pt>
                <c:pt idx="12675">
                  <c:v>1.2113922973494611E-2</c:v>
                </c:pt>
                <c:pt idx="12676">
                  <c:v>1.2279451819859451E-2</c:v>
                </c:pt>
                <c:pt idx="12677">
                  <c:v>6.5905364178994053E-3</c:v>
                </c:pt>
                <c:pt idx="12678">
                  <c:v>6.3689034580436694E-3</c:v>
                </c:pt>
                <c:pt idx="12679">
                  <c:v>3.1366850786727664E-2</c:v>
                </c:pt>
                <c:pt idx="12680">
                  <c:v>9.4695930060012777E-3</c:v>
                </c:pt>
                <c:pt idx="12681">
                  <c:v>1.5972198403362361E-2</c:v>
                </c:pt>
                <c:pt idx="12682">
                  <c:v>5.9839860576392087E-3</c:v>
                </c:pt>
                <c:pt idx="12683">
                  <c:v>5.3662924367607352E-3</c:v>
                </c:pt>
                <c:pt idx="12684">
                  <c:v>6.9702156890607556E-3</c:v>
                </c:pt>
                <c:pt idx="12685">
                  <c:v>5.868744206732333E-3</c:v>
                </c:pt>
                <c:pt idx="12686">
                  <c:v>6.2892933604166259E-3</c:v>
                </c:pt>
                <c:pt idx="12687">
                  <c:v>7.4563018893782597E-3</c:v>
                </c:pt>
                <c:pt idx="12688">
                  <c:v>6.2259372640082085E-3</c:v>
                </c:pt>
                <c:pt idx="12689">
                  <c:v>7.6069720938066335E-3</c:v>
                </c:pt>
                <c:pt idx="12690">
                  <c:v>7.7093809169821005E-3</c:v>
                </c:pt>
                <c:pt idx="12691">
                  <c:v>9.4551452346742833E-3</c:v>
                </c:pt>
                <c:pt idx="12692">
                  <c:v>8.6836164100934747E-3</c:v>
                </c:pt>
                <c:pt idx="12693">
                  <c:v>7.6688469786448136E-3</c:v>
                </c:pt>
                <c:pt idx="12694">
                  <c:v>6.7675903539960525E-3</c:v>
                </c:pt>
                <c:pt idx="12695">
                  <c:v>1.1178259771293551E-2</c:v>
                </c:pt>
                <c:pt idx="12696">
                  <c:v>6.812483865134741E-3</c:v>
                </c:pt>
                <c:pt idx="12697">
                  <c:v>9.8416699613097375E-3</c:v>
                </c:pt>
                <c:pt idx="12698">
                  <c:v>9.2872608894660411E-3</c:v>
                </c:pt>
                <c:pt idx="12699">
                  <c:v>9.0227645435265839E-3</c:v>
                </c:pt>
                <c:pt idx="12700">
                  <c:v>7.6679935919123313E-3</c:v>
                </c:pt>
                <c:pt idx="12701">
                  <c:v>1.0120094341212117E-2</c:v>
                </c:pt>
                <c:pt idx="12702">
                  <c:v>1.2053523017053354E-2</c:v>
                </c:pt>
                <c:pt idx="12703">
                  <c:v>1.0811562837015893E-2</c:v>
                </c:pt>
                <c:pt idx="12704">
                  <c:v>5.8893100499897537E-3</c:v>
                </c:pt>
                <c:pt idx="12705">
                  <c:v>5.935151237361865E-3</c:v>
                </c:pt>
                <c:pt idx="12706">
                  <c:v>5.5532792634512516E-3</c:v>
                </c:pt>
                <c:pt idx="12707">
                  <c:v>5.3958897515021609E-3</c:v>
                </c:pt>
                <c:pt idx="12708">
                  <c:v>5.5073977484004812E-3</c:v>
                </c:pt>
                <c:pt idx="12709">
                  <c:v>8.6861705852018661E-3</c:v>
                </c:pt>
                <c:pt idx="12710">
                  <c:v>1.3679697291192561E-2</c:v>
                </c:pt>
                <c:pt idx="12711">
                  <c:v>9.4538704082460304E-3</c:v>
                </c:pt>
                <c:pt idx="12712">
                  <c:v>1.0330491897078256E-2</c:v>
                </c:pt>
                <c:pt idx="12713">
                  <c:v>9.1813966386195076E-3</c:v>
                </c:pt>
                <c:pt idx="12714">
                  <c:v>1.376259249275975E-2</c:v>
                </c:pt>
                <c:pt idx="12715">
                  <c:v>9.3850242234775061E-3</c:v>
                </c:pt>
                <c:pt idx="12716">
                  <c:v>9.7673649949359832E-3</c:v>
                </c:pt>
                <c:pt idx="12717">
                  <c:v>1.4153291285053705E-2</c:v>
                </c:pt>
                <c:pt idx="12718">
                  <c:v>1.0056870322568422E-2</c:v>
                </c:pt>
                <c:pt idx="12719">
                  <c:v>1.1030093900865387E-2</c:v>
                </c:pt>
                <c:pt idx="12720">
                  <c:v>1.2786202647691411E-2</c:v>
                </c:pt>
                <c:pt idx="12721">
                  <c:v>9.4598195662289174E-3</c:v>
                </c:pt>
                <c:pt idx="12722">
                  <c:v>1.1156249753171792E-2</c:v>
                </c:pt>
                <c:pt idx="12723">
                  <c:v>8.6789337167131001E-3</c:v>
                </c:pt>
                <c:pt idx="12724">
                  <c:v>7.6231884332917154E-3</c:v>
                </c:pt>
                <c:pt idx="12725">
                  <c:v>1.311963509900395E-2</c:v>
                </c:pt>
                <c:pt idx="12726">
                  <c:v>8.5925076740241517E-3</c:v>
                </c:pt>
                <c:pt idx="12727">
                  <c:v>1.1156249753171792E-2</c:v>
                </c:pt>
                <c:pt idx="12728">
                  <c:v>1.0666661863597599E-2</c:v>
                </c:pt>
                <c:pt idx="12729">
                  <c:v>9.4619442457588247E-3</c:v>
                </c:pt>
                <c:pt idx="12730">
                  <c:v>9.0835874504180455E-3</c:v>
                </c:pt>
                <c:pt idx="12731">
                  <c:v>9.5668904767671533E-3</c:v>
                </c:pt>
                <c:pt idx="12732">
                  <c:v>9.3663233748895753E-3</c:v>
                </c:pt>
                <c:pt idx="12733">
                  <c:v>9.5375760660276407E-3</c:v>
                </c:pt>
                <c:pt idx="12734">
                  <c:v>1.1236665565611457E-2</c:v>
                </c:pt>
                <c:pt idx="12735">
                  <c:v>1.5512318562249584E-2</c:v>
                </c:pt>
                <c:pt idx="12736">
                  <c:v>1.4568837682761347E-2</c:v>
                </c:pt>
                <c:pt idx="12737">
                  <c:v>7.6065171017263911E-4</c:v>
                </c:pt>
                <c:pt idx="12738">
                  <c:v>2.110312916664304E-3</c:v>
                </c:pt>
                <c:pt idx="12739">
                  <c:v>9.9816365547437968E-4</c:v>
                </c:pt>
                <c:pt idx="12740">
                  <c:v>1.2529314635031204E-2</c:v>
                </c:pt>
                <c:pt idx="12741">
                  <c:v>1.0813488014597978E-3</c:v>
                </c:pt>
                <c:pt idx="12742">
                  <c:v>1.653068673573347E-2</c:v>
                </c:pt>
                <c:pt idx="12743">
                  <c:v>2.2174826359749157E-3</c:v>
                </c:pt>
                <c:pt idx="12744">
                  <c:v>2.379915332752283E-3</c:v>
                </c:pt>
                <c:pt idx="12745">
                  <c:v>1.6588727500161835E-3</c:v>
                </c:pt>
                <c:pt idx="12746">
                  <c:v>4.920802294570978E-3</c:v>
                </c:pt>
                <c:pt idx="12747">
                  <c:v>4.618828113362429E-3</c:v>
                </c:pt>
                <c:pt idx="12748">
                  <c:v>3.2338470689973874E-3</c:v>
                </c:pt>
                <c:pt idx="12749">
                  <c:v>5.6638481312135363E-4</c:v>
                </c:pt>
                <c:pt idx="12750">
                  <c:v>2.6963981381113522E-3</c:v>
                </c:pt>
                <c:pt idx="12751">
                  <c:v>1.1931037569158577E-3</c:v>
                </c:pt>
                <c:pt idx="12752">
                  <c:v>1.7994575946296378E-3</c:v>
                </c:pt>
                <c:pt idx="12753">
                  <c:v>9.6263180990936552E-4</c:v>
                </c:pt>
                <c:pt idx="12754">
                  <c:v>2.1699509434090019E-3</c:v>
                </c:pt>
                <c:pt idx="12755">
                  <c:v>1.6874259704013925E-3</c:v>
                </c:pt>
                <c:pt idx="12756">
                  <c:v>1.7246288652737075E-3</c:v>
                </c:pt>
                <c:pt idx="12757">
                  <c:v>6.7263528916383793E-4</c:v>
                </c:pt>
                <c:pt idx="12758">
                  <c:v>2.3073465294176404E-3</c:v>
                </c:pt>
                <c:pt idx="12759">
                  <c:v>1.4550520672672988E-3</c:v>
                </c:pt>
                <c:pt idx="12760">
                  <c:v>2.0312150743934309E-3</c:v>
                </c:pt>
                <c:pt idx="12761">
                  <c:v>2.2602567119065753E-3</c:v>
                </c:pt>
                <c:pt idx="12762">
                  <c:v>1.4221548396281913E-3</c:v>
                </c:pt>
                <c:pt idx="12763">
                  <c:v>1.8535165733717955E-3</c:v>
                </c:pt>
                <c:pt idx="12764">
                  <c:v>1.3074279042835594E-3</c:v>
                </c:pt>
                <c:pt idx="12765">
                  <c:v>1.6497872407420064E-3</c:v>
                </c:pt>
                <c:pt idx="12766">
                  <c:v>2.1656296224798347E-3</c:v>
                </c:pt>
                <c:pt idx="12767">
                  <c:v>2.1747043467688302E-3</c:v>
                </c:pt>
                <c:pt idx="12768">
                  <c:v>9.5266503847314806E-4</c:v>
                </c:pt>
                <c:pt idx="12769">
                  <c:v>1.7795621965572394E-3</c:v>
                </c:pt>
                <c:pt idx="12770">
                  <c:v>4.9785030814139715E-4</c:v>
                </c:pt>
                <c:pt idx="12771">
                  <c:v>1.987553810794144E-3</c:v>
                </c:pt>
                <c:pt idx="12772">
                  <c:v>8.1874144751251402E-4</c:v>
                </c:pt>
                <c:pt idx="12773">
                  <c:v>1.9754489209613071E-3</c:v>
                </c:pt>
                <c:pt idx="12774">
                  <c:v>1.4373051882218622E-3</c:v>
                </c:pt>
                <c:pt idx="12775">
                  <c:v>2.2230996741106931E-3</c:v>
                </c:pt>
                <c:pt idx="12776">
                  <c:v>1.2610956077719218E-3</c:v>
                </c:pt>
                <c:pt idx="12777">
                  <c:v>2.5608525668499244E-3</c:v>
                </c:pt>
                <c:pt idx="12778">
                  <c:v>1.2567652340279001E-3</c:v>
                </c:pt>
                <c:pt idx="12779">
                  <c:v>2.5863245485662442E-3</c:v>
                </c:pt>
                <c:pt idx="12780">
                  <c:v>6.9214785733934746E-4</c:v>
                </c:pt>
                <c:pt idx="12781">
                  <c:v>2.2559362894498422E-3</c:v>
                </c:pt>
                <c:pt idx="12782">
                  <c:v>1.3537552584051843E-3</c:v>
                </c:pt>
                <c:pt idx="12783">
                  <c:v>2.5016999990721189E-3</c:v>
                </c:pt>
                <c:pt idx="12784">
                  <c:v>1.268024115952673E-3</c:v>
                </c:pt>
                <c:pt idx="12785">
                  <c:v>3.0894137184943049E-3</c:v>
                </c:pt>
                <c:pt idx="12786">
                  <c:v>1.4416337621754333E-3</c:v>
                </c:pt>
                <c:pt idx="12787">
                  <c:v>3.1355513829500938E-3</c:v>
                </c:pt>
                <c:pt idx="12788">
                  <c:v>3.2045331398496322E-3</c:v>
                </c:pt>
                <c:pt idx="12789">
                  <c:v>3.6517863700575369E-3</c:v>
                </c:pt>
                <c:pt idx="12790">
                  <c:v>3.3036752235099391E-3</c:v>
                </c:pt>
                <c:pt idx="12791">
                  <c:v>6.8774643465789355E-3</c:v>
                </c:pt>
                <c:pt idx="12792">
                  <c:v>6.0079730810327801E-3</c:v>
                </c:pt>
                <c:pt idx="12793">
                  <c:v>5.2187047067064722E-3</c:v>
                </c:pt>
                <c:pt idx="12794">
                  <c:v>8.6444505106058837E-3</c:v>
                </c:pt>
                <c:pt idx="12795">
                  <c:v>5.0049568252689891E-3</c:v>
                </c:pt>
                <c:pt idx="12796">
                  <c:v>5.9145875648324575E-3</c:v>
                </c:pt>
                <c:pt idx="12797">
                  <c:v>7.4802077335046355E-3</c:v>
                </c:pt>
                <c:pt idx="12798">
                  <c:v>9.1860739174558313E-3</c:v>
                </c:pt>
                <c:pt idx="12799">
                  <c:v>1.1233703141956033E-2</c:v>
                </c:pt>
                <c:pt idx="12800">
                  <c:v>1.0528494862562625E-2</c:v>
                </c:pt>
                <c:pt idx="12801">
                  <c:v>5.1131315520013777E-3</c:v>
                </c:pt>
                <c:pt idx="12802">
                  <c:v>2.3263538166450252E-3</c:v>
                </c:pt>
                <c:pt idx="12803">
                  <c:v>0.15739178532320575</c:v>
                </c:pt>
                <c:pt idx="12804">
                  <c:v>9.3378455359507152E-3</c:v>
                </c:pt>
                <c:pt idx="12805">
                  <c:v>7.1548045733101076E-3</c:v>
                </c:pt>
                <c:pt idx="12806">
                  <c:v>4.0581373654091715E-3</c:v>
                </c:pt>
                <c:pt idx="12807">
                  <c:v>3.2413248238827672E-2</c:v>
                </c:pt>
                <c:pt idx="12808">
                  <c:v>3.8773925562356733E-3</c:v>
                </c:pt>
                <c:pt idx="12809">
                  <c:v>6.3235360511495692E-3</c:v>
                </c:pt>
                <c:pt idx="12810">
                  <c:v>9.0427562289234591E-3</c:v>
                </c:pt>
                <c:pt idx="12811">
                  <c:v>1.0859428850489267E-2</c:v>
                </c:pt>
                <c:pt idx="12812">
                  <c:v>8.5226730871179601E-3</c:v>
                </c:pt>
                <c:pt idx="12813">
                  <c:v>4.9547236845253187E-3</c:v>
                </c:pt>
                <c:pt idx="12814">
                  <c:v>7.1274630220377324E-3</c:v>
                </c:pt>
                <c:pt idx="12815">
                  <c:v>1.3875338232065972E-2</c:v>
                </c:pt>
                <c:pt idx="12816">
                  <c:v>1.239975845073819E-2</c:v>
                </c:pt>
                <c:pt idx="12817">
                  <c:v>2.5502891929360328E-2</c:v>
                </c:pt>
                <c:pt idx="12818">
                  <c:v>1.4041879123858583E-2</c:v>
                </c:pt>
                <c:pt idx="12819">
                  <c:v>1.042378077189352E-2</c:v>
                </c:pt>
                <c:pt idx="12820">
                  <c:v>9.8038821670827989E-3</c:v>
                </c:pt>
                <c:pt idx="12821">
                  <c:v>7.5446615774955239E-3</c:v>
                </c:pt>
                <c:pt idx="12822">
                  <c:v>6.3312402844954803E-3</c:v>
                </c:pt>
                <c:pt idx="12823">
                  <c:v>5.4653711729939231E-3</c:v>
                </c:pt>
                <c:pt idx="12824">
                  <c:v>1.9618036607658446E-2</c:v>
                </c:pt>
                <c:pt idx="12825">
                  <c:v>1.2929555172850686E-2</c:v>
                </c:pt>
                <c:pt idx="12826">
                  <c:v>8.6563709408836696E-3</c:v>
                </c:pt>
                <c:pt idx="12827">
                  <c:v>3.9045090735072485E-3</c:v>
                </c:pt>
                <c:pt idx="12828">
                  <c:v>4.5345987208271496E-3</c:v>
                </c:pt>
                <c:pt idx="12829">
                  <c:v>4.0478111167504159E-3</c:v>
                </c:pt>
                <c:pt idx="12830">
                  <c:v>6.6662422239468699E-3</c:v>
                </c:pt>
                <c:pt idx="12831">
                  <c:v>8.462197482355353E-3</c:v>
                </c:pt>
                <c:pt idx="12832">
                  <c:v>5.0251343144738008E-3</c:v>
                </c:pt>
                <c:pt idx="12833">
                  <c:v>1.7190053763187422E-3</c:v>
                </c:pt>
                <c:pt idx="12834">
                  <c:v>1.3104588168473597E-3</c:v>
                </c:pt>
                <c:pt idx="12835">
                  <c:v>1.3593834787825726E-3</c:v>
                </c:pt>
                <c:pt idx="12836">
                  <c:v>3.927320070448651E-3</c:v>
                </c:pt>
                <c:pt idx="12837">
                  <c:v>1.1564100398833566E-2</c:v>
                </c:pt>
                <c:pt idx="12838">
                  <c:v>7.4461063758087063E-4</c:v>
                </c:pt>
                <c:pt idx="12839">
                  <c:v>3.0665586674982945E-3</c:v>
                </c:pt>
                <c:pt idx="12840">
                  <c:v>2.8961859573602838E-3</c:v>
                </c:pt>
                <c:pt idx="12841">
                  <c:v>2.5142220177768815E-3</c:v>
                </c:pt>
                <c:pt idx="12842">
                  <c:v>1.1454598119342351E-3</c:v>
                </c:pt>
                <c:pt idx="12843">
                  <c:v>4.7043300216965652E-3</c:v>
                </c:pt>
                <c:pt idx="12844">
                  <c:v>2.9199127454451195E-3</c:v>
                </c:pt>
                <c:pt idx="12845">
                  <c:v>2.5107677038510318E-3</c:v>
                </c:pt>
                <c:pt idx="12846">
                  <c:v>1.4650073160512771E-3</c:v>
                </c:pt>
                <c:pt idx="12847">
                  <c:v>4.2745018488863831E-3</c:v>
                </c:pt>
                <c:pt idx="12848">
                  <c:v>2.1349470074117976E-3</c:v>
                </c:pt>
                <c:pt idx="12849">
                  <c:v>1.4901108431881495E-3</c:v>
                </c:pt>
                <c:pt idx="12850">
                  <c:v>1.0020633151461298E-3</c:v>
                </c:pt>
                <c:pt idx="12851">
                  <c:v>1.999226063607171E-3</c:v>
                </c:pt>
                <c:pt idx="12852">
                  <c:v>1.3749689391761143E-3</c:v>
                </c:pt>
                <c:pt idx="12853">
                  <c:v>6.2796988859114785E-4</c:v>
                </c:pt>
                <c:pt idx="12854">
                  <c:v>6.1626072266840026E-4</c:v>
                </c:pt>
                <c:pt idx="12855">
                  <c:v>5.5494202572987771E-3</c:v>
                </c:pt>
                <c:pt idx="12856">
                  <c:v>4.0503927019335086E-3</c:v>
                </c:pt>
                <c:pt idx="12857">
                  <c:v>8.4431580868902915E-4</c:v>
                </c:pt>
                <c:pt idx="12858">
                  <c:v>1.6497872407420064E-3</c:v>
                </c:pt>
                <c:pt idx="12859">
                  <c:v>9.994485927587015E-3</c:v>
                </c:pt>
                <c:pt idx="12860">
                  <c:v>3.5845985242634929E-3</c:v>
                </c:pt>
                <c:pt idx="12861">
                  <c:v>2.8280181545905585E-3</c:v>
                </c:pt>
                <c:pt idx="12862">
                  <c:v>3.2877278071220201E-3</c:v>
                </c:pt>
                <c:pt idx="12863">
                  <c:v>7.8109124913908175E-3</c:v>
                </c:pt>
                <c:pt idx="12864">
                  <c:v>2.0299182684288841E-3</c:v>
                </c:pt>
                <c:pt idx="12865">
                  <c:v>1.352456427959889E-3</c:v>
                </c:pt>
                <c:pt idx="12866">
                  <c:v>6.0118280147953874E-3</c:v>
                </c:pt>
                <c:pt idx="12867">
                  <c:v>6.4647586183241481E-3</c:v>
                </c:pt>
                <c:pt idx="12868">
                  <c:v>5.1049764601246994E-3</c:v>
                </c:pt>
                <c:pt idx="12869">
                  <c:v>4.3596416103614567E-3</c:v>
                </c:pt>
                <c:pt idx="12870">
                  <c:v>6.5986636621550706E-3</c:v>
                </c:pt>
                <c:pt idx="12871">
                  <c:v>6.6944681299929108E-3</c:v>
                </c:pt>
                <c:pt idx="12872">
                  <c:v>5.4074707603974153E-3</c:v>
                </c:pt>
                <c:pt idx="12873">
                  <c:v>5.4507895740891349E-3</c:v>
                </c:pt>
                <c:pt idx="12874">
                  <c:v>3.5725380669928176E-3</c:v>
                </c:pt>
                <c:pt idx="12875">
                  <c:v>2.4563586350690829E-3</c:v>
                </c:pt>
                <c:pt idx="12876">
                  <c:v>6.3013821800719425E-4</c:v>
                </c:pt>
                <c:pt idx="12877">
                  <c:v>5.629149715301123E-4</c:v>
                </c:pt>
                <c:pt idx="12878">
                  <c:v>4.0228550021231884E-3</c:v>
                </c:pt>
                <c:pt idx="12879">
                  <c:v>3.5441085210514704E-3</c:v>
                </c:pt>
                <c:pt idx="12880">
                  <c:v>2.1885321334571598E-3</c:v>
                </c:pt>
                <c:pt idx="12881">
                  <c:v>9.4759668699687088E-3</c:v>
                </c:pt>
                <c:pt idx="12882">
                  <c:v>1.3417442288400921E-2</c:v>
                </c:pt>
                <c:pt idx="12883">
                  <c:v>9.1150588971512288E-3</c:v>
                </c:pt>
                <c:pt idx="12884">
                  <c:v>1.2108010061972813E-2</c:v>
                </c:pt>
                <c:pt idx="12885">
                  <c:v>1.1230740698093185E-2</c:v>
                </c:pt>
                <c:pt idx="12886">
                  <c:v>9.6752091771780697E-3</c:v>
                </c:pt>
                <c:pt idx="12887">
                  <c:v>5.2290031527767525E-3</c:v>
                </c:pt>
                <c:pt idx="12888">
                  <c:v>8.3518716939603634E-3</c:v>
                </c:pt>
                <c:pt idx="12889">
                  <c:v>1.5000769170037826E-2</c:v>
                </c:pt>
                <c:pt idx="12890">
                  <c:v>1.1147360775797479E-2</c:v>
                </c:pt>
                <c:pt idx="12891">
                  <c:v>7.5024048391277584E-3</c:v>
                </c:pt>
                <c:pt idx="12892">
                  <c:v>1.2975502291330945E-2</c:v>
                </c:pt>
                <c:pt idx="12893">
                  <c:v>1.0372050325485608E-2</c:v>
                </c:pt>
                <c:pt idx="12894">
                  <c:v>1.1085979537863194E-2</c:v>
                </c:pt>
                <c:pt idx="12895">
                  <c:v>1.0670475666561995E-2</c:v>
                </c:pt>
                <c:pt idx="12896">
                  <c:v>1.3659497078072165E-2</c:v>
                </c:pt>
                <c:pt idx="12897">
                  <c:v>1.2003676167067486E-2</c:v>
                </c:pt>
                <c:pt idx="12898">
                  <c:v>7.5143566568721364E-3</c:v>
                </c:pt>
                <c:pt idx="12899">
                  <c:v>1.0016130508390755E-2</c:v>
                </c:pt>
                <c:pt idx="12900">
                  <c:v>1.0457275069479152E-2</c:v>
                </c:pt>
                <c:pt idx="12901">
                  <c:v>1.2941358566349053E-2</c:v>
                </c:pt>
                <c:pt idx="12902">
                  <c:v>9.9083213139682449E-3</c:v>
                </c:pt>
                <c:pt idx="12903">
                  <c:v>1.4956294611644364E-2</c:v>
                </c:pt>
                <c:pt idx="12904">
                  <c:v>9.8764827719008547E-3</c:v>
                </c:pt>
                <c:pt idx="12905">
                  <c:v>1.0864935221645026E-2</c:v>
                </c:pt>
                <c:pt idx="12906">
                  <c:v>8.3940458642172977E-3</c:v>
                </c:pt>
                <c:pt idx="12907">
                  <c:v>1.1745056611742407E-2</c:v>
                </c:pt>
                <c:pt idx="12908">
                  <c:v>1.1889175721953998E-2</c:v>
                </c:pt>
                <c:pt idx="12909">
                  <c:v>8.8730103180927108E-3</c:v>
                </c:pt>
                <c:pt idx="12910">
                  <c:v>1.0933547222470703E-2</c:v>
                </c:pt>
                <c:pt idx="12911">
                  <c:v>1.1706588587516446E-2</c:v>
                </c:pt>
                <c:pt idx="12912">
                  <c:v>1.1701092877323389E-2</c:v>
                </c:pt>
                <c:pt idx="12913">
                  <c:v>1.1372069075000206E-2</c:v>
                </c:pt>
                <c:pt idx="12914">
                  <c:v>1.7868135752635697E-2</c:v>
                </c:pt>
                <c:pt idx="12915">
                  <c:v>1.5177783115882856E-2</c:v>
                </c:pt>
                <c:pt idx="12916">
                  <c:v>1.0494582131979239E-2</c:v>
                </c:pt>
                <c:pt idx="12917">
                  <c:v>1.0020798805965379E-2</c:v>
                </c:pt>
                <c:pt idx="12918">
                  <c:v>1.490887803801118E-2</c:v>
                </c:pt>
                <c:pt idx="12919">
                  <c:v>8.5226730871179601E-3</c:v>
                </c:pt>
                <c:pt idx="12920">
                  <c:v>1.0179915306794624E-2</c:v>
                </c:pt>
                <c:pt idx="12921">
                  <c:v>9.6582197949156689E-3</c:v>
                </c:pt>
                <c:pt idx="12922">
                  <c:v>1.0723865391773066E-2</c:v>
                </c:pt>
                <c:pt idx="12923">
                  <c:v>7.581366114362215E-3</c:v>
                </c:pt>
                <c:pt idx="12924">
                  <c:v>3.6827926396021463E-3</c:v>
                </c:pt>
                <c:pt idx="12925">
                  <c:v>1.3395966565932307E-2</c:v>
                </c:pt>
                <c:pt idx="12926">
                  <c:v>7.3931158232808988E-3</c:v>
                </c:pt>
                <c:pt idx="12927">
                  <c:v>6.7312445885637645E-3</c:v>
                </c:pt>
                <c:pt idx="12928">
                  <c:v>7.4703894210520344E-3</c:v>
                </c:pt>
                <c:pt idx="12929">
                  <c:v>6.8441203140045138E-3</c:v>
                </c:pt>
                <c:pt idx="12930">
                  <c:v>5.2393013546452741E-3</c:v>
                </c:pt>
                <c:pt idx="12931">
                  <c:v>7.7349793500152038E-3</c:v>
                </c:pt>
                <c:pt idx="12932">
                  <c:v>8.0923465214698207E-3</c:v>
                </c:pt>
                <c:pt idx="12933">
                  <c:v>9.3025644293381858E-3</c:v>
                </c:pt>
                <c:pt idx="12934">
                  <c:v>9.214561709874225E-3</c:v>
                </c:pt>
                <c:pt idx="12935">
                  <c:v>1.1629642315535543E-2</c:v>
                </c:pt>
                <c:pt idx="12936">
                  <c:v>6.0353851998804922E-3</c:v>
                </c:pt>
                <c:pt idx="12937">
                  <c:v>9.6938967300670854E-3</c:v>
                </c:pt>
                <c:pt idx="12938">
                  <c:v>8.1912315415859967E-3</c:v>
                </c:pt>
                <c:pt idx="12939">
                  <c:v>1.2424659870757603E-2</c:v>
                </c:pt>
                <c:pt idx="12940">
                  <c:v>9.5116587795748969E-3</c:v>
                </c:pt>
                <c:pt idx="12941">
                  <c:v>7.9077293186992376E-3</c:v>
                </c:pt>
                <c:pt idx="12942">
                  <c:v>9.0461589773410071E-3</c:v>
                </c:pt>
                <c:pt idx="12943">
                  <c:v>1.0039471494477637E-2</c:v>
                </c:pt>
                <c:pt idx="12944">
                  <c:v>1.0733186734277997E-2</c:v>
                </c:pt>
                <c:pt idx="12945">
                  <c:v>9.6386811836469063E-3</c:v>
                </c:pt>
                <c:pt idx="12946">
                  <c:v>1.0699289984315623E-2</c:v>
                </c:pt>
                <c:pt idx="12947">
                  <c:v>1.1505315685703061E-2</c:v>
                </c:pt>
                <c:pt idx="12948">
                  <c:v>1.0106092499693351E-2</c:v>
                </c:pt>
                <c:pt idx="12949">
                  <c:v>7.1402795885216579E-3</c:v>
                </c:pt>
                <c:pt idx="12950">
                  <c:v>1.0765386196397045E-2</c:v>
                </c:pt>
                <c:pt idx="12951">
                  <c:v>1.4022957238502092E-2</c:v>
                </c:pt>
                <c:pt idx="12952">
                  <c:v>1.0109486926969526E-2</c:v>
                </c:pt>
                <c:pt idx="12953">
                  <c:v>7.6718338190032613E-3</c:v>
                </c:pt>
                <c:pt idx="12954">
                  <c:v>1.0639964305049319E-2</c:v>
                </c:pt>
                <c:pt idx="12955">
                  <c:v>9.2566521918421539E-3</c:v>
                </c:pt>
                <c:pt idx="12956">
                  <c:v>1.3706208645127367E-2</c:v>
                </c:pt>
                <c:pt idx="12957">
                  <c:v>6.8415552823803318E-3</c:v>
                </c:pt>
                <c:pt idx="12958">
                  <c:v>1.1441870017290834E-2</c:v>
                </c:pt>
                <c:pt idx="12959">
                  <c:v>1.3516806316511795E-2</c:v>
                </c:pt>
                <c:pt idx="12960">
                  <c:v>7.8748907873075723E-3</c:v>
                </c:pt>
                <c:pt idx="12961">
                  <c:v>7.7516175224091773E-3</c:v>
                </c:pt>
                <c:pt idx="12962">
                  <c:v>1.169517434241669E-2</c:v>
                </c:pt>
                <c:pt idx="12963">
                  <c:v>1.3523963017096834E-2</c:v>
                </c:pt>
                <c:pt idx="12964">
                  <c:v>9.6849777710408449E-3</c:v>
                </c:pt>
                <c:pt idx="12965">
                  <c:v>1.1536612134933212E-2</c:v>
                </c:pt>
                <c:pt idx="12966">
                  <c:v>1.1181222573163951E-2</c:v>
                </c:pt>
                <c:pt idx="12967">
                  <c:v>1.0949216344166509E-2</c:v>
                </c:pt>
                <c:pt idx="12968">
                  <c:v>6.3462203469947095E-3</c:v>
                </c:pt>
                <c:pt idx="12969">
                  <c:v>1.5253684055455546E-2</c:v>
                </c:pt>
                <c:pt idx="12970">
                  <c:v>8.0829683248298343E-3</c:v>
                </c:pt>
                <c:pt idx="12971">
                  <c:v>9.1388736112459849E-3</c:v>
                </c:pt>
                <c:pt idx="12972">
                  <c:v>1.1705743098167127E-2</c:v>
                </c:pt>
                <c:pt idx="12973">
                  <c:v>1.532202548523506E-2</c:v>
                </c:pt>
                <c:pt idx="12974">
                  <c:v>1.8819455765607063E-2</c:v>
                </c:pt>
                <c:pt idx="12975">
                  <c:v>1.981848989134128E-2</c:v>
                </c:pt>
                <c:pt idx="12976">
                  <c:v>1.1612306383581784E-2</c:v>
                </c:pt>
                <c:pt idx="12977">
                  <c:v>1.4999930069581337E-2</c:v>
                </c:pt>
                <c:pt idx="12978">
                  <c:v>1.52830344532659E-2</c:v>
                </c:pt>
                <c:pt idx="12979">
                  <c:v>1.3633403745456485E-2</c:v>
                </c:pt>
                <c:pt idx="12980">
                  <c:v>1.8404212113445263E-2</c:v>
                </c:pt>
                <c:pt idx="12981">
                  <c:v>1.0823423933788209E-2</c:v>
                </c:pt>
                <c:pt idx="12982">
                  <c:v>1.4255429020290334E-2</c:v>
                </c:pt>
                <c:pt idx="12983">
                  <c:v>1.367296399121485E-2</c:v>
                </c:pt>
                <c:pt idx="12984">
                  <c:v>1.5028878098504386E-2</c:v>
                </c:pt>
                <c:pt idx="12985">
                  <c:v>1.3907305578058703E-2</c:v>
                </c:pt>
                <c:pt idx="12986">
                  <c:v>9.8026083639262615E-3</c:v>
                </c:pt>
                <c:pt idx="12987">
                  <c:v>1.0076814463152652E-2</c:v>
                </c:pt>
                <c:pt idx="12988">
                  <c:v>8.2764591812227468E-3</c:v>
                </c:pt>
                <c:pt idx="12989">
                  <c:v>4.7606060110284287E-3</c:v>
                </c:pt>
                <c:pt idx="12990">
                  <c:v>6.0936302082008264E-3</c:v>
                </c:pt>
                <c:pt idx="12991">
                  <c:v>8.3199188381716631E-3</c:v>
                </c:pt>
                <c:pt idx="12992">
                  <c:v>5.1122731284887818E-3</c:v>
                </c:pt>
                <c:pt idx="12993">
                  <c:v>1.0688272970912622E-2</c:v>
                </c:pt>
                <c:pt idx="12994">
                  <c:v>1.1639367047558268E-2</c:v>
                </c:pt>
                <c:pt idx="12995">
                  <c:v>1.5631733084128789E-2</c:v>
                </c:pt>
                <c:pt idx="12996">
                  <c:v>1.1818178735448395E-2</c:v>
                </c:pt>
                <c:pt idx="12997">
                  <c:v>1.7407756845056022E-2</c:v>
                </c:pt>
                <c:pt idx="12998">
                  <c:v>1.7217457828830378E-2</c:v>
                </c:pt>
                <c:pt idx="12999">
                  <c:v>1.951383075823385E-2</c:v>
                </c:pt>
                <c:pt idx="13000">
                  <c:v>1.5751952430914391E-2</c:v>
                </c:pt>
                <c:pt idx="13001">
                  <c:v>1.2905104265778209E-2</c:v>
                </c:pt>
                <c:pt idx="13002">
                  <c:v>1.9524626150577894E-2</c:v>
                </c:pt>
                <c:pt idx="13003">
                  <c:v>1.5239846751346034E-2</c:v>
                </c:pt>
                <c:pt idx="13004">
                  <c:v>1.1985932687234314E-2</c:v>
                </c:pt>
                <c:pt idx="13005">
                  <c:v>1.8794918332094204E-2</c:v>
                </c:pt>
                <c:pt idx="13006">
                  <c:v>1.8053983844681841E-2</c:v>
                </c:pt>
                <c:pt idx="13007">
                  <c:v>1.7383556773618664E-2</c:v>
                </c:pt>
                <c:pt idx="13008">
                  <c:v>4.1175085308931651E-3</c:v>
                </c:pt>
                <c:pt idx="13009">
                  <c:v>4.9766208961223267E-3</c:v>
                </c:pt>
                <c:pt idx="13010">
                  <c:v>8.3327002625970866E-3</c:v>
                </c:pt>
                <c:pt idx="13011">
                  <c:v>1.4864813749280954E-2</c:v>
                </c:pt>
                <c:pt idx="13012">
                  <c:v>1.270480795002212E-2</c:v>
                </c:pt>
                <c:pt idx="13013">
                  <c:v>1.5676138530555942E-2</c:v>
                </c:pt>
                <c:pt idx="13014">
                  <c:v>1.0749286763754091E-2</c:v>
                </c:pt>
                <c:pt idx="13015">
                  <c:v>8.8576916339653637E-3</c:v>
                </c:pt>
                <c:pt idx="13016">
                  <c:v>1.2105053576022526E-2</c:v>
                </c:pt>
                <c:pt idx="13017">
                  <c:v>1.3812658579438511E-2</c:v>
                </c:pt>
                <c:pt idx="13018">
                  <c:v>7.9793684059135134E-3</c:v>
                </c:pt>
                <c:pt idx="13019">
                  <c:v>1.3512596437547111E-2</c:v>
                </c:pt>
                <c:pt idx="13020">
                  <c:v>1.8483297120379057E-2</c:v>
                </c:pt>
                <c:pt idx="13021">
                  <c:v>1.8011487483232447E-2</c:v>
                </c:pt>
                <c:pt idx="13022">
                  <c:v>1.2284940216218914E-2</c:v>
                </c:pt>
                <c:pt idx="13023">
                  <c:v>1.6132078916366845E-2</c:v>
                </c:pt>
                <c:pt idx="13024">
                  <c:v>1.3188313146717499E-2</c:v>
                </c:pt>
                <c:pt idx="13025">
                  <c:v>1.550309923389118E-2</c:v>
                </c:pt>
                <c:pt idx="13026">
                  <c:v>1.4209196807183286E-2</c:v>
                </c:pt>
                <c:pt idx="13027">
                  <c:v>6.5182091676075781E-4</c:v>
                </c:pt>
                <c:pt idx="13028">
                  <c:v>8.9364069040351896E-3</c:v>
                </c:pt>
                <c:pt idx="13029">
                  <c:v>4.8619703109220218E-3</c:v>
                </c:pt>
                <c:pt idx="13030">
                  <c:v>5.6205919660299074E-3</c:v>
                </c:pt>
                <c:pt idx="13031">
                  <c:v>5.9060190805655752E-3</c:v>
                </c:pt>
                <c:pt idx="13032">
                  <c:v>5.065486480739281E-3</c:v>
                </c:pt>
                <c:pt idx="13033">
                  <c:v>1.3217163068951206E-3</c:v>
                </c:pt>
                <c:pt idx="13034">
                  <c:v>1.3026649989461958E-3</c:v>
                </c:pt>
                <c:pt idx="13035">
                  <c:v>5.1989653357850264E-3</c:v>
                </c:pt>
                <c:pt idx="13036">
                  <c:v>3.6151788967608528E-3</c:v>
                </c:pt>
                <c:pt idx="13037">
                  <c:v>2.3492478536266547E-3</c:v>
                </c:pt>
                <c:pt idx="13038">
                  <c:v>6.2623521726364723E-4</c:v>
                </c:pt>
                <c:pt idx="13039">
                  <c:v>4.5801533798530136E-3</c:v>
                </c:pt>
                <c:pt idx="13040">
                  <c:v>5.1397418393359946E-3</c:v>
                </c:pt>
                <c:pt idx="13041">
                  <c:v>2.8642605970326312E-3</c:v>
                </c:pt>
                <c:pt idx="13042">
                  <c:v>5.1809416483132153E-3</c:v>
                </c:pt>
                <c:pt idx="13043">
                  <c:v>8.0318109597595343E-3</c:v>
                </c:pt>
                <c:pt idx="13044">
                  <c:v>7.1941050378348751E-3</c:v>
                </c:pt>
                <c:pt idx="13045">
                  <c:v>4.5178368418558107E-3</c:v>
                </c:pt>
                <c:pt idx="13046">
                  <c:v>2.9695191139899376E-3</c:v>
                </c:pt>
                <c:pt idx="13047">
                  <c:v>6.5118226042639163E-3</c:v>
                </c:pt>
                <c:pt idx="13048">
                  <c:v>1.6337789762116473E-3</c:v>
                </c:pt>
                <c:pt idx="13049">
                  <c:v>1.8392456567080699E-3</c:v>
                </c:pt>
                <c:pt idx="13050">
                  <c:v>2.3889855806229518E-3</c:v>
                </c:pt>
                <c:pt idx="13051">
                  <c:v>5.4083286006232174E-3</c:v>
                </c:pt>
                <c:pt idx="13052">
                  <c:v>2.0247310058475474E-3</c:v>
                </c:pt>
                <c:pt idx="13053">
                  <c:v>3.037233444192424E-3</c:v>
                </c:pt>
                <c:pt idx="13054">
                  <c:v>4.3660909122139177E-3</c:v>
                </c:pt>
                <c:pt idx="13055">
                  <c:v>7.7725209893553561E-3</c:v>
                </c:pt>
                <c:pt idx="13056">
                  <c:v>4.1962273431224561E-3</c:v>
                </c:pt>
                <c:pt idx="13057">
                  <c:v>2.2585285480815182E-3</c:v>
                </c:pt>
                <c:pt idx="13058">
                  <c:v>4.4181117784917777E-3</c:v>
                </c:pt>
                <c:pt idx="13059">
                  <c:v>5.7367568669834529E-3</c:v>
                </c:pt>
                <c:pt idx="13060">
                  <c:v>2.0848130000708245E-3</c:v>
                </c:pt>
                <c:pt idx="13061">
                  <c:v>2.2788340387273919E-3</c:v>
                </c:pt>
                <c:pt idx="13062">
                  <c:v>3.3674590337700668E-3</c:v>
                </c:pt>
                <c:pt idx="13063">
                  <c:v>3.6806394979639477E-3</c:v>
                </c:pt>
                <c:pt idx="13064">
                  <c:v>1.2632607784521918E-3</c:v>
                </c:pt>
                <c:pt idx="13065">
                  <c:v>8.7855708671960347E-4</c:v>
                </c:pt>
                <c:pt idx="13066">
                  <c:v>3.8756708154360181E-3</c:v>
                </c:pt>
                <c:pt idx="13067">
                  <c:v>2.4274240524151756E-3</c:v>
                </c:pt>
                <c:pt idx="13068">
                  <c:v>1.527763413366966E-3</c:v>
                </c:pt>
                <c:pt idx="13069">
                  <c:v>1.4507236270514617E-3</c:v>
                </c:pt>
                <c:pt idx="13070">
                  <c:v>3.6410197864590356E-3</c:v>
                </c:pt>
                <c:pt idx="13071">
                  <c:v>3.334275382617206E-3</c:v>
                </c:pt>
                <c:pt idx="13072">
                  <c:v>1.242474694313911E-3</c:v>
                </c:pt>
                <c:pt idx="13073">
                  <c:v>1.8414079469520836E-3</c:v>
                </c:pt>
                <c:pt idx="13074">
                  <c:v>4.5526492516371302E-3</c:v>
                </c:pt>
                <c:pt idx="13075">
                  <c:v>1.6065203031334228E-3</c:v>
                </c:pt>
                <c:pt idx="13076">
                  <c:v>2.0329441429892854E-3</c:v>
                </c:pt>
                <c:pt idx="13077">
                  <c:v>1.9603173341944543E-3</c:v>
                </c:pt>
                <c:pt idx="13078">
                  <c:v>3.1014875995173849E-3</c:v>
                </c:pt>
                <c:pt idx="13079">
                  <c:v>2.930697220617875E-3</c:v>
                </c:pt>
                <c:pt idx="13080">
                  <c:v>2.4723366082449864E-3</c:v>
                </c:pt>
                <c:pt idx="13081">
                  <c:v>3.6057035186153755E-3</c:v>
                </c:pt>
                <c:pt idx="13082">
                  <c:v>4.3553420225854933E-3</c:v>
                </c:pt>
                <c:pt idx="13083">
                  <c:v>2.1284644874226917E-3</c:v>
                </c:pt>
                <c:pt idx="13084">
                  <c:v>2.3604784494074475E-3</c:v>
                </c:pt>
                <c:pt idx="13085">
                  <c:v>3.9819755090981087E-3</c:v>
                </c:pt>
                <c:pt idx="13086">
                  <c:v>3.1066620172022852E-3</c:v>
                </c:pt>
                <c:pt idx="13087">
                  <c:v>1.9179460862686732E-3</c:v>
                </c:pt>
                <c:pt idx="13088">
                  <c:v>1.5892123210768368E-3</c:v>
                </c:pt>
                <c:pt idx="13089">
                  <c:v>4.442185442210503E-3</c:v>
                </c:pt>
                <c:pt idx="13090">
                  <c:v>2.8426880789720137E-3</c:v>
                </c:pt>
                <c:pt idx="13091">
                  <c:v>2.3781876450133673E-3</c:v>
                </c:pt>
                <c:pt idx="13092">
                  <c:v>0</c:v>
                </c:pt>
                <c:pt idx="13093">
                  <c:v>4.4241303195267289E-3</c:v>
                </c:pt>
                <c:pt idx="13094">
                  <c:v>2.9268148404063567E-3</c:v>
                </c:pt>
                <c:pt idx="13095">
                  <c:v>1.0796159400898052E-3</c:v>
                </c:pt>
                <c:pt idx="13096">
                  <c:v>2.7222937522798753E-3</c:v>
                </c:pt>
                <c:pt idx="13097">
                  <c:v>5.0358666395683947E-3</c:v>
                </c:pt>
                <c:pt idx="13098">
                  <c:v>1.7168424765624877E-3</c:v>
                </c:pt>
                <c:pt idx="13099">
                  <c:v>1.2281836843517095E-3</c:v>
                </c:pt>
                <c:pt idx="13100">
                  <c:v>4.4439049385572348E-3</c:v>
                </c:pt>
                <c:pt idx="13101">
                  <c:v>3.6074263300186521E-3</c:v>
                </c:pt>
                <c:pt idx="13102">
                  <c:v>2.0662273717983672E-3</c:v>
                </c:pt>
                <c:pt idx="13103">
                  <c:v>2.695534924379525E-3</c:v>
                </c:pt>
                <c:pt idx="13104">
                  <c:v>5.2225666526009209E-3</c:v>
                </c:pt>
                <c:pt idx="13105">
                  <c:v>4.0697541016752525E-3</c:v>
                </c:pt>
                <c:pt idx="13106">
                  <c:v>2.8353531787227962E-3</c:v>
                </c:pt>
                <c:pt idx="13107">
                  <c:v>7.9446608441956516E-4</c:v>
                </c:pt>
                <c:pt idx="13108">
                  <c:v>5.8314661333753086E-3</c:v>
                </c:pt>
                <c:pt idx="13109">
                  <c:v>4.4937673713707641E-3</c:v>
                </c:pt>
                <c:pt idx="13110">
                  <c:v>1.0965110435192684E-3</c:v>
                </c:pt>
                <c:pt idx="13111">
                  <c:v>1.1684161833597244E-3</c:v>
                </c:pt>
                <c:pt idx="13112">
                  <c:v>3.690543861113262E-3</c:v>
                </c:pt>
                <c:pt idx="13113">
                  <c:v>1.0128955193998695E-3</c:v>
                </c:pt>
                <c:pt idx="13114">
                  <c:v>5.6334870324507976E-4</c:v>
                </c:pt>
                <c:pt idx="13115">
                  <c:v>1.6073856841299008E-3</c:v>
                </c:pt>
                <c:pt idx="13116">
                  <c:v>5.147037923628279E-3</c:v>
                </c:pt>
                <c:pt idx="13117">
                  <c:v>2.0467764439385089E-3</c:v>
                </c:pt>
                <c:pt idx="13118">
                  <c:v>2.2580965060506821E-3</c:v>
                </c:pt>
                <c:pt idx="13119">
                  <c:v>4.1807428024559145E-3</c:v>
                </c:pt>
                <c:pt idx="13120">
                  <c:v>9.7265980128353521E-3</c:v>
                </c:pt>
                <c:pt idx="13121">
                  <c:v>6.7333826589684028E-3</c:v>
                </c:pt>
                <c:pt idx="13122">
                  <c:v>1.3851784730492962E-4</c:v>
                </c:pt>
                <c:pt idx="13123">
                  <c:v>4.1996682771851526E-3</c:v>
                </c:pt>
                <c:pt idx="13124">
                  <c:v>4.1132065452791954E-3</c:v>
                </c:pt>
                <c:pt idx="13125">
                  <c:v>1.4533206963577606E-3</c:v>
                </c:pt>
                <c:pt idx="13126">
                  <c:v>3.1446058632341361E-3</c:v>
                </c:pt>
                <c:pt idx="13127">
                  <c:v>7.368778196891081E-3</c:v>
                </c:pt>
                <c:pt idx="13128">
                  <c:v>6.0589411072360048E-3</c:v>
                </c:pt>
                <c:pt idx="13129">
                  <c:v>2.7991083237380015E-3</c:v>
                </c:pt>
                <c:pt idx="13130">
                  <c:v>2.9125791493562663E-3</c:v>
                </c:pt>
                <c:pt idx="13131">
                  <c:v>3.7198250050525794E-3</c:v>
                </c:pt>
                <c:pt idx="13132">
                  <c:v>4.8851605115364351E-3</c:v>
                </c:pt>
                <c:pt idx="13133">
                  <c:v>2.1172278902189365E-3</c:v>
                </c:pt>
                <c:pt idx="13134">
                  <c:v>1.6947802837404993E-3</c:v>
                </c:pt>
                <c:pt idx="13135">
                  <c:v>3.248503291619873E-3</c:v>
                </c:pt>
                <c:pt idx="13136">
                  <c:v>2.2218034409890236E-3</c:v>
                </c:pt>
                <c:pt idx="13137">
                  <c:v>1.5619508505227097E-3</c:v>
                </c:pt>
                <c:pt idx="13138">
                  <c:v>1.4550520672672988E-3</c:v>
                </c:pt>
                <c:pt idx="13139">
                  <c:v>7.2282764642132413E-3</c:v>
                </c:pt>
                <c:pt idx="13140">
                  <c:v>3.675471914478633E-3</c:v>
                </c:pt>
                <c:pt idx="13141">
                  <c:v>3.2135861820822339E-3</c:v>
                </c:pt>
                <c:pt idx="13142">
                  <c:v>5.7521860290408837E-3</c:v>
                </c:pt>
                <c:pt idx="13143">
                  <c:v>5.4820965218282591E-3</c:v>
                </c:pt>
                <c:pt idx="13144">
                  <c:v>5.0508914491482308E-3</c:v>
                </c:pt>
                <c:pt idx="13145">
                  <c:v>3.0816517605797371E-3</c:v>
                </c:pt>
                <c:pt idx="13146">
                  <c:v>4.5642527681447843E-3</c:v>
                </c:pt>
                <c:pt idx="13147">
                  <c:v>3.7125049041472082E-3</c:v>
                </c:pt>
                <c:pt idx="13148">
                  <c:v>2.7184095085878942E-3</c:v>
                </c:pt>
                <c:pt idx="13149">
                  <c:v>2.9988489098282593E-3</c:v>
                </c:pt>
                <c:pt idx="13150">
                  <c:v>4.1850441191322177E-3</c:v>
                </c:pt>
                <c:pt idx="13151">
                  <c:v>8.4749747202225376E-3</c:v>
                </c:pt>
                <c:pt idx="13152">
                  <c:v>1.6342116397683342E-3</c:v>
                </c:pt>
                <c:pt idx="13153">
                  <c:v>1.6402688843024549E-3</c:v>
                </c:pt>
                <c:pt idx="13154">
                  <c:v>2.0999402498859958E-3</c:v>
                </c:pt>
                <c:pt idx="13155">
                  <c:v>4.992935747788944E-3</c:v>
                </c:pt>
                <c:pt idx="13156">
                  <c:v>1.2892419846841955E-3</c:v>
                </c:pt>
                <c:pt idx="13157">
                  <c:v>4.1945068658675996E-3</c:v>
                </c:pt>
                <c:pt idx="13158">
                  <c:v>6.6012301287437002E-3</c:v>
                </c:pt>
                <c:pt idx="13159">
                  <c:v>4.5444836282465956E-3</c:v>
                </c:pt>
                <c:pt idx="13160">
                  <c:v>2.48226856556738E-3</c:v>
                </c:pt>
                <c:pt idx="13161">
                  <c:v>4.0676028776617445E-3</c:v>
                </c:pt>
                <c:pt idx="13162">
                  <c:v>6.5956694319661792E-3</c:v>
                </c:pt>
                <c:pt idx="13163">
                  <c:v>3.4062419060601422E-3</c:v>
                </c:pt>
                <c:pt idx="13164">
                  <c:v>1.0956446439471554E-3</c:v>
                </c:pt>
                <c:pt idx="13165">
                  <c:v>3.9892910694816538E-3</c:v>
                </c:pt>
                <c:pt idx="13166">
                  <c:v>6.5635870986675716E-3</c:v>
                </c:pt>
                <c:pt idx="13167">
                  <c:v>7.3286394827204214E-3</c:v>
                </c:pt>
                <c:pt idx="13168">
                  <c:v>3.7176720470057678E-3</c:v>
                </c:pt>
                <c:pt idx="13169">
                  <c:v>1.1419450331553584E-2</c:v>
                </c:pt>
                <c:pt idx="13170">
                  <c:v>1.1094869771641704E-2</c:v>
                </c:pt>
                <c:pt idx="13171">
                  <c:v>1.1698133619952165E-2</c:v>
                </c:pt>
                <c:pt idx="13172">
                  <c:v>1.1797046438582816E-2</c:v>
                </c:pt>
                <c:pt idx="13173">
                  <c:v>1.5631733084128789E-2</c:v>
                </c:pt>
                <c:pt idx="13174">
                  <c:v>1.2148976438482723E-2</c:v>
                </c:pt>
                <c:pt idx="13175">
                  <c:v>1.5495556001479893E-2</c:v>
                </c:pt>
                <c:pt idx="13176">
                  <c:v>1.2865474009974238E-2</c:v>
                </c:pt>
                <c:pt idx="13177">
                  <c:v>1.0778095853242695E-2</c:v>
                </c:pt>
                <c:pt idx="13178">
                  <c:v>2.1638664702057529E-2</c:v>
                </c:pt>
                <c:pt idx="13179">
                  <c:v>1.0570458200763092E-2</c:v>
                </c:pt>
                <c:pt idx="13180">
                  <c:v>8.588249788974784E-3</c:v>
                </c:pt>
                <c:pt idx="13181">
                  <c:v>1.633331075205351E-2</c:v>
                </c:pt>
                <c:pt idx="13182">
                  <c:v>1.3344588959929998E-2</c:v>
                </c:pt>
                <c:pt idx="13183">
                  <c:v>1.0616655570776193E-2</c:v>
                </c:pt>
                <c:pt idx="13184">
                  <c:v>1.2114767668568876E-2</c:v>
                </c:pt>
                <c:pt idx="13185">
                  <c:v>1.1296332939567491E-2</c:v>
                </c:pt>
                <c:pt idx="13186">
                  <c:v>1.5248652359517223E-2</c:v>
                </c:pt>
                <c:pt idx="13187">
                  <c:v>9.0848633642354303E-3</c:v>
                </c:pt>
                <c:pt idx="13188">
                  <c:v>1.413647618643041E-2</c:v>
                </c:pt>
                <c:pt idx="13189">
                  <c:v>1.4826201364005125E-2</c:v>
                </c:pt>
                <c:pt idx="13190">
                  <c:v>1.3622040029922643E-2</c:v>
                </c:pt>
                <c:pt idx="13191">
                  <c:v>7.0885837898087408E-3</c:v>
                </c:pt>
                <c:pt idx="13192">
                  <c:v>1.5492203411685963E-2</c:v>
                </c:pt>
                <c:pt idx="13193">
                  <c:v>1.1049570015001725E-2</c:v>
                </c:pt>
                <c:pt idx="13194">
                  <c:v>1.0656915326083561E-2</c:v>
                </c:pt>
                <c:pt idx="13195">
                  <c:v>9.4262482500284649E-3</c:v>
                </c:pt>
                <c:pt idx="13196">
                  <c:v>1.3765537716457353E-2</c:v>
                </c:pt>
                <c:pt idx="13197">
                  <c:v>1.1536612134933212E-2</c:v>
                </c:pt>
                <c:pt idx="13198">
                  <c:v>7.0667928079543767E-3</c:v>
                </c:pt>
                <c:pt idx="13199">
                  <c:v>7.8761702570958811E-3</c:v>
                </c:pt>
                <c:pt idx="13200">
                  <c:v>1.1944528414918366E-2</c:v>
                </c:pt>
                <c:pt idx="13201">
                  <c:v>1.1522232965346504E-2</c:v>
                </c:pt>
                <c:pt idx="13202">
                  <c:v>8.6235889702873728E-3</c:v>
                </c:pt>
                <c:pt idx="13203">
                  <c:v>1.3450285457020187E-2</c:v>
                </c:pt>
                <c:pt idx="13204">
                  <c:v>7.6321498348190658E-3</c:v>
                </c:pt>
                <c:pt idx="13205">
                  <c:v>1.1533651756583684E-2</c:v>
                </c:pt>
                <c:pt idx="13206">
                  <c:v>9.072104057375515E-3</c:v>
                </c:pt>
                <c:pt idx="13207">
                  <c:v>1.3620356491221628E-2</c:v>
                </c:pt>
                <c:pt idx="13208">
                  <c:v>1.2318291287356779E-2</c:v>
                </c:pt>
                <c:pt idx="13209">
                  <c:v>1.1509968003298131E-2</c:v>
                </c:pt>
                <c:pt idx="13210">
                  <c:v>1.1529845526196923E-2</c:v>
                </c:pt>
                <c:pt idx="13211">
                  <c:v>1.1923402265346057E-2</c:v>
                </c:pt>
                <c:pt idx="13212">
                  <c:v>9.692197894850263E-3</c:v>
                </c:pt>
                <c:pt idx="13213">
                  <c:v>7.5613070425751567E-3</c:v>
                </c:pt>
                <c:pt idx="13214">
                  <c:v>1.2131238894147037E-2</c:v>
                </c:pt>
                <c:pt idx="13215">
                  <c:v>1.0701408608699222E-2</c:v>
                </c:pt>
                <c:pt idx="13216">
                  <c:v>1.1846071792909793E-2</c:v>
                </c:pt>
                <c:pt idx="13217">
                  <c:v>9.078483757663007E-3</c:v>
                </c:pt>
                <c:pt idx="13218">
                  <c:v>1.1999451594764326E-2</c:v>
                </c:pt>
                <c:pt idx="13219">
                  <c:v>6.2999944913044309E-3</c:v>
                </c:pt>
                <c:pt idx="13220">
                  <c:v>9.2332690943654067E-3</c:v>
                </c:pt>
                <c:pt idx="13221">
                  <c:v>5.3568551876667482E-3</c:v>
                </c:pt>
                <c:pt idx="13222">
                  <c:v>8.7206504790042112E-3</c:v>
                </c:pt>
                <c:pt idx="13223">
                  <c:v>7.7405254783048417E-3</c:v>
                </c:pt>
                <c:pt idx="13224">
                  <c:v>1.6280187912315659E-2</c:v>
                </c:pt>
                <c:pt idx="13225">
                  <c:v>1.002461828483898E-2</c:v>
                </c:pt>
                <c:pt idx="13226">
                  <c:v>1.1157942871091731E-2</c:v>
                </c:pt>
                <c:pt idx="13227">
                  <c:v>9.73806411334463E-3</c:v>
                </c:pt>
                <c:pt idx="13228">
                  <c:v>7.9589013010924591E-3</c:v>
                </c:pt>
                <c:pt idx="13229">
                  <c:v>1.0442012165626581E-2</c:v>
                </c:pt>
                <c:pt idx="13230">
                  <c:v>7.2914865158086612E-3</c:v>
                </c:pt>
                <c:pt idx="13231">
                  <c:v>5.5189757842160018E-3</c:v>
                </c:pt>
                <c:pt idx="13232">
                  <c:v>6.7718661264301126E-3</c:v>
                </c:pt>
                <c:pt idx="13233">
                  <c:v>7.2235780525145418E-3</c:v>
                </c:pt>
                <c:pt idx="13234">
                  <c:v>6.0949149365084471E-3</c:v>
                </c:pt>
                <c:pt idx="13235">
                  <c:v>1.2943466281431211E-2</c:v>
                </c:pt>
                <c:pt idx="13236">
                  <c:v>9.4912637618370325E-3</c:v>
                </c:pt>
                <c:pt idx="13237">
                  <c:v>9.3578227229575237E-3</c:v>
                </c:pt>
                <c:pt idx="13238">
                  <c:v>1.0847568737026544E-2</c:v>
                </c:pt>
                <c:pt idx="13239">
                  <c:v>1.0056445969200628E-2</c:v>
                </c:pt>
                <c:pt idx="13240">
                  <c:v>7.6867677126752146E-3</c:v>
                </c:pt>
                <c:pt idx="13241">
                  <c:v>3.5988122046587156E-3</c:v>
                </c:pt>
                <c:pt idx="13242">
                  <c:v>4.7154998820692047E-3</c:v>
                </c:pt>
                <c:pt idx="13243">
                  <c:v>8.6001717619175692E-3</c:v>
                </c:pt>
                <c:pt idx="13244">
                  <c:v>1.1872272730247642E-2</c:v>
                </c:pt>
                <c:pt idx="13245">
                  <c:v>8.312249802955014E-3</c:v>
                </c:pt>
                <c:pt idx="13246">
                  <c:v>6.7607490305397434E-3</c:v>
                </c:pt>
                <c:pt idx="13247">
                  <c:v>1.0963191029814259E-2</c:v>
                </c:pt>
                <c:pt idx="13248">
                  <c:v>1.4029264625222772E-2</c:v>
                </c:pt>
                <c:pt idx="13249">
                  <c:v>1.2662628531057986E-2</c:v>
                </c:pt>
                <c:pt idx="13250">
                  <c:v>1.4099901098815048E-2</c:v>
                </c:pt>
                <c:pt idx="13251">
                  <c:v>1.3026080653935465E-2</c:v>
                </c:pt>
                <c:pt idx="13252">
                  <c:v>1.2431412552127924E-2</c:v>
                </c:pt>
                <c:pt idx="13253">
                  <c:v>9.7847747274312606E-3</c:v>
                </c:pt>
                <c:pt idx="13254">
                  <c:v>1.9348544711286171E-2</c:v>
                </c:pt>
                <c:pt idx="13255">
                  <c:v>2.3993626510465785E-2</c:v>
                </c:pt>
                <c:pt idx="13256">
                  <c:v>2.1567177632794487E-2</c:v>
                </c:pt>
                <c:pt idx="13257">
                  <c:v>8.6142222384579335E-3</c:v>
                </c:pt>
                <c:pt idx="13258">
                  <c:v>1.6019917597889649E-2</c:v>
                </c:pt>
                <c:pt idx="13259">
                  <c:v>1.1816910826633309E-2</c:v>
                </c:pt>
                <c:pt idx="13260">
                  <c:v>1.6082698024448169E-2</c:v>
                </c:pt>
                <c:pt idx="13261">
                  <c:v>1.5168976070659009E-2</c:v>
                </c:pt>
                <c:pt idx="13262">
                  <c:v>1.5600311393209021E-2</c:v>
                </c:pt>
                <c:pt idx="13263">
                  <c:v>7.294903013279245E-3</c:v>
                </c:pt>
                <c:pt idx="13264">
                  <c:v>1.1539995399766098E-2</c:v>
                </c:pt>
                <c:pt idx="13265">
                  <c:v>1.2599773596541452E-2</c:v>
                </c:pt>
                <c:pt idx="13266">
                  <c:v>1.3676751485297508E-2</c:v>
                </c:pt>
                <c:pt idx="13267">
                  <c:v>1.2618757589295699E-2</c:v>
                </c:pt>
                <c:pt idx="13268">
                  <c:v>1.2729691885865776E-2</c:v>
                </c:pt>
                <c:pt idx="13269">
                  <c:v>1.2265941625624572E-2</c:v>
                </c:pt>
                <c:pt idx="13270">
                  <c:v>1.3338271621548123E-2</c:v>
                </c:pt>
                <c:pt idx="13271">
                  <c:v>1.3363961557981502E-2</c:v>
                </c:pt>
                <c:pt idx="13272">
                  <c:v>9.8493120368344286E-3</c:v>
                </c:pt>
                <c:pt idx="13273">
                  <c:v>1.5380295878688855E-2</c:v>
                </c:pt>
                <c:pt idx="13274">
                  <c:v>1.2296338971655543E-2</c:v>
                </c:pt>
                <c:pt idx="13275">
                  <c:v>1.2154044175235225E-2</c:v>
                </c:pt>
                <c:pt idx="13276">
                  <c:v>8.6257177448020774E-3</c:v>
                </c:pt>
                <c:pt idx="13277">
                  <c:v>1.0638692951799882E-2</c:v>
                </c:pt>
                <c:pt idx="13278">
                  <c:v>1.0933970719679484E-2</c:v>
                </c:pt>
                <c:pt idx="13279">
                  <c:v>9.5698642919466795E-3</c:v>
                </c:pt>
                <c:pt idx="13280">
                  <c:v>1.4270138237865821E-2</c:v>
                </c:pt>
                <c:pt idx="13281">
                  <c:v>1.3297838479724869E-2</c:v>
                </c:pt>
                <c:pt idx="13282">
                  <c:v>1.0986057727319889E-2</c:v>
                </c:pt>
                <c:pt idx="13283">
                  <c:v>1.2095761632006532E-2</c:v>
                </c:pt>
                <c:pt idx="13284">
                  <c:v>2.7078751934878815E-2</c:v>
                </c:pt>
                <c:pt idx="13285">
                  <c:v>1.3306262361372286E-2</c:v>
                </c:pt>
                <c:pt idx="13286">
                  <c:v>1.3920344214627319E-2</c:v>
                </c:pt>
                <c:pt idx="13287">
                  <c:v>5.0169775700202781E-3</c:v>
                </c:pt>
                <c:pt idx="13288">
                  <c:v>1.3030716709129586E-2</c:v>
                </c:pt>
                <c:pt idx="13289">
                  <c:v>1.0271964101170003E-2</c:v>
                </c:pt>
                <c:pt idx="13290">
                  <c:v>1.1650359960681263E-2</c:v>
                </c:pt>
                <c:pt idx="13291">
                  <c:v>9.4819157252742595E-3</c:v>
                </c:pt>
                <c:pt idx="13292">
                  <c:v>1.4729235566920277E-2</c:v>
                </c:pt>
                <c:pt idx="13293">
                  <c:v>7.5126492744747838E-3</c:v>
                </c:pt>
                <c:pt idx="13294">
                  <c:v>6.641863828705229E-3</c:v>
                </c:pt>
                <c:pt idx="13295">
                  <c:v>1.2875171108869266E-2</c:v>
                </c:pt>
                <c:pt idx="13296">
                  <c:v>1.4699008035181826E-2</c:v>
                </c:pt>
                <c:pt idx="13297">
                  <c:v>1.3548379108030929E-2</c:v>
                </c:pt>
                <c:pt idx="13298">
                  <c:v>1.1113073015849415E-2</c:v>
                </c:pt>
                <c:pt idx="13299">
                  <c:v>1.3818127634181419E-2</c:v>
                </c:pt>
                <c:pt idx="13300">
                  <c:v>1.5794251672714414E-2</c:v>
                </c:pt>
                <c:pt idx="13301">
                  <c:v>1.3097301860065386E-2</c:v>
                </c:pt>
                <c:pt idx="13302">
                  <c:v>6.2691745204888506E-3</c:v>
                </c:pt>
                <c:pt idx="13303">
                  <c:v>7.7179138956428054E-3</c:v>
                </c:pt>
                <c:pt idx="13304">
                  <c:v>5.3654345134989904E-3</c:v>
                </c:pt>
                <c:pt idx="13305">
                  <c:v>6.7671627744372688E-3</c:v>
                </c:pt>
                <c:pt idx="13306">
                  <c:v>7.4426408161835378E-3</c:v>
                </c:pt>
                <c:pt idx="13307">
                  <c:v>6.1869772372732902E-3</c:v>
                </c:pt>
                <c:pt idx="13308">
                  <c:v>8.4276970623006747E-3</c:v>
                </c:pt>
                <c:pt idx="13309">
                  <c:v>9.4372973241365517E-3</c:v>
                </c:pt>
                <c:pt idx="13310">
                  <c:v>1.2938407748049033E-2</c:v>
                </c:pt>
                <c:pt idx="13311">
                  <c:v>1.2259608577397611E-2</c:v>
                </c:pt>
                <c:pt idx="13312">
                  <c:v>7.2991735973223148E-3</c:v>
                </c:pt>
                <c:pt idx="13313">
                  <c:v>6.8633575683078119E-3</c:v>
                </c:pt>
                <c:pt idx="13314">
                  <c:v>8.0735899256717987E-3</c:v>
                </c:pt>
                <c:pt idx="13315">
                  <c:v>6.3470763349596131E-3</c:v>
                </c:pt>
                <c:pt idx="13316">
                  <c:v>4.0219944208679369E-3</c:v>
                </c:pt>
                <c:pt idx="13317">
                  <c:v>7.609105857281165E-3</c:v>
                </c:pt>
                <c:pt idx="13318">
                  <c:v>6.8193243736810617E-3</c:v>
                </c:pt>
                <c:pt idx="13319">
                  <c:v>3.5583235266520518E-3</c:v>
                </c:pt>
                <c:pt idx="13320">
                  <c:v>1.5532960575554318E-3</c:v>
                </c:pt>
                <c:pt idx="13321">
                  <c:v>7.1270357966407988E-3</c:v>
                </c:pt>
                <c:pt idx="13322">
                  <c:v>8.016888926429969E-3</c:v>
                </c:pt>
                <c:pt idx="13323">
                  <c:v>4.4950568411075273E-3</c:v>
                </c:pt>
                <c:pt idx="13324">
                  <c:v>4.0198429602691611E-3</c:v>
                </c:pt>
                <c:pt idx="13325">
                  <c:v>2.7930672204771415E-3</c:v>
                </c:pt>
                <c:pt idx="13326">
                  <c:v>2.1215496927798091E-3</c:v>
                </c:pt>
                <c:pt idx="13327">
                  <c:v>0</c:v>
                </c:pt>
                <c:pt idx="13328">
                  <c:v>2.0549891641836325E-3</c:v>
                </c:pt>
                <c:pt idx="13329">
                  <c:v>2.7883205803914779E-3</c:v>
                </c:pt>
                <c:pt idx="13330">
                  <c:v>3.0027306461467146E-3</c:v>
                </c:pt>
                <c:pt idx="13331">
                  <c:v>1.1931037569158577E-3</c:v>
                </c:pt>
                <c:pt idx="13332">
                  <c:v>3.1816841464502063E-3</c:v>
                </c:pt>
                <c:pt idx="13333">
                  <c:v>1.9287554708632667E-3</c:v>
                </c:pt>
                <c:pt idx="13334">
                  <c:v>5.1173158763544678E-4</c:v>
                </c:pt>
                <c:pt idx="13335">
                  <c:v>8.0833788662299498E-4</c:v>
                </c:pt>
                <c:pt idx="13336">
                  <c:v>4.4628189490577407E-3</c:v>
                </c:pt>
                <c:pt idx="13337">
                  <c:v>3.6784863456508689E-3</c:v>
                </c:pt>
                <c:pt idx="13338">
                  <c:v>1.606592381776474E-4</c:v>
                </c:pt>
                <c:pt idx="13339">
                  <c:v>9.1322904769094613E-4</c:v>
                </c:pt>
                <c:pt idx="13340">
                  <c:v>2.5004045972198169E-3</c:v>
                </c:pt>
                <c:pt idx="13341">
                  <c:v>2.4779503511621818E-3</c:v>
                </c:pt>
                <c:pt idx="13342">
                  <c:v>1.4619774818831375E-3</c:v>
                </c:pt>
                <c:pt idx="13343">
                  <c:v>2.6744303685133288E-4</c:v>
                </c:pt>
                <c:pt idx="13344">
                  <c:v>2.5150855919654005E-3</c:v>
                </c:pt>
                <c:pt idx="13345">
                  <c:v>1.8504894484169161E-3</c:v>
                </c:pt>
                <c:pt idx="13346">
                  <c:v>4.8960808850982251E-4</c:v>
                </c:pt>
                <c:pt idx="13347">
                  <c:v>1.1454598119342351E-3</c:v>
                </c:pt>
                <c:pt idx="13348">
                  <c:v>3.4562236111318973E-3</c:v>
                </c:pt>
                <c:pt idx="13349">
                  <c:v>1.0089959569929354E-3</c:v>
                </c:pt>
                <c:pt idx="13350">
                  <c:v>1.2043642893344055E-3</c:v>
                </c:pt>
                <c:pt idx="13351">
                  <c:v>1.1056081346735996E-3</c:v>
                </c:pt>
                <c:pt idx="13352">
                  <c:v>1.7925375595444248E-3</c:v>
                </c:pt>
                <c:pt idx="13353">
                  <c:v>1.4308122463983271E-3</c:v>
                </c:pt>
                <c:pt idx="13354">
                  <c:v>1.6839650739723573E-3</c:v>
                </c:pt>
                <c:pt idx="13355">
                  <c:v>2.8832435265701878E-3</c:v>
                </c:pt>
                <c:pt idx="13356">
                  <c:v>8.5081752481528967E-4</c:v>
                </c:pt>
                <c:pt idx="13357">
                  <c:v>1.3948828802194677E-3</c:v>
                </c:pt>
                <c:pt idx="13358">
                  <c:v>1.1515238770366666E-3</c:v>
                </c:pt>
                <c:pt idx="13359">
                  <c:v>3.1450370242533925E-3</c:v>
                </c:pt>
                <c:pt idx="13360">
                  <c:v>3.3256558376167636E-3</c:v>
                </c:pt>
                <c:pt idx="13361">
                  <c:v>1.5896450290350719E-3</c:v>
                </c:pt>
                <c:pt idx="13362">
                  <c:v>1.0809155867654594E-3</c:v>
                </c:pt>
                <c:pt idx="13363">
                  <c:v>4.0224247117086765E-3</c:v>
                </c:pt>
                <c:pt idx="13364">
                  <c:v>1.6073856841299008E-3</c:v>
                </c:pt>
                <c:pt idx="13365">
                  <c:v>1.0913126201600256E-3</c:v>
                </c:pt>
                <c:pt idx="13366">
                  <c:v>2.3388808920564892E-3</c:v>
                </c:pt>
                <c:pt idx="13367">
                  <c:v>2.150072511101454E-3</c:v>
                </c:pt>
                <c:pt idx="13368">
                  <c:v>3.7073376998102612E-3</c:v>
                </c:pt>
                <c:pt idx="13369">
                  <c:v>1.2216876152702138E-3</c:v>
                </c:pt>
                <c:pt idx="13370">
                  <c:v>4.2930498626196113E-4</c:v>
                </c:pt>
                <c:pt idx="13371">
                  <c:v>1.9832306745852526E-3</c:v>
                </c:pt>
                <c:pt idx="13372">
                  <c:v>4.1777318554347609E-3</c:v>
                </c:pt>
                <c:pt idx="13373">
                  <c:v>1.2281836843517095E-3</c:v>
                </c:pt>
                <c:pt idx="13374">
                  <c:v>1.7471220929608123E-3</c:v>
                </c:pt>
                <c:pt idx="13375">
                  <c:v>3.1795285189803882E-3</c:v>
                </c:pt>
                <c:pt idx="13376">
                  <c:v>1.6445954358178601E-3</c:v>
                </c:pt>
                <c:pt idx="13377">
                  <c:v>1.6316156519629913E-3</c:v>
                </c:pt>
                <c:pt idx="13378">
                  <c:v>3.5169694910153647E-3</c:v>
                </c:pt>
                <c:pt idx="13379">
                  <c:v>2.6325156872762968E-3</c:v>
                </c:pt>
                <c:pt idx="13380">
                  <c:v>2.1824825309550572E-3</c:v>
                </c:pt>
                <c:pt idx="13381">
                  <c:v>1.4329765711253548E-3</c:v>
                </c:pt>
                <c:pt idx="13382">
                  <c:v>3.802490521170555E-3</c:v>
                </c:pt>
                <c:pt idx="13383">
                  <c:v>1.8132973340179612E-3</c:v>
                </c:pt>
                <c:pt idx="13384">
                  <c:v>4.4830216413389926E-3</c:v>
                </c:pt>
                <c:pt idx="13385">
                  <c:v>1.7838873606268462E-3</c:v>
                </c:pt>
                <c:pt idx="13386">
                  <c:v>4.3037436488027724E-3</c:v>
                </c:pt>
                <c:pt idx="13387">
                  <c:v>1.584885217782995E-3</c:v>
                </c:pt>
                <c:pt idx="13388">
                  <c:v>1.2481043570023401E-3</c:v>
                </c:pt>
                <c:pt idx="13389">
                  <c:v>1.2775506342237875E-3</c:v>
                </c:pt>
                <c:pt idx="13390">
                  <c:v>6.6260385238775628E-3</c:v>
                </c:pt>
                <c:pt idx="13391">
                  <c:v>0.18180815721287041</c:v>
                </c:pt>
                <c:pt idx="13392">
                  <c:v>2.0476409481200828E-3</c:v>
                </c:pt>
                <c:pt idx="13393">
                  <c:v>1.7544753954878538E-3</c:v>
                </c:pt>
                <c:pt idx="13394">
                  <c:v>6.0653652238692596E-3</c:v>
                </c:pt>
                <c:pt idx="13395">
                  <c:v>5.1487546315309128E-3</c:v>
                </c:pt>
                <c:pt idx="13396">
                  <c:v>4.3196538010904706E-3</c:v>
                </c:pt>
                <c:pt idx="13397">
                  <c:v>3.3135881872043407E-3</c:v>
                </c:pt>
                <c:pt idx="13398">
                  <c:v>2.5379696822865586E-3</c:v>
                </c:pt>
                <c:pt idx="13399">
                  <c:v>4.6562104156056819E-3</c:v>
                </c:pt>
                <c:pt idx="13400">
                  <c:v>5.8250385559317462E-3</c:v>
                </c:pt>
                <c:pt idx="13401">
                  <c:v>1.9318636997434514E-2</c:v>
                </c:pt>
                <c:pt idx="13402">
                  <c:v>1.9583580866610627E-2</c:v>
                </c:pt>
                <c:pt idx="13403">
                  <c:v>5.3821637114165946E-3</c:v>
                </c:pt>
                <c:pt idx="13404">
                  <c:v>3.8593139373958208E-3</c:v>
                </c:pt>
                <c:pt idx="13405">
                  <c:v>7.365789271546957E-3</c:v>
                </c:pt>
                <c:pt idx="13406">
                  <c:v>3.3407399291020602E-3</c:v>
                </c:pt>
                <c:pt idx="13407">
                  <c:v>4.3076137394913198E-3</c:v>
                </c:pt>
                <c:pt idx="13408">
                  <c:v>5.7779000810852009E-3</c:v>
                </c:pt>
                <c:pt idx="13409">
                  <c:v>3.9324846581294893E-3</c:v>
                </c:pt>
                <c:pt idx="13410">
                  <c:v>2.4848594736012119E-3</c:v>
                </c:pt>
                <c:pt idx="13411">
                  <c:v>6.4797340761802895E-3</c:v>
                </c:pt>
                <c:pt idx="13412">
                  <c:v>4.5672610366326444E-3</c:v>
                </c:pt>
                <c:pt idx="13413">
                  <c:v>7.8305335041391113E-3</c:v>
                </c:pt>
                <c:pt idx="13414">
                  <c:v>7.1483965516688152E-3</c:v>
                </c:pt>
                <c:pt idx="13415">
                  <c:v>7.3017359275910059E-3</c:v>
                </c:pt>
                <c:pt idx="13416">
                  <c:v>4.6330079860993799E-3</c:v>
                </c:pt>
                <c:pt idx="13417">
                  <c:v>9.4508957986939347E-3</c:v>
                </c:pt>
                <c:pt idx="13418">
                  <c:v>4.9358310853641844E-3</c:v>
                </c:pt>
                <c:pt idx="13419">
                  <c:v>2.1855073427397226E-3</c:v>
                </c:pt>
                <c:pt idx="13420">
                  <c:v>3.6009657520168154E-3</c:v>
                </c:pt>
                <c:pt idx="13421">
                  <c:v>2.85735750783851E-3</c:v>
                </c:pt>
                <c:pt idx="13422">
                  <c:v>2.2546401543315389E-3</c:v>
                </c:pt>
                <c:pt idx="13423">
                  <c:v>1.0328260693341759E-3</c:v>
                </c:pt>
                <c:pt idx="13424">
                  <c:v>3.0618150156244113E-3</c:v>
                </c:pt>
                <c:pt idx="13425">
                  <c:v>1.8660572948416055E-3</c:v>
                </c:pt>
                <c:pt idx="13426">
                  <c:v>5.8228960089773685E-3</c:v>
                </c:pt>
                <c:pt idx="13427">
                  <c:v>2.2131617879725032E-3</c:v>
                </c:pt>
                <c:pt idx="13428">
                  <c:v>3.5178310735896061E-3</c:v>
                </c:pt>
                <c:pt idx="13429">
                  <c:v>2.1980384814196639E-3</c:v>
                </c:pt>
                <c:pt idx="13430">
                  <c:v>7.4776464560033307E-3</c:v>
                </c:pt>
                <c:pt idx="13431">
                  <c:v>6.2139499357245767E-3</c:v>
                </c:pt>
                <c:pt idx="13432">
                  <c:v>7.3119850974914767E-3</c:v>
                </c:pt>
                <c:pt idx="13433">
                  <c:v>1.1090736430858709E-3</c:v>
                </c:pt>
                <c:pt idx="13434">
                  <c:v>3.0074749434195764E-3</c:v>
                </c:pt>
                <c:pt idx="13435">
                  <c:v>1.2086951856000914E-3</c:v>
                </c:pt>
                <c:pt idx="13436">
                  <c:v>4.173860607162818E-3</c:v>
                </c:pt>
                <c:pt idx="13437">
                  <c:v>4.1854742484567706E-3</c:v>
                </c:pt>
                <c:pt idx="13438">
                  <c:v>3.6125947232235251E-3</c:v>
                </c:pt>
                <c:pt idx="13439">
                  <c:v>1.4121986084855191E-3</c:v>
                </c:pt>
                <c:pt idx="13440">
                  <c:v>2.7179779238110484E-3</c:v>
                </c:pt>
                <c:pt idx="13441">
                  <c:v>2.5137902300387282E-3</c:v>
                </c:pt>
                <c:pt idx="13442">
                  <c:v>1.7466895418760918E-3</c:v>
                </c:pt>
                <c:pt idx="13443">
                  <c:v>1.348559913317523E-3</c:v>
                </c:pt>
                <c:pt idx="13444">
                  <c:v>6.2661780177771451E-3</c:v>
                </c:pt>
                <c:pt idx="13445">
                  <c:v>2.5021317988309761E-3</c:v>
                </c:pt>
                <c:pt idx="13446">
                  <c:v>2.9337168256766818E-3</c:v>
                </c:pt>
                <c:pt idx="13447">
                  <c:v>5.8096119819319092E-3</c:v>
                </c:pt>
                <c:pt idx="13448">
                  <c:v>2.8129162442194332E-3</c:v>
                </c:pt>
                <c:pt idx="13449">
                  <c:v>3.731020214850317E-3</c:v>
                </c:pt>
                <c:pt idx="13450">
                  <c:v>2.0489377011657594E-3</c:v>
                </c:pt>
                <c:pt idx="13451">
                  <c:v>2.6640264488956931E-3</c:v>
                </c:pt>
                <c:pt idx="13452">
                  <c:v>5.3428772055929348E-4</c:v>
                </c:pt>
                <c:pt idx="13453">
                  <c:v>4.489898939188725E-3</c:v>
                </c:pt>
                <c:pt idx="13454">
                  <c:v>3.6378637062557141E-4</c:v>
                </c:pt>
                <c:pt idx="13455">
                  <c:v>5.6038719501205567E-3</c:v>
                </c:pt>
                <c:pt idx="13456">
                  <c:v>1.699106292236239E-3</c:v>
                </c:pt>
                <c:pt idx="13457">
                  <c:v>1.0564524237466332E-2</c:v>
                </c:pt>
                <c:pt idx="13458">
                  <c:v>1.4938671356912911E-2</c:v>
                </c:pt>
                <c:pt idx="13459">
                  <c:v>2.6867334390783242E-2</c:v>
                </c:pt>
                <c:pt idx="13460">
                  <c:v>6.9432899205393193E-3</c:v>
                </c:pt>
                <c:pt idx="13461">
                  <c:v>7.9107145166126634E-3</c:v>
                </c:pt>
                <c:pt idx="13462">
                  <c:v>1.0568338937464547E-2</c:v>
                </c:pt>
                <c:pt idx="13463">
                  <c:v>1.3747445312522534E-2</c:v>
                </c:pt>
                <c:pt idx="13464">
                  <c:v>1.3659497078072165E-2</c:v>
                </c:pt>
                <c:pt idx="13465">
                  <c:v>4.5174070415805222E-3</c:v>
                </c:pt>
                <c:pt idx="13466">
                  <c:v>4.9173670693660396E-3</c:v>
                </c:pt>
                <c:pt idx="13467">
                  <c:v>1.3739029984107996E-2</c:v>
                </c:pt>
                <c:pt idx="13468">
                  <c:v>8.1008719790475244E-3</c:v>
                </c:pt>
                <c:pt idx="13469">
                  <c:v>8.7257583786119267E-3</c:v>
                </c:pt>
                <c:pt idx="13470">
                  <c:v>8.9581042808693796E-3</c:v>
                </c:pt>
                <c:pt idx="13471">
                  <c:v>1.0314800435809682E-2</c:v>
                </c:pt>
                <c:pt idx="13472">
                  <c:v>9.9885440892440499E-3</c:v>
                </c:pt>
                <c:pt idx="13473">
                  <c:v>9.4245483675230654E-3</c:v>
                </c:pt>
                <c:pt idx="13474">
                  <c:v>1.1886217745895242E-2</c:v>
                </c:pt>
                <c:pt idx="13475">
                  <c:v>1.1197306002067208E-2</c:v>
                </c:pt>
                <c:pt idx="13476">
                  <c:v>8.6193313899540561E-3</c:v>
                </c:pt>
                <c:pt idx="13477">
                  <c:v>1.493069869721504E-2</c:v>
                </c:pt>
                <c:pt idx="13478">
                  <c:v>9.3259437962431475E-3</c:v>
                </c:pt>
                <c:pt idx="13479">
                  <c:v>1.0357632545733847E-2</c:v>
                </c:pt>
                <c:pt idx="13480">
                  <c:v>7.6995677842539891E-3</c:v>
                </c:pt>
                <c:pt idx="13481">
                  <c:v>3.6784863456508689E-3</c:v>
                </c:pt>
                <c:pt idx="13482">
                  <c:v>6.2541918001764625E-3</c:v>
                </c:pt>
                <c:pt idx="13483">
                  <c:v>9.3323197687919177E-3</c:v>
                </c:pt>
                <c:pt idx="13484">
                  <c:v>9.2583527316397827E-3</c:v>
                </c:pt>
                <c:pt idx="13485">
                  <c:v>4.8277455314546469E-2</c:v>
                </c:pt>
                <c:pt idx="13486">
                  <c:v>8.1464803344905214E-3</c:v>
                </c:pt>
                <c:pt idx="13487">
                  <c:v>7.3645082972452272E-3</c:v>
                </c:pt>
                <c:pt idx="13488">
                  <c:v>8.1477590044034161E-3</c:v>
                </c:pt>
                <c:pt idx="13489">
                  <c:v>8.6393416546108152E-3</c:v>
                </c:pt>
                <c:pt idx="13490">
                  <c:v>9.5923796604256706E-3</c:v>
                </c:pt>
                <c:pt idx="13491">
                  <c:v>8.2359781378372604E-3</c:v>
                </c:pt>
                <c:pt idx="13492">
                  <c:v>1.0698442531668269E-2</c:v>
                </c:pt>
                <c:pt idx="13493">
                  <c:v>7.6837809750225231E-3</c:v>
                </c:pt>
                <c:pt idx="13494">
                  <c:v>8.1929362582980319E-3</c:v>
                </c:pt>
                <c:pt idx="13495">
                  <c:v>8.7930067878009728E-3</c:v>
                </c:pt>
                <c:pt idx="13496">
                  <c:v>8.717670843156021E-3</c:v>
                </c:pt>
                <c:pt idx="13497">
                  <c:v>8.481789093380699E-3</c:v>
                </c:pt>
                <c:pt idx="13498">
                  <c:v>4.435307388743169E-3</c:v>
                </c:pt>
                <c:pt idx="13499">
                  <c:v>8.9266214578446156E-3</c:v>
                </c:pt>
                <c:pt idx="13500">
                  <c:v>6.7295341246614224E-3</c:v>
                </c:pt>
                <c:pt idx="13501">
                  <c:v>4.0516834887703666E-3</c:v>
                </c:pt>
                <c:pt idx="13502">
                  <c:v>6.0927737205509992E-3</c:v>
                </c:pt>
                <c:pt idx="13503">
                  <c:v>5.4739483554221355E-3</c:v>
                </c:pt>
                <c:pt idx="13504">
                  <c:v>4.6381641886724259E-3</c:v>
                </c:pt>
                <c:pt idx="13505">
                  <c:v>4.9925064174392454E-3</c:v>
                </c:pt>
                <c:pt idx="13506">
                  <c:v>7.9738253269322126E-3</c:v>
                </c:pt>
                <c:pt idx="13507">
                  <c:v>7.3435851821263094E-3</c:v>
                </c:pt>
                <c:pt idx="13508">
                  <c:v>1.4910976225961001E-2</c:v>
                </c:pt>
                <c:pt idx="13509">
                  <c:v>1.0553079936425042E-2</c:v>
                </c:pt>
                <c:pt idx="13510">
                  <c:v>8.1068396997743576E-3</c:v>
                </c:pt>
                <c:pt idx="13511">
                  <c:v>6.4882912488277303E-3</c:v>
                </c:pt>
                <c:pt idx="13512">
                  <c:v>6.0833522449202466E-3</c:v>
                </c:pt>
                <c:pt idx="13513">
                  <c:v>1.6583360921655462E-2</c:v>
                </c:pt>
                <c:pt idx="13514">
                  <c:v>8.7913044248970566E-3</c:v>
                </c:pt>
                <c:pt idx="13515">
                  <c:v>8.6316782579318272E-3</c:v>
                </c:pt>
                <c:pt idx="13516">
                  <c:v>1.1864666169343013E-2</c:v>
                </c:pt>
                <c:pt idx="13517">
                  <c:v>7.2252865717406124E-3</c:v>
                </c:pt>
                <c:pt idx="13518">
                  <c:v>5.6501719558359953E-3</c:v>
                </c:pt>
                <c:pt idx="13519">
                  <c:v>5.6814645345315048E-3</c:v>
                </c:pt>
                <c:pt idx="13520">
                  <c:v>8.6878733602621175E-3</c:v>
                </c:pt>
                <c:pt idx="13521">
                  <c:v>7.9729725392710515E-3</c:v>
                </c:pt>
                <c:pt idx="13522">
                  <c:v>7.0830293296365076E-3</c:v>
                </c:pt>
                <c:pt idx="13523">
                  <c:v>7.3666432523157577E-3</c:v>
                </c:pt>
                <c:pt idx="13524">
                  <c:v>1.0994526569014401E-2</c:v>
                </c:pt>
                <c:pt idx="13525">
                  <c:v>1.5056565712067255E-2</c:v>
                </c:pt>
                <c:pt idx="13526">
                  <c:v>7.7140740759928193E-3</c:v>
                </c:pt>
                <c:pt idx="13527">
                  <c:v>8.2969113262364325E-3</c:v>
                </c:pt>
                <c:pt idx="13528">
                  <c:v>9.4542953508045414E-3</c:v>
                </c:pt>
                <c:pt idx="13529">
                  <c:v>1.3429232429573378E-2</c:v>
                </c:pt>
                <c:pt idx="13530">
                  <c:v>1.4089810877383261E-2</c:v>
                </c:pt>
                <c:pt idx="13531">
                  <c:v>1.0142156932984895E-2</c:v>
                </c:pt>
                <c:pt idx="13532">
                  <c:v>7.6359903788682914E-3</c:v>
                </c:pt>
                <c:pt idx="13533">
                  <c:v>7.3726210706790123E-3</c:v>
                </c:pt>
                <c:pt idx="13534">
                  <c:v>1.1215928175656233E-2</c:v>
                </c:pt>
                <c:pt idx="13535">
                  <c:v>9.3935243430036622E-3</c:v>
                </c:pt>
                <c:pt idx="13536">
                  <c:v>7.5216129571769588E-3</c:v>
                </c:pt>
                <c:pt idx="13537">
                  <c:v>8.6729738521142529E-3</c:v>
                </c:pt>
                <c:pt idx="13538">
                  <c:v>1.1573403724846736E-2</c:v>
                </c:pt>
                <c:pt idx="13539">
                  <c:v>1.0390707918209095E-2</c:v>
                </c:pt>
                <c:pt idx="13540">
                  <c:v>8.3471854222232147E-3</c:v>
                </c:pt>
                <c:pt idx="13541">
                  <c:v>7.8744642965405138E-3</c:v>
                </c:pt>
                <c:pt idx="13542">
                  <c:v>6.3004225310554366E-3</c:v>
                </c:pt>
                <c:pt idx="13543">
                  <c:v>1.0008066967112286E-2</c:v>
                </c:pt>
                <c:pt idx="13544">
                  <c:v>1.9750437452294902E-2</c:v>
                </c:pt>
                <c:pt idx="13545">
                  <c:v>1.0183733386552764E-2</c:v>
                </c:pt>
                <c:pt idx="13546">
                  <c:v>7.8902441759906607E-3</c:v>
                </c:pt>
                <c:pt idx="13547">
                  <c:v>8.8568405801150631E-3</c:v>
                </c:pt>
                <c:pt idx="13548">
                  <c:v>1.4344517223184831E-2</c:v>
                </c:pt>
                <c:pt idx="13549">
                  <c:v>7.9998345462216468E-3</c:v>
                </c:pt>
                <c:pt idx="13550">
                  <c:v>1.0088695643483065E-2</c:v>
                </c:pt>
                <c:pt idx="13551">
                  <c:v>1.5841152945811898E-2</c:v>
                </c:pt>
                <c:pt idx="13552">
                  <c:v>7.2483509234668436E-3</c:v>
                </c:pt>
                <c:pt idx="13553">
                  <c:v>7.5941692928003695E-3</c:v>
                </c:pt>
                <c:pt idx="13554">
                  <c:v>5.9784174520128939E-3</c:v>
                </c:pt>
                <c:pt idx="13555">
                  <c:v>6.6867703375462469E-3</c:v>
                </c:pt>
                <c:pt idx="13556">
                  <c:v>5.5387006158441618E-3</c:v>
                </c:pt>
                <c:pt idx="13557">
                  <c:v>1.3934644204638821E-2</c:v>
                </c:pt>
                <c:pt idx="13558">
                  <c:v>1.7214118505204587E-2</c:v>
                </c:pt>
                <c:pt idx="13559">
                  <c:v>1.5719282870095486E-2</c:v>
                </c:pt>
                <c:pt idx="13560">
                  <c:v>2.1681633925114359E-2</c:v>
                </c:pt>
                <c:pt idx="13561">
                  <c:v>1.4474334759592622E-2</c:v>
                </c:pt>
                <c:pt idx="13562">
                  <c:v>1.2170936204004487E-2</c:v>
                </c:pt>
                <c:pt idx="13563">
                  <c:v>7.9913071049691579E-3</c:v>
                </c:pt>
                <c:pt idx="13564">
                  <c:v>6.4502105362082103E-3</c:v>
                </c:pt>
                <c:pt idx="13565">
                  <c:v>5.3113819310482624E-3</c:v>
                </c:pt>
                <c:pt idx="13566">
                  <c:v>9.0393534538447673E-3</c:v>
                </c:pt>
                <c:pt idx="13567">
                  <c:v>4.5908967068566432E-3</c:v>
                </c:pt>
                <c:pt idx="13568">
                  <c:v>6.0015481153882552E-3</c:v>
                </c:pt>
                <c:pt idx="13569">
                  <c:v>8.6691424673970303E-3</c:v>
                </c:pt>
                <c:pt idx="13570">
                  <c:v>4.9311078071551081E-3</c:v>
                </c:pt>
                <c:pt idx="13571">
                  <c:v>3.182977517796341E-3</c:v>
                </c:pt>
                <c:pt idx="13572">
                  <c:v>6.1269599594908165E-2</c:v>
                </c:pt>
                <c:pt idx="13573">
                  <c:v>0.104549246486562</c:v>
                </c:pt>
                <c:pt idx="13574">
                  <c:v>0.12409712755064337</c:v>
                </c:pt>
                <c:pt idx="13575">
                  <c:v>3.2436625162999243E-2</c:v>
                </c:pt>
                <c:pt idx="13576">
                  <c:v>4.286542828477566E-3</c:v>
                </c:pt>
                <c:pt idx="13577">
                  <c:v>2.120685335708296E-3</c:v>
                </c:pt>
                <c:pt idx="13578">
                  <c:v>3.351513959412735E-3</c:v>
                </c:pt>
                <c:pt idx="13579">
                  <c:v>6.0649369523833379E-3</c:v>
                </c:pt>
                <c:pt idx="13580">
                  <c:v>1.2985196933809697E-2</c:v>
                </c:pt>
                <c:pt idx="13581">
                  <c:v>7.0018406503633713E-3</c:v>
                </c:pt>
                <c:pt idx="13582">
                  <c:v>1.9274583589171707E-3</c:v>
                </c:pt>
                <c:pt idx="13583">
                  <c:v>1.268457144043984E-3</c:v>
                </c:pt>
                <c:pt idx="13584">
                  <c:v>1.5221373746931624E-3</c:v>
                </c:pt>
                <c:pt idx="13585">
                  <c:v>5.5952973332848294E-3</c:v>
                </c:pt>
                <c:pt idx="13586">
                  <c:v>2.5289025454503945E-3</c:v>
                </c:pt>
                <c:pt idx="13587">
                  <c:v>4.8890254245850433E-3</c:v>
                </c:pt>
                <c:pt idx="13588">
                  <c:v>1.1456251847837445E-2</c:v>
                </c:pt>
                <c:pt idx="13589">
                  <c:v>1.6049216259666332E-2</c:v>
                </c:pt>
                <c:pt idx="13590">
                  <c:v>2.0518727295081658E-2</c:v>
                </c:pt>
                <c:pt idx="13591">
                  <c:v>1.5691637475920631E-2</c:v>
                </c:pt>
                <c:pt idx="13592">
                  <c:v>1.2144330961177301E-2</c:v>
                </c:pt>
                <c:pt idx="13593">
                  <c:v>5.7603289769152695E-3</c:v>
                </c:pt>
                <c:pt idx="13594">
                  <c:v>3.1213225325201137E-3</c:v>
                </c:pt>
                <c:pt idx="13595">
                  <c:v>3.3398779951304232E-3</c:v>
                </c:pt>
                <c:pt idx="13596">
                  <c:v>5.7277562693042973E-3</c:v>
                </c:pt>
                <c:pt idx="13597">
                  <c:v>6.5276520714896208E-3</c:v>
                </c:pt>
                <c:pt idx="13598">
                  <c:v>8.8891794540578925E-3</c:v>
                </c:pt>
                <c:pt idx="13599">
                  <c:v>7.5920354559384853E-3</c:v>
                </c:pt>
                <c:pt idx="13600">
                  <c:v>6.6123513087060978E-3</c:v>
                </c:pt>
                <c:pt idx="13601">
                  <c:v>3.4432978595427726E-3</c:v>
                </c:pt>
                <c:pt idx="13602">
                  <c:v>2.9423441530171024E-3</c:v>
                </c:pt>
                <c:pt idx="13603">
                  <c:v>5.9484314250761068E-3</c:v>
                </c:pt>
                <c:pt idx="13604">
                  <c:v>1.3192947470426764E-2</c:v>
                </c:pt>
                <c:pt idx="13605">
                  <c:v>6.1120442841299596E-3</c:v>
                </c:pt>
                <c:pt idx="13606">
                  <c:v>3.8072260898350677E-3</c:v>
                </c:pt>
                <c:pt idx="13607">
                  <c:v>4.7047596370231037E-3</c:v>
                </c:pt>
                <c:pt idx="13608">
                  <c:v>4.530300864815472E-3</c:v>
                </c:pt>
                <c:pt idx="13609">
                  <c:v>2.1997668859657571E-3</c:v>
                </c:pt>
                <c:pt idx="13610">
                  <c:v>1.6608023622249755E-2</c:v>
                </c:pt>
                <c:pt idx="13611">
                  <c:v>1.2441963406578884E-2</c:v>
                </c:pt>
                <c:pt idx="13612">
                  <c:v>5.1564797331178731E-3</c:v>
                </c:pt>
                <c:pt idx="13613">
                  <c:v>2.6135217950684357E-3</c:v>
                </c:pt>
                <c:pt idx="13614">
                  <c:v>2.0714141387689405E-3</c:v>
                </c:pt>
                <c:pt idx="13615">
                  <c:v>1.4957372967601135E-3</c:v>
                </c:pt>
                <c:pt idx="13616">
                  <c:v>2.2040878672370517E-3</c:v>
                </c:pt>
                <c:pt idx="13617">
                  <c:v>5.4990281865194464E-4</c:v>
                </c:pt>
                <c:pt idx="13618">
                  <c:v>1.0366537701510203E-2</c:v>
                </c:pt>
                <c:pt idx="13619">
                  <c:v>8.0660393557832025E-4</c:v>
                </c:pt>
                <c:pt idx="13620">
                  <c:v>2.4187864899388222E-3</c:v>
                </c:pt>
                <c:pt idx="13621">
                  <c:v>0</c:v>
                </c:pt>
                <c:pt idx="13622">
                  <c:v>3.7473819254530034E-3</c:v>
                </c:pt>
                <c:pt idx="13623">
                  <c:v>5.4816783547809069E-4</c:v>
                </c:pt>
                <c:pt idx="13624">
                  <c:v>2.560420825470703E-3</c:v>
                </c:pt>
                <c:pt idx="13625">
                  <c:v>1.1415614396556243E-3</c:v>
                </c:pt>
                <c:pt idx="13626">
                  <c:v>1.9131898718136953E-3</c:v>
                </c:pt>
                <c:pt idx="13627">
                  <c:v>3.6248457613096617E-4</c:v>
                </c:pt>
                <c:pt idx="13628">
                  <c:v>1.4057052912910299E-3</c:v>
                </c:pt>
                <c:pt idx="13629">
                  <c:v>1.8859487309855762E-3</c:v>
                </c:pt>
                <c:pt idx="13630">
                  <c:v>4.6102340257678058E-3</c:v>
                </c:pt>
                <c:pt idx="13631">
                  <c:v>1.3374210519910315E-4</c:v>
                </c:pt>
                <c:pt idx="13632">
                  <c:v>1.2004664457685686E-3</c:v>
                </c:pt>
                <c:pt idx="13633">
                  <c:v>6.3837777105681776E-4</c:v>
                </c:pt>
                <c:pt idx="13634">
                  <c:v>2.373004540558445E-3</c:v>
                </c:pt>
                <c:pt idx="13635">
                  <c:v>1.58877961268757E-3</c:v>
                </c:pt>
                <c:pt idx="13636">
                  <c:v>1.6432974748889829E-3</c:v>
                </c:pt>
                <c:pt idx="13637">
                  <c:v>1.5610853789873483E-3</c:v>
                </c:pt>
                <c:pt idx="13638">
                  <c:v>1.8375158167615543E-3</c:v>
                </c:pt>
                <c:pt idx="13639">
                  <c:v>1.3403338231536713E-3</c:v>
                </c:pt>
                <c:pt idx="13640">
                  <c:v>1.6606033016615025E-3</c:v>
                </c:pt>
                <c:pt idx="13641">
                  <c:v>3.3721993483903081E-3</c:v>
                </c:pt>
                <c:pt idx="13642">
                  <c:v>3.3894364199544623E-3</c:v>
                </c:pt>
                <c:pt idx="13643">
                  <c:v>2.5146538050857402E-3</c:v>
                </c:pt>
                <c:pt idx="13644">
                  <c:v>1.9296202100084242E-3</c:v>
                </c:pt>
                <c:pt idx="13645">
                  <c:v>4.0090854973999848E-3</c:v>
                </c:pt>
                <c:pt idx="13646">
                  <c:v>2.1932853334491764E-3</c:v>
                </c:pt>
                <c:pt idx="13647">
                  <c:v>2.6566885305424159E-3</c:v>
                </c:pt>
                <c:pt idx="13648">
                  <c:v>3.0838078739159219E-3</c:v>
                </c:pt>
                <c:pt idx="13649">
                  <c:v>3.5690921605412342E-3</c:v>
                </c:pt>
                <c:pt idx="13650">
                  <c:v>2.4498809109089721E-3</c:v>
                </c:pt>
                <c:pt idx="13651">
                  <c:v>8.0527009451057691E-3</c:v>
                </c:pt>
                <c:pt idx="13652">
                  <c:v>8.1528736464082305E-3</c:v>
                </c:pt>
                <c:pt idx="13653">
                  <c:v>1.3351327352918635E-2</c:v>
                </c:pt>
                <c:pt idx="13654">
                  <c:v>1.2170513911292542E-2</c:v>
                </c:pt>
                <c:pt idx="13655">
                  <c:v>7.3982393603151909E-3</c:v>
                </c:pt>
                <c:pt idx="13656">
                  <c:v>1.0987751508870353E-2</c:v>
                </c:pt>
                <c:pt idx="13657">
                  <c:v>9.5673153087537672E-3</c:v>
                </c:pt>
                <c:pt idx="13658">
                  <c:v>1.6607187621433733E-2</c:v>
                </c:pt>
                <c:pt idx="13659">
                  <c:v>1.1072855526806905E-2</c:v>
                </c:pt>
                <c:pt idx="13660">
                  <c:v>7.7166339595316743E-3</c:v>
                </c:pt>
                <c:pt idx="13661">
                  <c:v>7.7998219616181126E-3</c:v>
                </c:pt>
                <c:pt idx="13662">
                  <c:v>5.5982984684347422E-3</c:v>
                </c:pt>
                <c:pt idx="13663">
                  <c:v>4.837919905976735E-3</c:v>
                </c:pt>
                <c:pt idx="13664">
                  <c:v>3.7387705756584191E-3</c:v>
                </c:pt>
                <c:pt idx="13665">
                  <c:v>6.3971486948827998E-3</c:v>
                </c:pt>
                <c:pt idx="13666">
                  <c:v>6.4258200110314818E-3</c:v>
                </c:pt>
                <c:pt idx="13667">
                  <c:v>5.8100405052757403E-3</c:v>
                </c:pt>
                <c:pt idx="13668">
                  <c:v>7.33547186626873E-3</c:v>
                </c:pt>
                <c:pt idx="13669">
                  <c:v>1.2116034708099768E-2</c:v>
                </c:pt>
                <c:pt idx="13670">
                  <c:v>1.7155258711582588E-2</c:v>
                </c:pt>
                <c:pt idx="13671">
                  <c:v>7.8092062744753018E-3</c:v>
                </c:pt>
                <c:pt idx="13672">
                  <c:v>1.1463865565320164E-2</c:v>
                </c:pt>
                <c:pt idx="13673">
                  <c:v>1.4386533618033858E-2</c:v>
                </c:pt>
                <c:pt idx="13674">
                  <c:v>1.7111839283224125E-2</c:v>
                </c:pt>
                <c:pt idx="13675">
                  <c:v>1.3131011967860449E-2</c:v>
                </c:pt>
                <c:pt idx="13676">
                  <c:v>1.3006271496978262E-2</c:v>
                </c:pt>
                <c:pt idx="13677">
                  <c:v>1.0715814980421552E-2</c:v>
                </c:pt>
                <c:pt idx="13678">
                  <c:v>5.7594718316972436E-3</c:v>
                </c:pt>
                <c:pt idx="13679">
                  <c:v>6.2803042066956211E-3</c:v>
                </c:pt>
                <c:pt idx="13680">
                  <c:v>6.4775947566732854E-3</c:v>
                </c:pt>
                <c:pt idx="13681">
                  <c:v>5.3778742349220032E-3</c:v>
                </c:pt>
                <c:pt idx="13682">
                  <c:v>7.0214982494515672E-3</c:v>
                </c:pt>
                <c:pt idx="13683">
                  <c:v>1.1327221338251123E-2</c:v>
                </c:pt>
                <c:pt idx="13684">
                  <c:v>9.4330477135155261E-3</c:v>
                </c:pt>
                <c:pt idx="13685">
                  <c:v>8.0220051099014669E-3</c:v>
                </c:pt>
                <c:pt idx="13686">
                  <c:v>5.7491859571260975E-3</c:v>
                </c:pt>
                <c:pt idx="13687">
                  <c:v>3.2428995001963982E-3</c:v>
                </c:pt>
                <c:pt idx="13688">
                  <c:v>4.8520926272077585E-3</c:v>
                </c:pt>
                <c:pt idx="13689">
                  <c:v>1.4815708274795406E-2</c:v>
                </c:pt>
                <c:pt idx="13690">
                  <c:v>4.5156878362256365E-3</c:v>
                </c:pt>
                <c:pt idx="13691">
                  <c:v>4.9500006117840761E-3</c:v>
                </c:pt>
                <c:pt idx="13692">
                  <c:v>5.781328506327477E-3</c:v>
                </c:pt>
                <c:pt idx="13693">
                  <c:v>6.1685663382928897E-3</c:v>
                </c:pt>
                <c:pt idx="13694">
                  <c:v>4.1407385168655371E-3</c:v>
                </c:pt>
                <c:pt idx="13695">
                  <c:v>1.0662848027141689E-2</c:v>
                </c:pt>
                <c:pt idx="13696">
                  <c:v>1.6032474409251731E-2</c:v>
                </c:pt>
                <c:pt idx="13697">
                  <c:v>4.5436240800112004E-3</c:v>
                </c:pt>
                <c:pt idx="13698">
                  <c:v>1.4671714703729734E-3</c:v>
                </c:pt>
                <c:pt idx="13699">
                  <c:v>2.3760280256746695E-3</c:v>
                </c:pt>
                <c:pt idx="13700">
                  <c:v>1.4784248990059624E-3</c:v>
                </c:pt>
                <c:pt idx="13701">
                  <c:v>1.6233949215389639E-3</c:v>
                </c:pt>
                <c:pt idx="13702">
                  <c:v>5.8734572984978344E-3</c:v>
                </c:pt>
                <c:pt idx="13703">
                  <c:v>7.9857641783653548E-3</c:v>
                </c:pt>
                <c:pt idx="13704">
                  <c:v>7.1308808100830415E-3</c:v>
                </c:pt>
                <c:pt idx="13705">
                  <c:v>1.161061503609701E-2</c:v>
                </c:pt>
                <c:pt idx="13706">
                  <c:v>7.1962408307557702E-3</c:v>
                </c:pt>
                <c:pt idx="13707">
                  <c:v>4.3213737826425782E-3</c:v>
                </c:pt>
                <c:pt idx="13708">
                  <c:v>2.68258651250761E-3</c:v>
                </c:pt>
                <c:pt idx="13709">
                  <c:v>2.1777292127279622E-3</c:v>
                </c:pt>
                <c:pt idx="13710">
                  <c:v>2.285746329577508E-3</c:v>
                </c:pt>
                <c:pt idx="13711">
                  <c:v>2.5267436754445186E-3</c:v>
                </c:pt>
                <c:pt idx="13712">
                  <c:v>8.0833788662299498E-4</c:v>
                </c:pt>
                <c:pt idx="13713">
                  <c:v>2.1444545283680334E-3</c:v>
                </c:pt>
                <c:pt idx="13714">
                  <c:v>3.4040873929009397E-3</c:v>
                </c:pt>
                <c:pt idx="13715">
                  <c:v>1.2463721608708454E-3</c:v>
                </c:pt>
                <c:pt idx="13716">
                  <c:v>2.9406187012595815E-3</c:v>
                </c:pt>
                <c:pt idx="13717">
                  <c:v>1.5249071669738672E-2</c:v>
                </c:pt>
                <c:pt idx="13718">
                  <c:v>4.8870059962698324E-2</c:v>
                </c:pt>
                <c:pt idx="13719">
                  <c:v>4.6521307061136871E-2</c:v>
                </c:pt>
                <c:pt idx="13720">
                  <c:v>1.9316559996379466E-2</c:v>
                </c:pt>
                <c:pt idx="13721">
                  <c:v>3.4062419060601422E-3</c:v>
                </c:pt>
                <c:pt idx="13722">
                  <c:v>2.9186185904279331E-3</c:v>
                </c:pt>
                <c:pt idx="13723">
                  <c:v>3.6104412335296785E-3</c:v>
                </c:pt>
                <c:pt idx="13724">
                  <c:v>4.5358880693368697E-3</c:v>
                </c:pt>
                <c:pt idx="13725">
                  <c:v>5.3770163345391387E-3</c:v>
                </c:pt>
                <c:pt idx="13726">
                  <c:v>9.3110661629252599E-3</c:v>
                </c:pt>
                <c:pt idx="13727">
                  <c:v>3.5456555541152297E-2</c:v>
                </c:pt>
                <c:pt idx="13728">
                  <c:v>4.5422737682254806E-2</c:v>
                </c:pt>
                <c:pt idx="13729">
                  <c:v>3.1542569840098428E-2</c:v>
                </c:pt>
                <c:pt idx="13730">
                  <c:v>4.0340424032620234E-3</c:v>
                </c:pt>
                <c:pt idx="13731">
                  <c:v>1.4087288285394897E-2</c:v>
                </c:pt>
                <c:pt idx="13732">
                  <c:v>2.9203441295939238E-3</c:v>
                </c:pt>
                <c:pt idx="13733">
                  <c:v>6.5529004810420258E-4</c:v>
                </c:pt>
                <c:pt idx="13734">
                  <c:v>2.2092729880147646E-3</c:v>
                </c:pt>
                <c:pt idx="13735">
                  <c:v>1.6073856841299008E-3</c:v>
                </c:pt>
                <c:pt idx="13736">
                  <c:v>5.3049466516677342E-3</c:v>
                </c:pt>
                <c:pt idx="13737">
                  <c:v>7.0321813540391897E-3</c:v>
                </c:pt>
                <c:pt idx="13738">
                  <c:v>2.2978425738431397E-3</c:v>
                </c:pt>
                <c:pt idx="13739">
                  <c:v>1.8890149094018684E-2</c:v>
                </c:pt>
                <c:pt idx="13740">
                  <c:v>1.8640175799016247E-2</c:v>
                </c:pt>
                <c:pt idx="13741">
                  <c:v>6.1171829566748024E-3</c:v>
                </c:pt>
                <c:pt idx="13742">
                  <c:v>1.7665864458951423E-3</c:v>
                </c:pt>
                <c:pt idx="13743">
                  <c:v>2.0731430473269726E-3</c:v>
                </c:pt>
                <c:pt idx="13744">
                  <c:v>3.0376647118225261E-3</c:v>
                </c:pt>
                <c:pt idx="13745">
                  <c:v>6.5246573516716515E-3</c:v>
                </c:pt>
                <c:pt idx="13746">
                  <c:v>7.0219255786806651E-3</c:v>
                </c:pt>
                <c:pt idx="13747">
                  <c:v>6.7932443571777383E-3</c:v>
                </c:pt>
                <c:pt idx="13748">
                  <c:v>1.3053474807762795E-2</c:v>
                </c:pt>
                <c:pt idx="13749">
                  <c:v>9.8586521687494318E-3</c:v>
                </c:pt>
                <c:pt idx="13750">
                  <c:v>1.55081279827119E-2</c:v>
                </c:pt>
                <c:pt idx="13751">
                  <c:v>1.27655391174381E-2</c:v>
                </c:pt>
                <c:pt idx="13752">
                  <c:v>1.1060154493322099E-2</c:v>
                </c:pt>
                <c:pt idx="13753">
                  <c:v>1.1421988467280413E-2</c:v>
                </c:pt>
                <c:pt idx="13754">
                  <c:v>1.4233574405642817E-2</c:v>
                </c:pt>
                <c:pt idx="13755">
                  <c:v>2.7236635738331589E-2</c:v>
                </c:pt>
                <c:pt idx="13756">
                  <c:v>9.6348583090582716E-3</c:v>
                </c:pt>
                <c:pt idx="13757">
                  <c:v>1.3736084580638713E-2</c:v>
                </c:pt>
                <c:pt idx="13758">
                  <c:v>1.1377992014771283E-2</c:v>
                </c:pt>
                <c:pt idx="13759">
                  <c:v>1.035254380330578E-2</c:v>
                </c:pt>
                <c:pt idx="13760">
                  <c:v>7.5971566467934694E-3</c:v>
                </c:pt>
                <c:pt idx="13761">
                  <c:v>9.759721477278941E-3</c:v>
                </c:pt>
                <c:pt idx="13762">
                  <c:v>9.4568449974242012E-3</c:v>
                </c:pt>
                <c:pt idx="13763">
                  <c:v>6.4767390259198509E-3</c:v>
                </c:pt>
                <c:pt idx="13764">
                  <c:v>9.8336031801432577E-3</c:v>
                </c:pt>
                <c:pt idx="13765">
                  <c:v>1.2216541400133368E-2</c:v>
                </c:pt>
                <c:pt idx="13766">
                  <c:v>9.0338238874775843E-3</c:v>
                </c:pt>
                <c:pt idx="13767">
                  <c:v>7.6009975003048357E-3</c:v>
                </c:pt>
                <c:pt idx="13768">
                  <c:v>1.0277902063168613E-2</c:v>
                </c:pt>
                <c:pt idx="13769">
                  <c:v>9.6620424638713068E-3</c:v>
                </c:pt>
                <c:pt idx="13770">
                  <c:v>1.1185878363837316E-2</c:v>
                </c:pt>
                <c:pt idx="13771">
                  <c:v>1.3070331889756606E-2</c:v>
                </c:pt>
                <c:pt idx="13772">
                  <c:v>8.4191780181421209E-3</c:v>
                </c:pt>
                <c:pt idx="13773">
                  <c:v>8.6252919907339395E-3</c:v>
                </c:pt>
                <c:pt idx="13774">
                  <c:v>1.0778095853242695E-2</c:v>
                </c:pt>
                <c:pt idx="13775">
                  <c:v>1.2218652635821857E-2</c:v>
                </c:pt>
                <c:pt idx="13776">
                  <c:v>4.8065664854014655E-3</c:v>
                </c:pt>
                <c:pt idx="13777">
                  <c:v>7.6645800282130047E-3</c:v>
                </c:pt>
                <c:pt idx="13778">
                  <c:v>5.992124660502752E-3</c:v>
                </c:pt>
                <c:pt idx="13779">
                  <c:v>7.9350217929762042E-3</c:v>
                </c:pt>
                <c:pt idx="13780">
                  <c:v>8.3761542921717662E-3</c:v>
                </c:pt>
                <c:pt idx="13781">
                  <c:v>6.7547627841095378E-3</c:v>
                </c:pt>
                <c:pt idx="13782">
                  <c:v>1.0223609102485497E-2</c:v>
                </c:pt>
                <c:pt idx="13783">
                  <c:v>1.142960278546085E-2</c:v>
                </c:pt>
                <c:pt idx="13784">
                  <c:v>8.8917324204974904E-3</c:v>
                </c:pt>
                <c:pt idx="13785">
                  <c:v>5.9951230546912851E-3</c:v>
                </c:pt>
                <c:pt idx="13786">
                  <c:v>7.6270290565886899E-3</c:v>
                </c:pt>
                <c:pt idx="13787">
                  <c:v>8.1469065582131846E-3</c:v>
                </c:pt>
                <c:pt idx="13788">
                  <c:v>8.4034173458967711E-3</c:v>
                </c:pt>
                <c:pt idx="13789">
                  <c:v>6.6226167605250436E-3</c:v>
                </c:pt>
                <c:pt idx="13790">
                  <c:v>4.8825838837289045E-3</c:v>
                </c:pt>
                <c:pt idx="13791">
                  <c:v>3.2510896325048913E-3</c:v>
                </c:pt>
                <c:pt idx="13792">
                  <c:v>6.8612201376870583E-3</c:v>
                </c:pt>
                <c:pt idx="13793">
                  <c:v>4.0624398965532311E-3</c:v>
                </c:pt>
                <c:pt idx="13794">
                  <c:v>4.1777318554347609E-3</c:v>
                </c:pt>
                <c:pt idx="13795">
                  <c:v>3.5260160227970866E-3</c:v>
                </c:pt>
                <c:pt idx="13796">
                  <c:v>8.8193925595389799E-3</c:v>
                </c:pt>
                <c:pt idx="13797">
                  <c:v>8.5533335568617214E-3</c:v>
                </c:pt>
                <c:pt idx="13798">
                  <c:v>8.298615628179613E-3</c:v>
                </c:pt>
                <c:pt idx="13799">
                  <c:v>1.3705367039716226E-2</c:v>
                </c:pt>
                <c:pt idx="13800">
                  <c:v>6.0071164244386481E-3</c:v>
                </c:pt>
                <c:pt idx="13801">
                  <c:v>4.8739950139633711E-3</c:v>
                </c:pt>
                <c:pt idx="13802">
                  <c:v>7.0847384018712716E-3</c:v>
                </c:pt>
                <c:pt idx="13803">
                  <c:v>7.8501536304687088E-3</c:v>
                </c:pt>
                <c:pt idx="13804">
                  <c:v>7.2359646646263983E-3</c:v>
                </c:pt>
                <c:pt idx="13805">
                  <c:v>4.3665208622655849E-3</c:v>
                </c:pt>
                <c:pt idx="13806">
                  <c:v>4.7743517094314377E-3</c:v>
                </c:pt>
                <c:pt idx="13807">
                  <c:v>6.4390852034035039E-3</c:v>
                </c:pt>
                <c:pt idx="13808">
                  <c:v>8.038632289950158E-3</c:v>
                </c:pt>
                <c:pt idx="13809">
                  <c:v>7.5459420205367059E-3</c:v>
                </c:pt>
                <c:pt idx="13810">
                  <c:v>9.0457336352468658E-3</c:v>
                </c:pt>
                <c:pt idx="13811">
                  <c:v>4.3600715667978587E-3</c:v>
                </c:pt>
                <c:pt idx="13812">
                  <c:v>1.0847145155555359E-2</c:v>
                </c:pt>
                <c:pt idx="13813">
                  <c:v>2.1937295517345228E-2</c:v>
                </c:pt>
                <c:pt idx="13814">
                  <c:v>1.519288049219425E-2</c:v>
                </c:pt>
                <c:pt idx="13815">
                  <c:v>1.3948943723810952E-2</c:v>
                </c:pt>
                <c:pt idx="13816">
                  <c:v>9.3480467675348539E-3</c:v>
                </c:pt>
                <c:pt idx="13817">
                  <c:v>1.2122369850306637E-2</c:v>
                </c:pt>
                <c:pt idx="13818">
                  <c:v>9.5103841190257461E-3</c:v>
                </c:pt>
                <c:pt idx="13819">
                  <c:v>1.0415300793100277E-2</c:v>
                </c:pt>
                <c:pt idx="13820">
                  <c:v>1.6278096328977518E-2</c:v>
                </c:pt>
                <c:pt idx="13821">
                  <c:v>1.2111388878414359E-2</c:v>
                </c:pt>
                <c:pt idx="13822">
                  <c:v>1.2209785376959706E-2</c:v>
                </c:pt>
                <c:pt idx="13823">
                  <c:v>1.5436881943228779E-2</c:v>
                </c:pt>
                <c:pt idx="13824">
                  <c:v>1.2223297318209819E-2</c:v>
                </c:pt>
                <c:pt idx="13825">
                  <c:v>8.9836292188112676E-3</c:v>
                </c:pt>
                <c:pt idx="13826">
                  <c:v>9.205207715434819E-3</c:v>
                </c:pt>
                <c:pt idx="13827">
                  <c:v>7.2914865158086612E-3</c:v>
                </c:pt>
                <c:pt idx="13828">
                  <c:v>8.7232044363175585E-3</c:v>
                </c:pt>
                <c:pt idx="13829">
                  <c:v>6.6598269894510816E-3</c:v>
                </c:pt>
                <c:pt idx="13830">
                  <c:v>7.4362370401944797E-3</c:v>
                </c:pt>
                <c:pt idx="13831">
                  <c:v>9.3021393382899612E-3</c:v>
                </c:pt>
                <c:pt idx="13832">
                  <c:v>9.4585447535216246E-3</c:v>
                </c:pt>
                <c:pt idx="13833">
                  <c:v>1.0066205991756224E-2</c:v>
                </c:pt>
                <c:pt idx="13834">
                  <c:v>8.5908045250138107E-3</c:v>
                </c:pt>
                <c:pt idx="13835">
                  <c:v>1.2242719997284879E-2</c:v>
                </c:pt>
                <c:pt idx="13836">
                  <c:v>7.4609977840438893E-3</c:v>
                </c:pt>
                <c:pt idx="13837">
                  <c:v>8.1260211038657309E-3</c:v>
                </c:pt>
                <c:pt idx="13838">
                  <c:v>3.9776721807200602E-3</c:v>
                </c:pt>
                <c:pt idx="13839">
                  <c:v>7.5100881882929071E-3</c:v>
                </c:pt>
                <c:pt idx="13840">
                  <c:v>8.0727373338876137E-3</c:v>
                </c:pt>
                <c:pt idx="13841">
                  <c:v>1.1046182927457066E-2</c:v>
                </c:pt>
                <c:pt idx="13842">
                  <c:v>1.575027712860232E-2</c:v>
                </c:pt>
                <c:pt idx="13843">
                  <c:v>1.3780263535351917E-2</c:v>
                </c:pt>
                <c:pt idx="13844">
                  <c:v>4.7739221629416947E-3</c:v>
                </c:pt>
                <c:pt idx="13845">
                  <c:v>7.0257715228215431E-3</c:v>
                </c:pt>
                <c:pt idx="13846">
                  <c:v>6.3479323212374764E-3</c:v>
                </c:pt>
                <c:pt idx="13847">
                  <c:v>9.14099986150195E-3</c:v>
                </c:pt>
                <c:pt idx="13848">
                  <c:v>1.0370778187701933E-2</c:v>
                </c:pt>
                <c:pt idx="13849">
                  <c:v>7.4746582798270898E-3</c:v>
                </c:pt>
                <c:pt idx="13850">
                  <c:v>8.1447754354171103E-3</c:v>
                </c:pt>
                <c:pt idx="13851">
                  <c:v>1.1422411488459466E-2</c:v>
                </c:pt>
                <c:pt idx="13852">
                  <c:v>1.9326529510854104E-2</c:v>
                </c:pt>
                <c:pt idx="13853">
                  <c:v>1.5515251943866893E-2</c:v>
                </c:pt>
                <c:pt idx="13854">
                  <c:v>9.3178674299676488E-3</c:v>
                </c:pt>
                <c:pt idx="13855">
                  <c:v>8.7738548203824714E-3</c:v>
                </c:pt>
                <c:pt idx="13856">
                  <c:v>9.2651548242442937E-3</c:v>
                </c:pt>
                <c:pt idx="13857">
                  <c:v>7.6833542965382608E-3</c:v>
                </c:pt>
                <c:pt idx="13858">
                  <c:v>4.4477737804457457E-3</c:v>
                </c:pt>
                <c:pt idx="13859">
                  <c:v>6.0319587796443478E-3</c:v>
                </c:pt>
                <c:pt idx="13860">
                  <c:v>6.7509144392602794E-3</c:v>
                </c:pt>
                <c:pt idx="13861">
                  <c:v>2.4414237212896768E-2</c:v>
                </c:pt>
                <c:pt idx="13862">
                  <c:v>1.77747649959418E-2</c:v>
                </c:pt>
                <c:pt idx="13863">
                  <c:v>9.9685958945072185E-3</c:v>
                </c:pt>
                <c:pt idx="13864">
                  <c:v>1.1328490677503082E-2</c:v>
                </c:pt>
                <c:pt idx="13865">
                  <c:v>9.7711867033182624E-3</c:v>
                </c:pt>
                <c:pt idx="13866">
                  <c:v>8.6810622199632714E-3</c:v>
                </c:pt>
                <c:pt idx="13867">
                  <c:v>8.0970355438482796E-3</c:v>
                </c:pt>
                <c:pt idx="13868">
                  <c:v>1.1321297706020667E-2</c:v>
                </c:pt>
                <c:pt idx="13869">
                  <c:v>1.0016979293500409E-2</c:v>
                </c:pt>
                <c:pt idx="13870">
                  <c:v>6.2550479695473995E-3</c:v>
                </c:pt>
                <c:pt idx="13871">
                  <c:v>1.29759238020258E-2</c:v>
                </c:pt>
                <c:pt idx="13872">
                  <c:v>8.8917324204974904E-3</c:v>
                </c:pt>
                <c:pt idx="13873">
                  <c:v>9.2770582299533267E-3</c:v>
                </c:pt>
                <c:pt idx="13874">
                  <c:v>9.3471966740549615E-3</c:v>
                </c:pt>
                <c:pt idx="13875">
                  <c:v>9.9210560772720544E-3</c:v>
                </c:pt>
                <c:pt idx="13876">
                  <c:v>1.007469278960382E-2</c:v>
                </c:pt>
                <c:pt idx="13877">
                  <c:v>6.9274755957995935E-3</c:v>
                </c:pt>
                <c:pt idx="13878">
                  <c:v>9.3280691308268715E-3</c:v>
                </c:pt>
                <c:pt idx="13879">
                  <c:v>1.0542906971208721E-2</c:v>
                </c:pt>
                <c:pt idx="13880">
                  <c:v>1.0386467626609337E-2</c:v>
                </c:pt>
                <c:pt idx="13881">
                  <c:v>6.1034796947707472E-3</c:v>
                </c:pt>
                <c:pt idx="13882">
                  <c:v>8.8113067675894049E-3</c:v>
                </c:pt>
                <c:pt idx="13883">
                  <c:v>8.5022315713460216E-3</c:v>
                </c:pt>
                <c:pt idx="13884">
                  <c:v>8.5571659633873164E-3</c:v>
                </c:pt>
                <c:pt idx="13885">
                  <c:v>7.8936559664327804E-3</c:v>
                </c:pt>
                <c:pt idx="13886">
                  <c:v>4.1295538639103124E-3</c:v>
                </c:pt>
                <c:pt idx="13887">
                  <c:v>7.6628762205052908E-4</c:v>
                </c:pt>
                <c:pt idx="13888">
                  <c:v>2.1813820259917845E-2</c:v>
                </c:pt>
                <c:pt idx="13889">
                  <c:v>1.9927415174404717E-3</c:v>
                </c:pt>
                <c:pt idx="13890">
                  <c:v>1.1168709359069924E-3</c:v>
                </c:pt>
                <c:pt idx="13891">
                  <c:v>7.9880107020476065E-4</c:v>
                </c:pt>
                <c:pt idx="13892">
                  <c:v>3.7499652970956394E-3</c:v>
                </c:pt>
                <c:pt idx="13893">
                  <c:v>8.9892719919744412E-4</c:v>
                </c:pt>
                <c:pt idx="13894">
                  <c:v>3.1131299526130714E-3</c:v>
                </c:pt>
                <c:pt idx="13895">
                  <c:v>3.4394200590474899E-3</c:v>
                </c:pt>
                <c:pt idx="13896">
                  <c:v>3.3911600894839288E-3</c:v>
                </c:pt>
                <c:pt idx="13897">
                  <c:v>4.4194014728778383E-3</c:v>
                </c:pt>
                <c:pt idx="13898">
                  <c:v>2.5206987823348363E-3</c:v>
                </c:pt>
                <c:pt idx="13899">
                  <c:v>4.2216035909723648E-3</c:v>
                </c:pt>
                <c:pt idx="13900">
                  <c:v>5.7907565361931508E-3</c:v>
                </c:pt>
                <c:pt idx="13901">
                  <c:v>3.1933243499035566E-3</c:v>
                </c:pt>
                <c:pt idx="13902">
                  <c:v>2.4632681010131265E-3</c:v>
                </c:pt>
                <c:pt idx="13903">
                  <c:v>5.3538523835851134E-3</c:v>
                </c:pt>
                <c:pt idx="13904">
                  <c:v>1.3559199671821457E-3</c:v>
                </c:pt>
                <c:pt idx="13905">
                  <c:v>3.5410931570172186E-3</c:v>
                </c:pt>
                <c:pt idx="13906">
                  <c:v>6.1745606701619042E-3</c:v>
                </c:pt>
                <c:pt idx="13907">
                  <c:v>6.128744747598453E-3</c:v>
                </c:pt>
                <c:pt idx="13908">
                  <c:v>4.0142491128316365E-3</c:v>
                </c:pt>
                <c:pt idx="13909">
                  <c:v>6.200677864880412E-3</c:v>
                </c:pt>
                <c:pt idx="13910">
                  <c:v>3.1670256686572406E-3</c:v>
                </c:pt>
                <c:pt idx="13911">
                  <c:v>6.405707494899656E-3</c:v>
                </c:pt>
                <c:pt idx="13912">
                  <c:v>4.361361433553197E-3</c:v>
                </c:pt>
                <c:pt idx="13913">
                  <c:v>5.748757373732245E-3</c:v>
                </c:pt>
                <c:pt idx="13914">
                  <c:v>6.0015481153882552E-3</c:v>
                </c:pt>
                <c:pt idx="13915">
                  <c:v>8.0910676883982815E-3</c:v>
                </c:pt>
                <c:pt idx="13916">
                  <c:v>6.7590386828364985E-3</c:v>
                </c:pt>
                <c:pt idx="13917">
                  <c:v>5.9968364135046309E-3</c:v>
                </c:pt>
                <c:pt idx="13918">
                  <c:v>6.3320963019863445E-3</c:v>
                </c:pt>
                <c:pt idx="13919">
                  <c:v>3.6483410923462689E-3</c:v>
                </c:pt>
                <c:pt idx="13920">
                  <c:v>5.7684717721136263E-3</c:v>
                </c:pt>
                <c:pt idx="13921">
                  <c:v>1.6701212124505865E-3</c:v>
                </c:pt>
                <c:pt idx="13922">
                  <c:v>5.9133023029695293E-3</c:v>
                </c:pt>
                <c:pt idx="13923">
                  <c:v>2.0230019045521298E-3</c:v>
                </c:pt>
                <c:pt idx="13924">
                  <c:v>4.1493419000591166E-3</c:v>
                </c:pt>
                <c:pt idx="13925">
                  <c:v>1.8193520813187497E-3</c:v>
                </c:pt>
                <c:pt idx="13926">
                  <c:v>4.1385876444366898E-3</c:v>
                </c:pt>
                <c:pt idx="13927">
                  <c:v>5.4748060643482399E-3</c:v>
                </c:pt>
                <c:pt idx="13928">
                  <c:v>6.7167054306585278E-3</c:v>
                </c:pt>
                <c:pt idx="13929">
                  <c:v>2.2434068212667585E-3</c:v>
                </c:pt>
                <c:pt idx="13930">
                  <c:v>5.3830216016315562E-3</c:v>
                </c:pt>
                <c:pt idx="13931">
                  <c:v>1.6830998455557918E-3</c:v>
                </c:pt>
                <c:pt idx="13932">
                  <c:v>4.9006199573653295E-3</c:v>
                </c:pt>
                <c:pt idx="13933">
                  <c:v>5.1011134684179581E-3</c:v>
                </c:pt>
                <c:pt idx="13934">
                  <c:v>6.864640021630849E-3</c:v>
                </c:pt>
                <c:pt idx="13935">
                  <c:v>2.5029953970605429E-3</c:v>
                </c:pt>
                <c:pt idx="13936">
                  <c:v>3.3110022184893208E-3</c:v>
                </c:pt>
                <c:pt idx="13937">
                  <c:v>3.7430762718993352E-3</c:v>
                </c:pt>
                <c:pt idx="13938">
                  <c:v>2.7045985829928071E-3</c:v>
                </c:pt>
                <c:pt idx="13939">
                  <c:v>1.787779971461027E-3</c:v>
                </c:pt>
                <c:pt idx="13940">
                  <c:v>3.2972101252831468E-3</c:v>
                </c:pt>
                <c:pt idx="13941">
                  <c:v>7.88811179335344E-3</c:v>
                </c:pt>
                <c:pt idx="13942">
                  <c:v>8.3595400295477362E-3</c:v>
                </c:pt>
                <c:pt idx="13943">
                  <c:v>9.7694881704113914E-3</c:v>
                </c:pt>
                <c:pt idx="13944">
                  <c:v>7.8480210509776424E-3</c:v>
                </c:pt>
                <c:pt idx="13945">
                  <c:v>6.7658800332352931E-3</c:v>
                </c:pt>
                <c:pt idx="13946">
                  <c:v>5.0478865288156854E-3</c:v>
                </c:pt>
                <c:pt idx="13947">
                  <c:v>6.9766263402834495E-3</c:v>
                </c:pt>
                <c:pt idx="13948">
                  <c:v>6.7586110948582761E-3</c:v>
                </c:pt>
                <c:pt idx="13949">
                  <c:v>8.3706162752513295E-3</c:v>
                </c:pt>
                <c:pt idx="13950">
                  <c:v>7.43111395141629E-3</c:v>
                </c:pt>
                <c:pt idx="13951">
                  <c:v>7.5971566467934694E-3</c:v>
                </c:pt>
                <c:pt idx="13952">
                  <c:v>7.0364545222938559E-3</c:v>
                </c:pt>
                <c:pt idx="13953">
                  <c:v>7.9439767623882534E-3</c:v>
                </c:pt>
                <c:pt idx="13954">
                  <c:v>6.5687204312616897E-3</c:v>
                </c:pt>
                <c:pt idx="13955">
                  <c:v>6.0426662531249363E-3</c:v>
                </c:pt>
                <c:pt idx="13956">
                  <c:v>7.4443484738334099E-3</c:v>
                </c:pt>
                <c:pt idx="13957">
                  <c:v>1.6346276757848381E-2</c:v>
                </c:pt>
                <c:pt idx="13958">
                  <c:v>1.2829635026549307E-2</c:v>
                </c:pt>
                <c:pt idx="13959">
                  <c:v>1.1456674835643849E-2</c:v>
                </c:pt>
                <c:pt idx="13960">
                  <c:v>5.6184484102194693E-3</c:v>
                </c:pt>
                <c:pt idx="13961">
                  <c:v>4.8263236991250118E-3</c:v>
                </c:pt>
                <c:pt idx="13962">
                  <c:v>6.3552081364818868E-3</c:v>
                </c:pt>
                <c:pt idx="13963">
                  <c:v>7.9823531114457339E-3</c:v>
                </c:pt>
                <c:pt idx="13964">
                  <c:v>1.2265941625624572E-2</c:v>
                </c:pt>
                <c:pt idx="13965">
                  <c:v>9.3994743276854253E-3</c:v>
                </c:pt>
                <c:pt idx="13966">
                  <c:v>7.2641535684353133E-3</c:v>
                </c:pt>
                <c:pt idx="13967">
                  <c:v>1.1600466812860755E-2</c:v>
                </c:pt>
                <c:pt idx="13968">
                  <c:v>1.2892878296000075E-2</c:v>
                </c:pt>
                <c:pt idx="13969">
                  <c:v>1.0466178182352929E-2</c:v>
                </c:pt>
                <c:pt idx="13970">
                  <c:v>7.5817928930579578E-3</c:v>
                </c:pt>
                <c:pt idx="13971">
                  <c:v>1.0048383176431121E-2</c:v>
                </c:pt>
                <c:pt idx="13972">
                  <c:v>6.4108426939487448E-3</c:v>
                </c:pt>
                <c:pt idx="13973">
                  <c:v>7.3034441393714138E-3</c:v>
                </c:pt>
                <c:pt idx="13974">
                  <c:v>8.167364804989443E-3</c:v>
                </c:pt>
                <c:pt idx="13975">
                  <c:v>8.3399429028012048E-3</c:v>
                </c:pt>
                <c:pt idx="13976">
                  <c:v>9.1847983009507358E-3</c:v>
                </c:pt>
                <c:pt idx="13977">
                  <c:v>9.8773318299816542E-3</c:v>
                </c:pt>
                <c:pt idx="13978">
                  <c:v>1.0426324733243918E-2</c:v>
                </c:pt>
                <c:pt idx="13979">
                  <c:v>1.4170105732651931E-2</c:v>
                </c:pt>
                <c:pt idx="13980">
                  <c:v>1.4136055800623168E-2</c:v>
                </c:pt>
                <c:pt idx="13981">
                  <c:v>1.0440740232759307E-2</c:v>
                </c:pt>
                <c:pt idx="13982">
                  <c:v>6.6328819697044558E-3</c:v>
                </c:pt>
                <c:pt idx="13983">
                  <c:v>2.7753749346529424E-3</c:v>
                </c:pt>
                <c:pt idx="13984">
                  <c:v>3.3019512067264949E-3</c:v>
                </c:pt>
                <c:pt idx="13985">
                  <c:v>1.8574085601674531E-3</c:v>
                </c:pt>
                <c:pt idx="13986">
                  <c:v>6.8808841026094004E-3</c:v>
                </c:pt>
                <c:pt idx="13987">
                  <c:v>8.3476114490161259E-3</c:v>
                </c:pt>
                <c:pt idx="13988">
                  <c:v>3.7469513620184813E-3</c:v>
                </c:pt>
                <c:pt idx="13989">
                  <c:v>2.6126584165937945E-3</c:v>
                </c:pt>
                <c:pt idx="13990">
                  <c:v>3.5294622710515706E-3</c:v>
                </c:pt>
                <c:pt idx="13991">
                  <c:v>5.2877854404510512E-3</c:v>
                </c:pt>
                <c:pt idx="13992">
                  <c:v>5.2620423520691783E-3</c:v>
                </c:pt>
                <c:pt idx="13993">
                  <c:v>4.6355860950380917E-3</c:v>
                </c:pt>
                <c:pt idx="13994">
                  <c:v>4.9899304264278436E-3</c:v>
                </c:pt>
                <c:pt idx="13995">
                  <c:v>8.3748762945350472E-3</c:v>
                </c:pt>
                <c:pt idx="13996">
                  <c:v>8.8138601918371553E-3</c:v>
                </c:pt>
                <c:pt idx="13997">
                  <c:v>1.4004034528697399E-2</c:v>
                </c:pt>
                <c:pt idx="13998">
                  <c:v>8.0377796295355314E-3</c:v>
                </c:pt>
                <c:pt idx="13999">
                  <c:v>7.3538333644609412E-3</c:v>
                </c:pt>
                <c:pt idx="14000">
                  <c:v>6.9026844143053939E-3</c:v>
                </c:pt>
                <c:pt idx="14001">
                  <c:v>4.083951912922535E-3</c:v>
                </c:pt>
                <c:pt idx="14002">
                  <c:v>3.9260289139319178E-3</c:v>
                </c:pt>
                <c:pt idx="14003">
                  <c:v>2.9354423048555144E-3</c:v>
                </c:pt>
                <c:pt idx="14004">
                  <c:v>2.0809230506653714E-3</c:v>
                </c:pt>
                <c:pt idx="14005">
                  <c:v>7.2624452021058904E-3</c:v>
                </c:pt>
                <c:pt idx="14006">
                  <c:v>1.5446102677359148E-2</c:v>
                </c:pt>
                <c:pt idx="14007">
                  <c:v>1.135556903111729E-2</c:v>
                </c:pt>
                <c:pt idx="14008">
                  <c:v>4.4847409760114271E-3</c:v>
                </c:pt>
                <c:pt idx="14009">
                  <c:v>4.1067534869555543E-3</c:v>
                </c:pt>
                <c:pt idx="14010">
                  <c:v>7.262018109473441E-3</c:v>
                </c:pt>
                <c:pt idx="14011">
                  <c:v>3.0048871513319152E-3</c:v>
                </c:pt>
                <c:pt idx="14012">
                  <c:v>1.8898404271484623E-3</c:v>
                </c:pt>
                <c:pt idx="14013">
                  <c:v>3.0950194907137492E-3</c:v>
                </c:pt>
                <c:pt idx="14014">
                  <c:v>5.4726617888568993E-3</c:v>
                </c:pt>
                <c:pt idx="14015">
                  <c:v>2.1993347854741357E-3</c:v>
                </c:pt>
                <c:pt idx="14016">
                  <c:v>1.2567652340279001E-3</c:v>
                </c:pt>
                <c:pt idx="14017">
                  <c:v>2.1522332543404358E-3</c:v>
                </c:pt>
                <c:pt idx="14018">
                  <c:v>6.982182161467199E-3</c:v>
                </c:pt>
                <c:pt idx="14019">
                  <c:v>1.905839256109198E-3</c:v>
                </c:pt>
                <c:pt idx="14020">
                  <c:v>2.0286214585920549E-3</c:v>
                </c:pt>
                <c:pt idx="14021">
                  <c:v>4.5737072560825881E-3</c:v>
                </c:pt>
                <c:pt idx="14022">
                  <c:v>6.0353851998804922E-3</c:v>
                </c:pt>
                <c:pt idx="14023">
                  <c:v>1.8262716891587804E-3</c:v>
                </c:pt>
                <c:pt idx="14024">
                  <c:v>5.7539003465445406E-3</c:v>
                </c:pt>
                <c:pt idx="14025">
                  <c:v>0.18742172425353554</c:v>
                </c:pt>
                <c:pt idx="14026">
                  <c:v>1.9371804842669232E-2</c:v>
                </c:pt>
                <c:pt idx="14027">
                  <c:v>6.2105249240130573E-3</c:v>
                </c:pt>
                <c:pt idx="14028">
                  <c:v>3.8498438843167847E-3</c:v>
                </c:pt>
                <c:pt idx="14029">
                  <c:v>7.5305764548756534E-3</c:v>
                </c:pt>
                <c:pt idx="14030">
                  <c:v>5.9711353215328687E-3</c:v>
                </c:pt>
                <c:pt idx="14031">
                  <c:v>1.5494717856457703E-2</c:v>
                </c:pt>
                <c:pt idx="14032">
                  <c:v>9.7074871725737963E-3</c:v>
                </c:pt>
                <c:pt idx="14033">
                  <c:v>1.1000031227558542E-2</c:v>
                </c:pt>
                <c:pt idx="14034">
                  <c:v>9.980055607731797E-3</c:v>
                </c:pt>
                <c:pt idx="14035">
                  <c:v>9.6497248545468796E-3</c:v>
                </c:pt>
                <c:pt idx="14036">
                  <c:v>7.8638018912420924E-3</c:v>
                </c:pt>
                <c:pt idx="14037">
                  <c:v>6.6328819697044558E-3</c:v>
                </c:pt>
                <c:pt idx="14038">
                  <c:v>8.987457830114785E-3</c:v>
                </c:pt>
                <c:pt idx="14039">
                  <c:v>1.3184100082249814E-2</c:v>
                </c:pt>
                <c:pt idx="14040">
                  <c:v>8.0377796295355314E-3</c:v>
                </c:pt>
                <c:pt idx="14041">
                  <c:v>6.5866866175355449E-3</c:v>
                </c:pt>
                <c:pt idx="14042">
                  <c:v>8.918963128765155E-3</c:v>
                </c:pt>
                <c:pt idx="14043">
                  <c:v>8.3816922384736692E-3</c:v>
                </c:pt>
                <c:pt idx="14044">
                  <c:v>8.9232177727039449E-3</c:v>
                </c:pt>
                <c:pt idx="14045">
                  <c:v>7.0988379911866226E-3</c:v>
                </c:pt>
                <c:pt idx="14046">
                  <c:v>1.0408516690846756E-2</c:v>
                </c:pt>
                <c:pt idx="14047">
                  <c:v>8.9755464841069482E-3</c:v>
                </c:pt>
                <c:pt idx="14048">
                  <c:v>1.3948943723810952E-2</c:v>
                </c:pt>
                <c:pt idx="14049">
                  <c:v>1.1129158968718109E-2</c:v>
                </c:pt>
                <c:pt idx="14050">
                  <c:v>1.08141045278806E-2</c:v>
                </c:pt>
                <c:pt idx="14051">
                  <c:v>9.0019211682242813E-3</c:v>
                </c:pt>
                <c:pt idx="14052">
                  <c:v>7.4712431961639E-3</c:v>
                </c:pt>
                <c:pt idx="14053">
                  <c:v>9.1558833218249678E-3</c:v>
                </c:pt>
                <c:pt idx="14054">
                  <c:v>8.6240147260251369E-3</c:v>
                </c:pt>
                <c:pt idx="14055">
                  <c:v>1.0109911228513579E-2</c:v>
                </c:pt>
                <c:pt idx="14056">
                  <c:v>6.8522428142039921E-3</c:v>
                </c:pt>
                <c:pt idx="14057">
                  <c:v>1.0795465116096213E-2</c:v>
                </c:pt>
                <c:pt idx="14058">
                  <c:v>9.2524008132159104E-3</c:v>
                </c:pt>
                <c:pt idx="14059">
                  <c:v>1.3013436615499191E-2</c:v>
                </c:pt>
                <c:pt idx="14060">
                  <c:v>8.0399112774332173E-3</c:v>
                </c:pt>
                <c:pt idx="14061">
                  <c:v>1.2895829423665588E-2</c:v>
                </c:pt>
                <c:pt idx="14062">
                  <c:v>6.972779960905175E-3</c:v>
                </c:pt>
                <c:pt idx="14063">
                  <c:v>7.6423912101454749E-3</c:v>
                </c:pt>
                <c:pt idx="14064">
                  <c:v>8.8032208250939416E-3</c:v>
                </c:pt>
                <c:pt idx="14065">
                  <c:v>1.1677418253736825E-2</c:v>
                </c:pt>
                <c:pt idx="14066">
                  <c:v>9.5035858662456743E-3</c:v>
                </c:pt>
                <c:pt idx="14067">
                  <c:v>8.5141559058070637E-3</c:v>
                </c:pt>
                <c:pt idx="14068">
                  <c:v>9.9724158325140387E-3</c:v>
                </c:pt>
                <c:pt idx="14069">
                  <c:v>9.4304979271830486E-3</c:v>
                </c:pt>
                <c:pt idx="14070">
                  <c:v>5.2294322493967142E-3</c:v>
                </c:pt>
                <c:pt idx="14071">
                  <c:v>6.3483603137437809E-3</c:v>
                </c:pt>
                <c:pt idx="14072">
                  <c:v>8.3429251313081616E-3</c:v>
                </c:pt>
                <c:pt idx="14073">
                  <c:v>7.0475645629886566E-3</c:v>
                </c:pt>
                <c:pt idx="14074">
                  <c:v>7.4674011949429579E-3</c:v>
                </c:pt>
                <c:pt idx="14075">
                  <c:v>6.1510110332868096E-3</c:v>
                </c:pt>
                <c:pt idx="14076">
                  <c:v>8.3582619830191544E-3</c:v>
                </c:pt>
                <c:pt idx="14077">
                  <c:v>5.9090180692887937E-3</c:v>
                </c:pt>
                <c:pt idx="14078">
                  <c:v>3.5036147425365331E-3</c:v>
                </c:pt>
                <c:pt idx="14079">
                  <c:v>5.6017283117830155E-3</c:v>
                </c:pt>
                <c:pt idx="14080">
                  <c:v>5.3662924367607352E-3</c:v>
                </c:pt>
                <c:pt idx="14081">
                  <c:v>9.3901243151571674E-3</c:v>
                </c:pt>
                <c:pt idx="14082">
                  <c:v>6.6995999158240482E-3</c:v>
                </c:pt>
                <c:pt idx="14083">
                  <c:v>8.1656599878998683E-3</c:v>
                </c:pt>
                <c:pt idx="14084">
                  <c:v>4.8194517267301411E-3</c:v>
                </c:pt>
                <c:pt idx="14085">
                  <c:v>1.0380955185635072E-2</c:v>
                </c:pt>
                <c:pt idx="14086">
                  <c:v>6.7145672781486311E-3</c:v>
                </c:pt>
                <c:pt idx="14087">
                  <c:v>7.6257488525968082E-3</c:v>
                </c:pt>
                <c:pt idx="14088">
                  <c:v>7.1202001331332832E-3</c:v>
                </c:pt>
                <c:pt idx="14089">
                  <c:v>7.6893277571719095E-3</c:v>
                </c:pt>
                <c:pt idx="14090">
                  <c:v>6.6059352780988316E-3</c:v>
                </c:pt>
                <c:pt idx="14091">
                  <c:v>8.6631824684294985E-3</c:v>
                </c:pt>
                <c:pt idx="14092">
                  <c:v>6.9390158355042237E-3</c:v>
                </c:pt>
                <c:pt idx="14093">
                  <c:v>3.4613938040522602E-3</c:v>
                </c:pt>
                <c:pt idx="14094">
                  <c:v>4.1570847992155237E-3</c:v>
                </c:pt>
                <c:pt idx="14095">
                  <c:v>4.7674789146125007E-3</c:v>
                </c:pt>
                <c:pt idx="14096">
                  <c:v>1.1373761351748805E-2</c:v>
                </c:pt>
                <c:pt idx="14097">
                  <c:v>6.6440023391835072E-3</c:v>
                </c:pt>
                <c:pt idx="14098">
                  <c:v>9.2166875896041323E-3</c:v>
                </c:pt>
                <c:pt idx="14099">
                  <c:v>7.8471680162490523E-3</c:v>
                </c:pt>
                <c:pt idx="14100">
                  <c:v>1.366244300100525E-2</c:v>
                </c:pt>
                <c:pt idx="14101">
                  <c:v>1.1684182563596343E-2</c:v>
                </c:pt>
                <c:pt idx="14102">
                  <c:v>1.4703206429291717E-2</c:v>
                </c:pt>
                <c:pt idx="14103">
                  <c:v>1.1643172318205091E-2</c:v>
                </c:pt>
                <c:pt idx="14104">
                  <c:v>1.0888654176230438E-2</c:v>
                </c:pt>
                <c:pt idx="14105">
                  <c:v>1.2329267029111961E-2</c:v>
                </c:pt>
                <c:pt idx="14106">
                  <c:v>1.2872641451770975E-2</c:v>
                </c:pt>
                <c:pt idx="14107">
                  <c:v>1.3205586283744596E-2</c:v>
                </c:pt>
                <c:pt idx="14108">
                  <c:v>8.7904532409428179E-3</c:v>
                </c:pt>
                <c:pt idx="14109">
                  <c:v>1.4270558493904833E-2</c:v>
                </c:pt>
                <c:pt idx="14110">
                  <c:v>4.3316935289091363E-3</c:v>
                </c:pt>
                <c:pt idx="14111">
                  <c:v>8.4758265227146568E-3</c:v>
                </c:pt>
                <c:pt idx="14112">
                  <c:v>1.2397226022955281E-2</c:v>
                </c:pt>
                <c:pt idx="14113">
                  <c:v>1.2499355565229979E-2</c:v>
                </c:pt>
                <c:pt idx="14114">
                  <c:v>1.5621678390377597E-2</c:v>
                </c:pt>
                <c:pt idx="14115">
                  <c:v>1.6036659932361159E-2</c:v>
                </c:pt>
                <c:pt idx="14116">
                  <c:v>1.3758805747228155E-2</c:v>
                </c:pt>
                <c:pt idx="14117">
                  <c:v>1.2503997246548876E-2</c:v>
                </c:pt>
                <c:pt idx="14118">
                  <c:v>1.0726407595933934E-2</c:v>
                </c:pt>
                <c:pt idx="14119">
                  <c:v>1.3143231235789497E-2</c:v>
                </c:pt>
                <c:pt idx="14120">
                  <c:v>2.2414760603835442E-2</c:v>
                </c:pt>
                <c:pt idx="14121">
                  <c:v>2.0053271922933158E-2</c:v>
                </c:pt>
                <c:pt idx="14122">
                  <c:v>1.2655035800573143E-2</c:v>
                </c:pt>
                <c:pt idx="14123">
                  <c:v>9.3114912452358332E-3</c:v>
                </c:pt>
                <c:pt idx="14124">
                  <c:v>1.1475708860547305E-2</c:v>
                </c:pt>
                <c:pt idx="14125">
                  <c:v>5.0586182916772405E-3</c:v>
                </c:pt>
                <c:pt idx="14126">
                  <c:v>4.0288790231619792E-3</c:v>
                </c:pt>
                <c:pt idx="14127">
                  <c:v>5.8978788639233821E-3</c:v>
                </c:pt>
                <c:pt idx="14128">
                  <c:v>8.4600679061630386E-3</c:v>
                </c:pt>
                <c:pt idx="14129">
                  <c:v>1.0735728883875719E-2</c:v>
                </c:pt>
                <c:pt idx="14130">
                  <c:v>8.6695681784792027E-3</c:v>
                </c:pt>
                <c:pt idx="14131">
                  <c:v>9.8938881307863123E-3</c:v>
                </c:pt>
                <c:pt idx="14132">
                  <c:v>6.1368806381869451E-3</c:v>
                </c:pt>
                <c:pt idx="14133">
                  <c:v>1.5944569104571468E-2</c:v>
                </c:pt>
                <c:pt idx="14134">
                  <c:v>1.6140029552132285E-2</c:v>
                </c:pt>
                <c:pt idx="14135">
                  <c:v>1.23204020284677E-2</c:v>
                </c:pt>
                <c:pt idx="14136">
                  <c:v>1.8124385331449781E-2</c:v>
                </c:pt>
                <c:pt idx="14137">
                  <c:v>1.5604920050143654E-2</c:v>
                </c:pt>
                <c:pt idx="14138">
                  <c:v>6.3860220026910964E-3</c:v>
                </c:pt>
                <c:pt idx="14139">
                  <c:v>7.2445069499068541E-3</c:v>
                </c:pt>
                <c:pt idx="14140">
                  <c:v>2.2881813332030782E-2</c:v>
                </c:pt>
                <c:pt idx="14141">
                  <c:v>2.0730773018432531E-2</c:v>
                </c:pt>
                <c:pt idx="14142">
                  <c:v>1.966079113621675E-2</c:v>
                </c:pt>
                <c:pt idx="14143">
                  <c:v>1.0640811871814671E-2</c:v>
                </c:pt>
                <c:pt idx="14144">
                  <c:v>2.452507259411622E-2</c:v>
                </c:pt>
                <c:pt idx="14145">
                  <c:v>2.1165308807390988E-2</c:v>
                </c:pt>
                <c:pt idx="14146">
                  <c:v>9.8633221593805685E-3</c:v>
                </c:pt>
                <c:pt idx="14147">
                  <c:v>8.867053116248835E-3</c:v>
                </c:pt>
                <c:pt idx="14148">
                  <c:v>9.5210061759576584E-3</c:v>
                </c:pt>
                <c:pt idx="14149">
                  <c:v>9.4296479950788364E-3</c:v>
                </c:pt>
                <c:pt idx="14150">
                  <c:v>9.3165922005103447E-3</c:v>
                </c:pt>
                <c:pt idx="14151">
                  <c:v>9.1176105361250818E-3</c:v>
                </c:pt>
                <c:pt idx="14152">
                  <c:v>7.6159338299509509E-3</c:v>
                </c:pt>
                <c:pt idx="14153">
                  <c:v>6.4429363123956205E-3</c:v>
                </c:pt>
                <c:pt idx="14154">
                  <c:v>7.9154055004484539E-3</c:v>
                </c:pt>
                <c:pt idx="14155">
                  <c:v>1.099537344410101E-2</c:v>
                </c:pt>
                <c:pt idx="14156">
                  <c:v>1.1368261428205682E-2</c:v>
                </c:pt>
                <c:pt idx="14157">
                  <c:v>1.2107165353755008E-2</c:v>
                </c:pt>
                <c:pt idx="14158">
                  <c:v>9.254101369660447E-3</c:v>
                </c:pt>
                <c:pt idx="14159">
                  <c:v>1.0206641160232755E-2</c:v>
                </c:pt>
                <c:pt idx="14160">
                  <c:v>1.0373322459542941E-2</c:v>
                </c:pt>
                <c:pt idx="14161">
                  <c:v>1.5361013016896942E-2</c:v>
                </c:pt>
                <c:pt idx="14162">
                  <c:v>1.634251247346374E-2</c:v>
                </c:pt>
                <c:pt idx="14163">
                  <c:v>8.7172451792232233E-3</c:v>
                </c:pt>
                <c:pt idx="14164">
                  <c:v>1.2629303893378031E-2</c:v>
                </c:pt>
                <c:pt idx="14165">
                  <c:v>9.82553624913797E-3</c:v>
                </c:pt>
                <c:pt idx="14166">
                  <c:v>1.0975047986220357E-2</c:v>
                </c:pt>
                <c:pt idx="14167">
                  <c:v>8.9381086982572924E-3</c:v>
                </c:pt>
                <c:pt idx="14168">
                  <c:v>1.3442285426813654E-2</c:v>
                </c:pt>
                <c:pt idx="14169">
                  <c:v>7.581366114362215E-3</c:v>
                </c:pt>
                <c:pt idx="14170">
                  <c:v>1.0640388088638712E-2</c:v>
                </c:pt>
                <c:pt idx="14171">
                  <c:v>1.5649747161624507E-2</c:v>
                </c:pt>
                <c:pt idx="14172">
                  <c:v>1.3482705123379721E-2</c:v>
                </c:pt>
                <c:pt idx="14173">
                  <c:v>1.2360926268587724E-2</c:v>
                </c:pt>
                <c:pt idx="14174">
                  <c:v>6.9877379115775261E-3</c:v>
                </c:pt>
                <c:pt idx="14175">
                  <c:v>1.1419450331553584E-2</c:v>
                </c:pt>
                <c:pt idx="14176">
                  <c:v>3.3222079717152371E-3</c:v>
                </c:pt>
                <c:pt idx="14177">
                  <c:v>4.189345393207972E-3</c:v>
                </c:pt>
                <c:pt idx="14178">
                  <c:v>3.5109383651351937E-3</c:v>
                </c:pt>
                <c:pt idx="14179">
                  <c:v>4.7013227025108255E-3</c:v>
                </c:pt>
                <c:pt idx="14180">
                  <c:v>1.8193520813187497E-3</c:v>
                </c:pt>
                <c:pt idx="14181">
                  <c:v>5.6424556309884544E-3</c:v>
                </c:pt>
                <c:pt idx="14182">
                  <c:v>5.3169590960462278E-3</c:v>
                </c:pt>
                <c:pt idx="14183">
                  <c:v>3.3329824617730703E-3</c:v>
                </c:pt>
                <c:pt idx="14184">
                  <c:v>6.6149176944088938E-3</c:v>
                </c:pt>
                <c:pt idx="14185">
                  <c:v>4.0314607208855081E-3</c:v>
                </c:pt>
                <c:pt idx="14186">
                  <c:v>2.5552398954414315E-3</c:v>
                </c:pt>
                <c:pt idx="14187">
                  <c:v>2.7507771445730357E-3</c:v>
                </c:pt>
                <c:pt idx="14188">
                  <c:v>4.2297752873672653E-3</c:v>
                </c:pt>
                <c:pt idx="14189">
                  <c:v>5.9994064390508613E-3</c:v>
                </c:pt>
                <c:pt idx="14190">
                  <c:v>3.8938753605428748E-4</c:v>
                </c:pt>
                <c:pt idx="14191">
                  <c:v>5.017544628443801E-4</c:v>
                </c:pt>
                <c:pt idx="14192">
                  <c:v>3.6306836150855918E-3</c:v>
                </c:pt>
                <c:pt idx="14193">
                  <c:v>3.878253424075751E-3</c:v>
                </c:pt>
                <c:pt idx="14194">
                  <c:v>1.3299427497026413E-3</c:v>
                </c:pt>
                <c:pt idx="14195">
                  <c:v>3.9199095986436068E-4</c:v>
                </c:pt>
                <c:pt idx="14196">
                  <c:v>3.4023637746779314E-3</c:v>
                </c:pt>
                <c:pt idx="14197">
                  <c:v>2.6178386616962338E-3</c:v>
                </c:pt>
                <c:pt idx="14198">
                  <c:v>8.0270252041552E-4</c:v>
                </c:pt>
                <c:pt idx="14199">
                  <c:v>1.1432940538774294E-3</c:v>
                </c:pt>
                <c:pt idx="14200">
                  <c:v>4.3480326256745833E-3</c:v>
                </c:pt>
                <c:pt idx="14201">
                  <c:v>2.2736497483902556E-3</c:v>
                </c:pt>
                <c:pt idx="14202">
                  <c:v>7.0862445442594515E-4</c:v>
                </c:pt>
                <c:pt idx="14203">
                  <c:v>2.0407248664826424E-3</c:v>
                </c:pt>
                <c:pt idx="14204">
                  <c:v>3.8300421969314474E-3</c:v>
                </c:pt>
                <c:pt idx="14205">
                  <c:v>3.4247702780239807E-3</c:v>
                </c:pt>
                <c:pt idx="14206">
                  <c:v>3.1678879457526375E-3</c:v>
                </c:pt>
                <c:pt idx="14207">
                  <c:v>3.5609080231373833E-3</c:v>
                </c:pt>
                <c:pt idx="14208">
                  <c:v>3.0393897780600413E-3</c:v>
                </c:pt>
                <c:pt idx="14209">
                  <c:v>1.9326467834571278E-3</c:v>
                </c:pt>
                <c:pt idx="14210">
                  <c:v>3.0129583287555258E-4</c:v>
                </c:pt>
                <c:pt idx="14211">
                  <c:v>1.5701727440886072E-3</c:v>
                </c:pt>
                <c:pt idx="14212">
                  <c:v>3.785700361629158E-3</c:v>
                </c:pt>
                <c:pt idx="14213">
                  <c:v>9.2102985745360852E-4</c:v>
                </c:pt>
                <c:pt idx="14214">
                  <c:v>2.5401284964890174E-3</c:v>
                </c:pt>
                <c:pt idx="14215">
                  <c:v>3.6901132413252589E-3</c:v>
                </c:pt>
                <c:pt idx="14216">
                  <c:v>5.563998545073146E-3</c:v>
                </c:pt>
                <c:pt idx="14217">
                  <c:v>3.2911759467715127E-3</c:v>
                </c:pt>
                <c:pt idx="14218">
                  <c:v>4.1661180070937864E-3</c:v>
                </c:pt>
                <c:pt idx="14219">
                  <c:v>4.2241841432871033E-3</c:v>
                </c:pt>
                <c:pt idx="14220">
                  <c:v>6.0233926107819647E-3</c:v>
                </c:pt>
                <c:pt idx="14221">
                  <c:v>4.4800127892836595E-3</c:v>
                </c:pt>
                <c:pt idx="14222">
                  <c:v>4.2168725385704625E-3</c:v>
                </c:pt>
                <c:pt idx="14223">
                  <c:v>4.8778600263779236E-3</c:v>
                </c:pt>
                <c:pt idx="14224">
                  <c:v>3.2291052440162828E-3</c:v>
                </c:pt>
                <c:pt idx="14225">
                  <c:v>6.3641957399693562E-3</c:v>
                </c:pt>
                <c:pt idx="14226">
                  <c:v>5.6797499310729744E-3</c:v>
                </c:pt>
                <c:pt idx="14227">
                  <c:v>5.8768849694743807E-3</c:v>
                </c:pt>
                <c:pt idx="14228">
                  <c:v>5.7084686461291593E-3</c:v>
                </c:pt>
                <c:pt idx="14229">
                  <c:v>8.4115107355195173E-3</c:v>
                </c:pt>
                <c:pt idx="14230">
                  <c:v>6.7128567485614053E-3</c:v>
                </c:pt>
              </c:numCache>
            </c:numRef>
          </c:val>
        </c:ser>
        <c:ser>
          <c:idx val="1"/>
          <c:order val="1"/>
          <c:tx>
            <c:strRef>
              <c:f>stat.600!$D$1</c:f>
              <c:strCache>
                <c:ptCount val="1"/>
                <c:pt idx="0">
                  <c:v>Valid (log10)</c:v>
                </c:pt>
              </c:strCache>
            </c:strRef>
          </c:tx>
          <c:marker>
            <c:symbol val="none"/>
          </c:marker>
          <c:val>
            <c:numRef>
              <c:f>stat.600!$D$2:$D$14232</c:f>
              <c:numCache>
                <c:formatCode>General</c:formatCode>
                <c:ptCount val="14231"/>
                <c:pt idx="0">
                  <c:v>0.56956935667669617</c:v>
                </c:pt>
                <c:pt idx="1">
                  <c:v>0.44197980756432775</c:v>
                </c:pt>
                <c:pt idx="2">
                  <c:v>0.5696406086047664</c:v>
                </c:pt>
                <c:pt idx="3">
                  <c:v>0.55453010410854375</c:v>
                </c:pt>
                <c:pt idx="4">
                  <c:v>0.51660649453517071</c:v>
                </c:pt>
                <c:pt idx="5">
                  <c:v>0.54633792927760827</c:v>
                </c:pt>
                <c:pt idx="6">
                  <c:v>0.54065150925464456</c:v>
                </c:pt>
                <c:pt idx="7">
                  <c:v>0.55161355955688474</c:v>
                </c:pt>
                <c:pt idx="8">
                  <c:v>0.56099506393731424</c:v>
                </c:pt>
                <c:pt idx="9">
                  <c:v>0.55806709275787292</c:v>
                </c:pt>
                <c:pt idx="10">
                  <c:v>0.58291236268904301</c:v>
                </c:pt>
                <c:pt idx="11">
                  <c:v>0.43202483603108394</c:v>
                </c:pt>
                <c:pt idx="12">
                  <c:v>0.58181761004877564</c:v>
                </c:pt>
                <c:pt idx="13">
                  <c:v>0.57329373094751546</c:v>
                </c:pt>
                <c:pt idx="14">
                  <c:v>0.57294870004546861</c:v>
                </c:pt>
                <c:pt idx="15">
                  <c:v>0.33013910686999731</c:v>
                </c:pt>
                <c:pt idx="16">
                  <c:v>0.55499330304423966</c:v>
                </c:pt>
                <c:pt idx="17">
                  <c:v>0.55351699753581574</c:v>
                </c:pt>
                <c:pt idx="18">
                  <c:v>0.56166512318710182</c:v>
                </c:pt>
                <c:pt idx="19">
                  <c:v>0.57240512386686027</c:v>
                </c:pt>
                <c:pt idx="20">
                  <c:v>0.50284045897664509</c:v>
                </c:pt>
                <c:pt idx="21">
                  <c:v>0.51562087295833814</c:v>
                </c:pt>
                <c:pt idx="22">
                  <c:v>0.52253890720858909</c:v>
                </c:pt>
                <c:pt idx="23">
                  <c:v>0.51674856874259822</c:v>
                </c:pt>
                <c:pt idx="24">
                  <c:v>0.51529192311792194</c:v>
                </c:pt>
                <c:pt idx="25">
                  <c:v>0.52560656323047483</c:v>
                </c:pt>
                <c:pt idx="26">
                  <c:v>0.3661660404258299</c:v>
                </c:pt>
                <c:pt idx="27">
                  <c:v>0.45549337913856103</c:v>
                </c:pt>
                <c:pt idx="28">
                  <c:v>0.51610284718213617</c:v>
                </c:pt>
                <c:pt idx="29">
                  <c:v>0.51884966448043801</c:v>
                </c:pt>
                <c:pt idx="30">
                  <c:v>0.51128857175774312</c:v>
                </c:pt>
                <c:pt idx="31">
                  <c:v>0.53041576680255698</c:v>
                </c:pt>
                <c:pt idx="32">
                  <c:v>0.50606239477518855</c:v>
                </c:pt>
                <c:pt idx="33">
                  <c:v>0.44163466004673707</c:v>
                </c:pt>
                <c:pt idx="34">
                  <c:v>0.52731908225638235</c:v>
                </c:pt>
                <c:pt idx="35">
                  <c:v>0.5104892453597577</c:v>
                </c:pt>
                <c:pt idx="36">
                  <c:v>0.52927105817863807</c:v>
                </c:pt>
                <c:pt idx="37">
                  <c:v>0.55890479850830321</c:v>
                </c:pt>
                <c:pt idx="38">
                  <c:v>0.5635718505753351</c:v>
                </c:pt>
                <c:pt idx="39">
                  <c:v>0.1117714692948945</c:v>
                </c:pt>
                <c:pt idx="40">
                  <c:v>0.4711772535128953</c:v>
                </c:pt>
                <c:pt idx="41">
                  <c:v>0.55744752742847414</c:v>
                </c:pt>
                <c:pt idx="42">
                  <c:v>0.53354837343802397</c:v>
                </c:pt>
                <c:pt idx="43">
                  <c:v>0.52218253463514053</c:v>
                </c:pt>
                <c:pt idx="44">
                  <c:v>0.51551646301507681</c:v>
                </c:pt>
                <c:pt idx="45">
                  <c:v>0.51186625612090464</c:v>
                </c:pt>
                <c:pt idx="46">
                  <c:v>0.45417171549733898</c:v>
                </c:pt>
                <c:pt idx="47">
                  <c:v>0.49515065784266693</c:v>
                </c:pt>
                <c:pt idx="48">
                  <c:v>0.49730182000742129</c:v>
                </c:pt>
                <c:pt idx="49">
                  <c:v>0.48357260629953136</c:v>
                </c:pt>
                <c:pt idx="50">
                  <c:v>0.47781354711127283</c:v>
                </c:pt>
                <c:pt idx="51">
                  <c:v>0.4588246687593513</c:v>
                </c:pt>
                <c:pt idx="52">
                  <c:v>0.44502008148829414</c:v>
                </c:pt>
                <c:pt idx="53">
                  <c:v>0.45535382907424093</c:v>
                </c:pt>
                <c:pt idx="54">
                  <c:v>0.45335595688356728</c:v>
                </c:pt>
                <c:pt idx="55">
                  <c:v>0.47411234158785193</c:v>
                </c:pt>
                <c:pt idx="56">
                  <c:v>0.42337860026847401</c:v>
                </c:pt>
                <c:pt idx="57">
                  <c:v>0.46061763995676969</c:v>
                </c:pt>
                <c:pt idx="58">
                  <c:v>0.44098633555269801</c:v>
                </c:pt>
                <c:pt idx="59">
                  <c:v>0.44967937779569739</c:v>
                </c:pt>
                <c:pt idx="60">
                  <c:v>0.43696654047305727</c:v>
                </c:pt>
                <c:pt idx="61">
                  <c:v>0.46063989442695563</c:v>
                </c:pt>
                <c:pt idx="62">
                  <c:v>0.46086042269258287</c:v>
                </c:pt>
                <c:pt idx="63">
                  <c:v>0.44186928971610584</c:v>
                </c:pt>
                <c:pt idx="64">
                  <c:v>0.42517966281797187</c:v>
                </c:pt>
                <c:pt idx="65">
                  <c:v>0.45426282032139176</c:v>
                </c:pt>
                <c:pt idx="66">
                  <c:v>0.46189137505214545</c:v>
                </c:pt>
                <c:pt idx="67">
                  <c:v>0.46589002531897877</c:v>
                </c:pt>
                <c:pt idx="68">
                  <c:v>0.46747550344919903</c:v>
                </c:pt>
                <c:pt idx="69">
                  <c:v>0.46662283459327314</c:v>
                </c:pt>
                <c:pt idx="70">
                  <c:v>0.45905291167539308</c:v>
                </c:pt>
                <c:pt idx="71">
                  <c:v>0.44697062386493486</c:v>
                </c:pt>
                <c:pt idx="72">
                  <c:v>0.4522760068236692</c:v>
                </c:pt>
                <c:pt idx="73">
                  <c:v>0.49846535562677818</c:v>
                </c:pt>
                <c:pt idx="74">
                  <c:v>0.47327802051196444</c:v>
                </c:pt>
                <c:pt idx="75">
                  <c:v>0.44886826145843728</c:v>
                </c:pt>
                <c:pt idx="76">
                  <c:v>0.44561369849717924</c:v>
                </c:pt>
                <c:pt idx="77">
                  <c:v>0.44909422969007096</c:v>
                </c:pt>
                <c:pt idx="78">
                  <c:v>0.4434642030738582</c:v>
                </c:pt>
                <c:pt idx="79">
                  <c:v>0.44915259471812458</c:v>
                </c:pt>
                <c:pt idx="80">
                  <c:v>0.46636440702872828</c:v>
                </c:pt>
                <c:pt idx="81">
                  <c:v>0.4681289465198189</c:v>
                </c:pt>
                <c:pt idx="82">
                  <c:v>0.45488645885602164</c:v>
                </c:pt>
                <c:pt idx="83">
                  <c:v>0.43276844333694969</c:v>
                </c:pt>
                <c:pt idx="84">
                  <c:v>0.4581073081838295</c:v>
                </c:pt>
                <c:pt idx="85">
                  <c:v>0.43207044549948614</c:v>
                </c:pt>
                <c:pt idx="86">
                  <c:v>0.42037035954295804</c:v>
                </c:pt>
                <c:pt idx="87">
                  <c:v>0.44747851545454098</c:v>
                </c:pt>
                <c:pt idx="88">
                  <c:v>0.47495582920410467</c:v>
                </c:pt>
                <c:pt idx="89">
                  <c:v>0.44262790563298615</c:v>
                </c:pt>
                <c:pt idx="90">
                  <c:v>0.43725781881387793</c:v>
                </c:pt>
                <c:pt idx="91">
                  <c:v>0.46273676519109042</c:v>
                </c:pt>
                <c:pt idx="92">
                  <c:v>0.46300722997959859</c:v>
                </c:pt>
                <c:pt idx="93">
                  <c:v>0.44872888408557349</c:v>
                </c:pt>
                <c:pt idx="94">
                  <c:v>0.47523173311318767</c:v>
                </c:pt>
                <c:pt idx="95">
                  <c:v>0.46742576720884516</c:v>
                </c:pt>
                <c:pt idx="96">
                  <c:v>0.5046473989198812</c:v>
                </c:pt>
                <c:pt idx="97">
                  <c:v>0.45837160155952827</c:v>
                </c:pt>
                <c:pt idx="98">
                  <c:v>0.44849298410480226</c:v>
                </c:pt>
                <c:pt idx="99">
                  <c:v>0.44370519486274895</c:v>
                </c:pt>
                <c:pt idx="100">
                  <c:v>0.43845041734676243</c:v>
                </c:pt>
                <c:pt idx="101">
                  <c:v>0.48571134959728396</c:v>
                </c:pt>
                <c:pt idx="102">
                  <c:v>0.42341365946466075</c:v>
                </c:pt>
                <c:pt idx="103">
                  <c:v>0.47027594764224934</c:v>
                </c:pt>
                <c:pt idx="104">
                  <c:v>0.47563966814966263</c:v>
                </c:pt>
                <c:pt idx="105">
                  <c:v>0.48335133038922234</c:v>
                </c:pt>
                <c:pt idx="106">
                  <c:v>0.4732320118239885</c:v>
                </c:pt>
                <c:pt idx="107">
                  <c:v>0.47070663351192887</c:v>
                </c:pt>
                <c:pt idx="108">
                  <c:v>0.47744960195847419</c:v>
                </c:pt>
                <c:pt idx="109">
                  <c:v>0.47071353864548854</c:v>
                </c:pt>
                <c:pt idx="110">
                  <c:v>0.49720935980533076</c:v>
                </c:pt>
                <c:pt idx="111">
                  <c:v>0.47191438900623262</c:v>
                </c:pt>
                <c:pt idx="112">
                  <c:v>0.45163954856013627</c:v>
                </c:pt>
                <c:pt idx="113">
                  <c:v>0.48206595970395788</c:v>
                </c:pt>
                <c:pt idx="114">
                  <c:v>0.33039591414348146</c:v>
                </c:pt>
                <c:pt idx="115">
                  <c:v>0.46970231086760361</c:v>
                </c:pt>
                <c:pt idx="116">
                  <c:v>0.46576180135696293</c:v>
                </c:pt>
                <c:pt idx="117">
                  <c:v>0.47176712059004661</c:v>
                </c:pt>
                <c:pt idx="118">
                  <c:v>0.49142585260224547</c:v>
                </c:pt>
                <c:pt idx="119">
                  <c:v>0.48523903502779242</c:v>
                </c:pt>
                <c:pt idx="120">
                  <c:v>0.47859852543427989</c:v>
                </c:pt>
                <c:pt idx="121">
                  <c:v>0.46809362243428876</c:v>
                </c:pt>
                <c:pt idx="122">
                  <c:v>0.45761972770825182</c:v>
                </c:pt>
                <c:pt idx="123">
                  <c:v>0.47929624714981123</c:v>
                </c:pt>
                <c:pt idx="124">
                  <c:v>0.44570210307316277</c:v>
                </c:pt>
                <c:pt idx="125">
                  <c:v>0.47432657252351057</c:v>
                </c:pt>
                <c:pt idx="126">
                  <c:v>0.49431074492013805</c:v>
                </c:pt>
                <c:pt idx="127">
                  <c:v>0.4771114105998388</c:v>
                </c:pt>
                <c:pt idx="128">
                  <c:v>0.44817139109290671</c:v>
                </c:pt>
                <c:pt idx="129">
                  <c:v>0.46809184876428317</c:v>
                </c:pt>
                <c:pt idx="130">
                  <c:v>0.47771322875840194</c:v>
                </c:pt>
                <c:pt idx="131">
                  <c:v>0.49352747679468262</c:v>
                </c:pt>
                <c:pt idx="132">
                  <c:v>0.46838588341511112</c:v>
                </c:pt>
                <c:pt idx="133">
                  <c:v>0.50675917588991237</c:v>
                </c:pt>
                <c:pt idx="134">
                  <c:v>0.49738735235131842</c:v>
                </c:pt>
                <c:pt idx="135">
                  <c:v>0.53627151145160901</c:v>
                </c:pt>
                <c:pt idx="136">
                  <c:v>0.48408805135604499</c:v>
                </c:pt>
                <c:pt idx="137">
                  <c:v>0.46619490661771851</c:v>
                </c:pt>
                <c:pt idx="138">
                  <c:v>0.46614383573287144</c:v>
                </c:pt>
                <c:pt idx="139">
                  <c:v>0.50605955068978603</c:v>
                </c:pt>
                <c:pt idx="140">
                  <c:v>0.48508385154159295</c:v>
                </c:pt>
                <c:pt idx="141">
                  <c:v>0.5204009892941529</c:v>
                </c:pt>
                <c:pt idx="142">
                  <c:v>0.40957421741059824</c:v>
                </c:pt>
                <c:pt idx="143">
                  <c:v>0.42798341278056212</c:v>
                </c:pt>
                <c:pt idx="144">
                  <c:v>0.52596492486655988</c:v>
                </c:pt>
                <c:pt idx="145">
                  <c:v>0.51503503119562799</c:v>
                </c:pt>
                <c:pt idx="146">
                  <c:v>0.51858565834755177</c:v>
                </c:pt>
                <c:pt idx="147">
                  <c:v>0.42886777629778278</c:v>
                </c:pt>
                <c:pt idx="148">
                  <c:v>0.43718973908397246</c:v>
                </c:pt>
                <c:pt idx="149">
                  <c:v>0.52384527706898132</c:v>
                </c:pt>
                <c:pt idx="150">
                  <c:v>0.51015235922801161</c:v>
                </c:pt>
                <c:pt idx="151">
                  <c:v>0.5162961485938472</c:v>
                </c:pt>
                <c:pt idx="152">
                  <c:v>0.35759241941466541</c:v>
                </c:pt>
                <c:pt idx="153">
                  <c:v>0.42535224820493212</c:v>
                </c:pt>
                <c:pt idx="154">
                  <c:v>0.52202369028411222</c:v>
                </c:pt>
                <c:pt idx="155">
                  <c:v>0.52747097414122246</c:v>
                </c:pt>
                <c:pt idx="156">
                  <c:v>0.52589118011549196</c:v>
                </c:pt>
                <c:pt idx="157">
                  <c:v>0.2265859869415901</c:v>
                </c:pt>
                <c:pt idx="158">
                  <c:v>0.41113312466239466</c:v>
                </c:pt>
                <c:pt idx="159">
                  <c:v>0.52005138148096253</c:v>
                </c:pt>
                <c:pt idx="160">
                  <c:v>0.52560151377113062</c:v>
                </c:pt>
                <c:pt idx="161">
                  <c:v>0.53613606260604729</c:v>
                </c:pt>
                <c:pt idx="162">
                  <c:v>0.40605878356726066</c:v>
                </c:pt>
                <c:pt idx="163">
                  <c:v>0.41505318400240365</c:v>
                </c:pt>
                <c:pt idx="164">
                  <c:v>0.55470255997233719</c:v>
                </c:pt>
                <c:pt idx="165">
                  <c:v>0.55309451562837209</c:v>
                </c:pt>
                <c:pt idx="166">
                  <c:v>0.51857592112174833</c:v>
                </c:pt>
                <c:pt idx="167">
                  <c:v>0.39178027571723639</c:v>
                </c:pt>
                <c:pt idx="168">
                  <c:v>0.4425866832812016</c:v>
                </c:pt>
                <c:pt idx="169">
                  <c:v>0.51570565444366212</c:v>
                </c:pt>
                <c:pt idx="170">
                  <c:v>0.51432762778402319</c:v>
                </c:pt>
                <c:pt idx="171">
                  <c:v>0.50873638049983783</c:v>
                </c:pt>
                <c:pt idx="172">
                  <c:v>0.4442222267661276</c:v>
                </c:pt>
                <c:pt idx="173">
                  <c:v>0.43788447605461223</c:v>
                </c:pt>
                <c:pt idx="174">
                  <c:v>0.50200928618066276</c:v>
                </c:pt>
                <c:pt idx="175">
                  <c:v>0.50038688706679435</c:v>
                </c:pt>
                <c:pt idx="176">
                  <c:v>0.46698188554122527</c:v>
                </c:pt>
                <c:pt idx="177">
                  <c:v>0.47375490913213208</c:v>
                </c:pt>
                <c:pt idx="178">
                  <c:v>0.4599011286316253</c:v>
                </c:pt>
                <c:pt idx="179">
                  <c:v>0.44869534648950227</c:v>
                </c:pt>
                <c:pt idx="180">
                  <c:v>0.38943650357715998</c:v>
                </c:pt>
                <c:pt idx="181">
                  <c:v>0.4037413072174299</c:v>
                </c:pt>
                <c:pt idx="182">
                  <c:v>0.4614443491440296</c:v>
                </c:pt>
                <c:pt idx="183">
                  <c:v>0.48173134550919616</c:v>
                </c:pt>
                <c:pt idx="184">
                  <c:v>0.43163374705082475</c:v>
                </c:pt>
                <c:pt idx="185">
                  <c:v>0.44206534539588466</c:v>
                </c:pt>
                <c:pt idx="186">
                  <c:v>0.45064979878671646</c:v>
                </c:pt>
                <c:pt idx="187">
                  <c:v>0.44173440099781658</c:v>
                </c:pt>
                <c:pt idx="188">
                  <c:v>0.46574337440903668</c:v>
                </c:pt>
                <c:pt idx="189">
                  <c:v>0.46247915845597876</c:v>
                </c:pt>
                <c:pt idx="190">
                  <c:v>0.44498812683807182</c:v>
                </c:pt>
                <c:pt idx="191">
                  <c:v>0.43145720784401281</c:v>
                </c:pt>
                <c:pt idx="192">
                  <c:v>0.49746899998742072</c:v>
                </c:pt>
                <c:pt idx="193">
                  <c:v>0.53280468291786964</c:v>
                </c:pt>
                <c:pt idx="194">
                  <c:v>0.55563582985662574</c:v>
                </c:pt>
                <c:pt idx="195">
                  <c:v>0.54760230670725252</c:v>
                </c:pt>
                <c:pt idx="196">
                  <c:v>0.54546942070950077</c:v>
                </c:pt>
                <c:pt idx="197">
                  <c:v>0.52908819988265143</c:v>
                </c:pt>
                <c:pt idx="198">
                  <c:v>0.54786401569244925</c:v>
                </c:pt>
                <c:pt idx="199">
                  <c:v>0.51326209299025938</c:v>
                </c:pt>
                <c:pt idx="200">
                  <c:v>0.50959092786991211</c:v>
                </c:pt>
                <c:pt idx="201">
                  <c:v>0.49228128376785263</c:v>
                </c:pt>
                <c:pt idx="202">
                  <c:v>0.50658403704935018</c:v>
                </c:pt>
                <c:pt idx="203">
                  <c:v>0.49369820589661362</c:v>
                </c:pt>
                <c:pt idx="204">
                  <c:v>0.54386698151194746</c:v>
                </c:pt>
                <c:pt idx="205">
                  <c:v>0.51308462698514956</c:v>
                </c:pt>
                <c:pt idx="206">
                  <c:v>0.49821292996315075</c:v>
                </c:pt>
                <c:pt idx="207">
                  <c:v>0.50142038476497131</c:v>
                </c:pt>
                <c:pt idx="208">
                  <c:v>0.4671624847439112</c:v>
                </c:pt>
                <c:pt idx="209">
                  <c:v>0.48723781328491361</c:v>
                </c:pt>
                <c:pt idx="210">
                  <c:v>0.46389507837014127</c:v>
                </c:pt>
                <c:pt idx="211">
                  <c:v>0.47643032193623919</c:v>
                </c:pt>
                <c:pt idx="212">
                  <c:v>0.48136880649970293</c:v>
                </c:pt>
                <c:pt idx="213">
                  <c:v>0.48089547425664886</c:v>
                </c:pt>
                <c:pt idx="214">
                  <c:v>0.47660341185270189</c:v>
                </c:pt>
                <c:pt idx="215">
                  <c:v>0.48403320037310055</c:v>
                </c:pt>
                <c:pt idx="216">
                  <c:v>0.504103561866864</c:v>
                </c:pt>
                <c:pt idx="217">
                  <c:v>0.50639556557713017</c:v>
                </c:pt>
                <c:pt idx="218">
                  <c:v>0.51135627545783846</c:v>
                </c:pt>
                <c:pt idx="219">
                  <c:v>0.52389792335441143</c:v>
                </c:pt>
                <c:pt idx="220">
                  <c:v>0.53354608515579882</c:v>
                </c:pt>
                <c:pt idx="221">
                  <c:v>0.52827467792503502</c:v>
                </c:pt>
                <c:pt idx="222">
                  <c:v>0.51039472367739258</c:v>
                </c:pt>
                <c:pt idx="223">
                  <c:v>0.52669884324588234</c:v>
                </c:pt>
                <c:pt idx="224">
                  <c:v>0.50556263340270735</c:v>
                </c:pt>
                <c:pt idx="225">
                  <c:v>0.54437206813241001</c:v>
                </c:pt>
                <c:pt idx="226">
                  <c:v>0.5256957606664403</c:v>
                </c:pt>
                <c:pt idx="227">
                  <c:v>0.53507185127506773</c:v>
                </c:pt>
                <c:pt idx="228">
                  <c:v>0.52123801226214739</c:v>
                </c:pt>
                <c:pt idx="229">
                  <c:v>0.53678070911037823</c:v>
                </c:pt>
                <c:pt idx="230">
                  <c:v>0.53372885549751514</c:v>
                </c:pt>
                <c:pt idx="231">
                  <c:v>0.54442997101328583</c:v>
                </c:pt>
                <c:pt idx="232">
                  <c:v>0.55605789997812394</c:v>
                </c:pt>
                <c:pt idx="233">
                  <c:v>0.53926935448823377</c:v>
                </c:pt>
                <c:pt idx="234">
                  <c:v>0.53534121881450658</c:v>
                </c:pt>
                <c:pt idx="235">
                  <c:v>0.526614501843228</c:v>
                </c:pt>
                <c:pt idx="236">
                  <c:v>0.5341337774215974</c:v>
                </c:pt>
                <c:pt idx="237">
                  <c:v>0.52163279289302289</c:v>
                </c:pt>
                <c:pt idx="238">
                  <c:v>0.48396865255202937</c:v>
                </c:pt>
                <c:pt idx="239">
                  <c:v>0.51227364970185985</c:v>
                </c:pt>
                <c:pt idx="240">
                  <c:v>0.50549619013560443</c:v>
                </c:pt>
                <c:pt idx="241">
                  <c:v>0.4985608558615644</c:v>
                </c:pt>
                <c:pt idx="242">
                  <c:v>0.5245843405045223</c:v>
                </c:pt>
                <c:pt idx="243">
                  <c:v>0.51997649447267047</c:v>
                </c:pt>
                <c:pt idx="244">
                  <c:v>0.49772751864374859</c:v>
                </c:pt>
                <c:pt idx="245">
                  <c:v>0.52253460430618859</c:v>
                </c:pt>
                <c:pt idx="246">
                  <c:v>0.54735386335403369</c:v>
                </c:pt>
                <c:pt idx="247">
                  <c:v>0.5245949821430379</c:v>
                </c:pt>
                <c:pt idx="248">
                  <c:v>0.52545311113540272</c:v>
                </c:pt>
                <c:pt idx="249">
                  <c:v>0.51256687004665691</c:v>
                </c:pt>
                <c:pt idx="250">
                  <c:v>0.51439180364826675</c:v>
                </c:pt>
                <c:pt idx="251">
                  <c:v>0.51709793963706474</c:v>
                </c:pt>
                <c:pt idx="252">
                  <c:v>0.52430769619884388</c:v>
                </c:pt>
                <c:pt idx="253">
                  <c:v>0.5422715662418276</c:v>
                </c:pt>
                <c:pt idx="254">
                  <c:v>0.5375027631603303</c:v>
                </c:pt>
                <c:pt idx="255">
                  <c:v>0.54855597835833447</c:v>
                </c:pt>
                <c:pt idx="256">
                  <c:v>0.52453294550646645</c:v>
                </c:pt>
                <c:pt idx="257">
                  <c:v>0.56870005506875121</c:v>
                </c:pt>
                <c:pt idx="258">
                  <c:v>0.52677451699427202</c:v>
                </c:pt>
                <c:pt idx="259">
                  <c:v>0.53150088667799467</c:v>
                </c:pt>
                <c:pt idx="260">
                  <c:v>0.50477510186492691</c:v>
                </c:pt>
                <c:pt idx="261">
                  <c:v>0.49789950295835461</c:v>
                </c:pt>
                <c:pt idx="262">
                  <c:v>0.48044015846086957</c:v>
                </c:pt>
                <c:pt idx="263">
                  <c:v>0.47865565387983955</c:v>
                </c:pt>
                <c:pt idx="264">
                  <c:v>0.4824798257860542</c:v>
                </c:pt>
                <c:pt idx="265">
                  <c:v>0.49735584966729396</c:v>
                </c:pt>
                <c:pt idx="266">
                  <c:v>0.48205908960450528</c:v>
                </c:pt>
                <c:pt idx="267">
                  <c:v>0.49104454308837175</c:v>
                </c:pt>
                <c:pt idx="268">
                  <c:v>0.47630850878436065</c:v>
                </c:pt>
                <c:pt idx="269">
                  <c:v>0.4795891290702351</c:v>
                </c:pt>
                <c:pt idx="270">
                  <c:v>0.47631460025348393</c:v>
                </c:pt>
                <c:pt idx="271">
                  <c:v>0.46731694932125395</c:v>
                </c:pt>
                <c:pt idx="272">
                  <c:v>0.49019734596246911</c:v>
                </c:pt>
                <c:pt idx="273">
                  <c:v>0.48394912957751451</c:v>
                </c:pt>
                <c:pt idx="274">
                  <c:v>0.45376586088683485</c:v>
                </c:pt>
                <c:pt idx="275">
                  <c:v>0.48209157849156115</c:v>
                </c:pt>
                <c:pt idx="276">
                  <c:v>0.47851382878394905</c:v>
                </c:pt>
                <c:pt idx="277">
                  <c:v>0.47950246581370842</c:v>
                </c:pt>
                <c:pt idx="278">
                  <c:v>0.50194653540685485</c:v>
                </c:pt>
                <c:pt idx="279">
                  <c:v>0.51406099047108245</c:v>
                </c:pt>
                <c:pt idx="280">
                  <c:v>0.51614254648395763</c:v>
                </c:pt>
                <c:pt idx="281">
                  <c:v>0.52298604619033429</c:v>
                </c:pt>
                <c:pt idx="282">
                  <c:v>0.51705634687883062</c:v>
                </c:pt>
                <c:pt idx="283">
                  <c:v>0.53216876934884083</c:v>
                </c:pt>
                <c:pt idx="284">
                  <c:v>0.53542730014358964</c:v>
                </c:pt>
                <c:pt idx="285">
                  <c:v>0.51958781894728778</c:v>
                </c:pt>
                <c:pt idx="286">
                  <c:v>0.51900875359699505</c:v>
                </c:pt>
                <c:pt idx="287">
                  <c:v>0.52165983922289505</c:v>
                </c:pt>
                <c:pt idx="288">
                  <c:v>0.51030259551940682</c:v>
                </c:pt>
                <c:pt idx="289">
                  <c:v>0.53023556765242708</c:v>
                </c:pt>
                <c:pt idx="290">
                  <c:v>0.52831405209146076</c:v>
                </c:pt>
                <c:pt idx="291">
                  <c:v>0.54339598126232735</c:v>
                </c:pt>
                <c:pt idx="292">
                  <c:v>0.52477974170988084</c:v>
                </c:pt>
                <c:pt idx="293">
                  <c:v>0.51515374820716064</c:v>
                </c:pt>
                <c:pt idx="294">
                  <c:v>0.50499441875202633</c:v>
                </c:pt>
                <c:pt idx="295">
                  <c:v>0.49675921629151137</c:v>
                </c:pt>
                <c:pt idx="296">
                  <c:v>0.51580419212133177</c:v>
                </c:pt>
                <c:pt idx="297">
                  <c:v>0.51192104274221129</c:v>
                </c:pt>
                <c:pt idx="298">
                  <c:v>0.52008901683525333</c:v>
                </c:pt>
                <c:pt idx="299">
                  <c:v>0.51124481296100655</c:v>
                </c:pt>
                <c:pt idx="300">
                  <c:v>0.52180392726446267</c:v>
                </c:pt>
                <c:pt idx="301">
                  <c:v>0.52267123323813403</c:v>
                </c:pt>
                <c:pt idx="302">
                  <c:v>0.53231617009215026</c:v>
                </c:pt>
                <c:pt idx="303">
                  <c:v>0.52749404983835557</c:v>
                </c:pt>
                <c:pt idx="304">
                  <c:v>0.53116151064230932</c:v>
                </c:pt>
                <c:pt idx="305">
                  <c:v>0.5390547601003699</c:v>
                </c:pt>
                <c:pt idx="306">
                  <c:v>0.51071668344175258</c:v>
                </c:pt>
                <c:pt idx="307">
                  <c:v>0.50432226622486886</c:v>
                </c:pt>
                <c:pt idx="308">
                  <c:v>0.44725310040643407</c:v>
                </c:pt>
                <c:pt idx="309">
                  <c:v>0.48563101001634607</c:v>
                </c:pt>
                <c:pt idx="310">
                  <c:v>0.47991532879651866</c:v>
                </c:pt>
                <c:pt idx="311">
                  <c:v>0.47934881916713462</c:v>
                </c:pt>
                <c:pt idx="312">
                  <c:v>0.50389359457106919</c:v>
                </c:pt>
                <c:pt idx="313">
                  <c:v>0.50344419843366828</c:v>
                </c:pt>
                <c:pt idx="314">
                  <c:v>0.50955049076103054</c:v>
                </c:pt>
                <c:pt idx="315">
                  <c:v>0.45903419785566063</c:v>
                </c:pt>
                <c:pt idx="316">
                  <c:v>0.44333591150833068</c:v>
                </c:pt>
                <c:pt idx="317">
                  <c:v>0.44987872207750296</c:v>
                </c:pt>
                <c:pt idx="318">
                  <c:v>0.50176178496026769</c:v>
                </c:pt>
                <c:pt idx="319">
                  <c:v>0.44177272056337702</c:v>
                </c:pt>
                <c:pt idx="320">
                  <c:v>0.4647692002536446</c:v>
                </c:pt>
                <c:pt idx="321">
                  <c:v>0.4816512690592315</c:v>
                </c:pt>
                <c:pt idx="322">
                  <c:v>0.49961313631353532</c:v>
                </c:pt>
                <c:pt idx="323">
                  <c:v>0.4903574534934988</c:v>
                </c:pt>
                <c:pt idx="324">
                  <c:v>0.43044788538572015</c:v>
                </c:pt>
                <c:pt idx="325">
                  <c:v>0.46843314679486053</c:v>
                </c:pt>
                <c:pt idx="326">
                  <c:v>0.53531741684783851</c:v>
                </c:pt>
                <c:pt idx="327">
                  <c:v>0.5177680240244491</c:v>
                </c:pt>
                <c:pt idx="328">
                  <c:v>0.53678474697320921</c:v>
                </c:pt>
                <c:pt idx="329">
                  <c:v>0.55819791442697464</c:v>
                </c:pt>
                <c:pt idx="330">
                  <c:v>0.54586379479696512</c:v>
                </c:pt>
                <c:pt idx="331">
                  <c:v>0.54506156550810325</c:v>
                </c:pt>
                <c:pt idx="332">
                  <c:v>0.52518324064492083</c:v>
                </c:pt>
                <c:pt idx="333">
                  <c:v>0.51187774852161227</c:v>
                </c:pt>
                <c:pt idx="334">
                  <c:v>0.50106515323859224</c:v>
                </c:pt>
                <c:pt idx="335">
                  <c:v>0.50418341260309019</c:v>
                </c:pt>
                <c:pt idx="336">
                  <c:v>0.49313810281955345</c:v>
                </c:pt>
                <c:pt idx="337">
                  <c:v>0.50817607952019583</c:v>
                </c:pt>
                <c:pt idx="338">
                  <c:v>0.50616625884772837</c:v>
                </c:pt>
                <c:pt idx="339">
                  <c:v>0.52326743856740676</c:v>
                </c:pt>
                <c:pt idx="340">
                  <c:v>0.52362097138357144</c:v>
                </c:pt>
                <c:pt idx="341">
                  <c:v>0.54625213188602573</c:v>
                </c:pt>
                <c:pt idx="342">
                  <c:v>0.48588858349155351</c:v>
                </c:pt>
                <c:pt idx="343">
                  <c:v>0.46913720490322053</c:v>
                </c:pt>
                <c:pt idx="344">
                  <c:v>0.47137445388159349</c:v>
                </c:pt>
                <c:pt idx="345">
                  <c:v>0.52342830110290928</c:v>
                </c:pt>
                <c:pt idx="346">
                  <c:v>0.46875174497887179</c:v>
                </c:pt>
                <c:pt idx="347">
                  <c:v>0.48781941476674745</c:v>
                </c:pt>
                <c:pt idx="348">
                  <c:v>0.50637391250339137</c:v>
                </c:pt>
                <c:pt idx="349">
                  <c:v>0.52684785371072496</c:v>
                </c:pt>
                <c:pt idx="350">
                  <c:v>0.50634860410516336</c:v>
                </c:pt>
                <c:pt idx="351">
                  <c:v>0.46096741446578682</c:v>
                </c:pt>
                <c:pt idx="352">
                  <c:v>0.48881346976437895</c:v>
                </c:pt>
                <c:pt idx="353">
                  <c:v>0.57505303101054095</c:v>
                </c:pt>
                <c:pt idx="354">
                  <c:v>0.55789825174043361</c:v>
                </c:pt>
                <c:pt idx="355">
                  <c:v>0.55829099125192128</c:v>
                </c:pt>
                <c:pt idx="356">
                  <c:v>0.58042701846924072</c:v>
                </c:pt>
                <c:pt idx="357">
                  <c:v>0.57370861186477928</c:v>
                </c:pt>
                <c:pt idx="358">
                  <c:v>0.58427388013851855</c:v>
                </c:pt>
                <c:pt idx="359">
                  <c:v>0.54931157525280283</c:v>
                </c:pt>
                <c:pt idx="360">
                  <c:v>0.52855266550901692</c:v>
                </c:pt>
                <c:pt idx="361">
                  <c:v>0.52027137753119135</c:v>
                </c:pt>
                <c:pt idx="362">
                  <c:v>0.52066808505364437</c:v>
                </c:pt>
                <c:pt idx="363">
                  <c:v>0.50894307827094742</c:v>
                </c:pt>
                <c:pt idx="364">
                  <c:v>0.50936397456847271</c:v>
                </c:pt>
                <c:pt idx="365">
                  <c:v>0.55348882866857296</c:v>
                </c:pt>
                <c:pt idx="366">
                  <c:v>0.57323920343303458</c:v>
                </c:pt>
                <c:pt idx="367">
                  <c:v>0.56218076631881797</c:v>
                </c:pt>
                <c:pt idx="368">
                  <c:v>0.56432831928955351</c:v>
                </c:pt>
                <c:pt idx="369">
                  <c:v>0.53854759492644289</c:v>
                </c:pt>
                <c:pt idx="370">
                  <c:v>0.56719769625270366</c:v>
                </c:pt>
                <c:pt idx="371">
                  <c:v>0.5217648727628984</c:v>
                </c:pt>
                <c:pt idx="372">
                  <c:v>0.51927736357250587</c:v>
                </c:pt>
                <c:pt idx="373">
                  <c:v>0.49584601884284241</c:v>
                </c:pt>
                <c:pt idx="374">
                  <c:v>0.51386469611093533</c:v>
                </c:pt>
                <c:pt idx="375">
                  <c:v>0.50504695687929746</c:v>
                </c:pt>
                <c:pt idx="376">
                  <c:v>0.55567219596208817</c:v>
                </c:pt>
                <c:pt idx="377">
                  <c:v>0.52749082704928962</c:v>
                </c:pt>
                <c:pt idx="378">
                  <c:v>0.5134625210398881</c:v>
                </c:pt>
                <c:pt idx="379">
                  <c:v>0.51631202168360923</c:v>
                </c:pt>
                <c:pt idx="380">
                  <c:v>0.47931425198186572</c:v>
                </c:pt>
                <c:pt idx="381">
                  <c:v>0.50402641782671542</c:v>
                </c:pt>
                <c:pt idx="382">
                  <c:v>0.47681308585701654</c:v>
                </c:pt>
                <c:pt idx="383">
                  <c:v>0.49782414742843301</c:v>
                </c:pt>
                <c:pt idx="384">
                  <c:v>0.50156327185105709</c:v>
                </c:pt>
                <c:pt idx="385">
                  <c:v>0.49076742475383506</c:v>
                </c:pt>
                <c:pt idx="386">
                  <c:v>0.48339827712546168</c:v>
                </c:pt>
                <c:pt idx="387">
                  <c:v>0.4953673924107902</c:v>
                </c:pt>
                <c:pt idx="388">
                  <c:v>0.50929206112663017</c:v>
                </c:pt>
                <c:pt idx="389">
                  <c:v>0.51412081866879167</c:v>
                </c:pt>
                <c:pt idx="390">
                  <c:v>0.51509538859204207</c:v>
                </c:pt>
                <c:pt idx="391">
                  <c:v>0.52795105691635746</c:v>
                </c:pt>
                <c:pt idx="392">
                  <c:v>0.53694572616647507</c:v>
                </c:pt>
                <c:pt idx="393">
                  <c:v>0.53073934839894354</c:v>
                </c:pt>
                <c:pt idx="394">
                  <c:v>0.51639931330867461</c:v>
                </c:pt>
                <c:pt idx="395">
                  <c:v>0.52985302105949339</c:v>
                </c:pt>
                <c:pt idx="396">
                  <c:v>0.50825302903126457</c:v>
                </c:pt>
                <c:pt idx="397">
                  <c:v>0.54802167858387763</c:v>
                </c:pt>
                <c:pt idx="398">
                  <c:v>0.52873227870565054</c:v>
                </c:pt>
                <c:pt idx="399">
                  <c:v>0.53990586243091077</c:v>
                </c:pt>
                <c:pt idx="400">
                  <c:v>0.52183187715956969</c:v>
                </c:pt>
                <c:pt idx="401">
                  <c:v>0.5366536234312631</c:v>
                </c:pt>
                <c:pt idx="402">
                  <c:v>0.53590284505923613</c:v>
                </c:pt>
                <c:pt idx="403">
                  <c:v>0.54507926863293144</c:v>
                </c:pt>
                <c:pt idx="404">
                  <c:v>0.55315418362457991</c:v>
                </c:pt>
                <c:pt idx="405">
                  <c:v>0.53881092249206852</c:v>
                </c:pt>
                <c:pt idx="406">
                  <c:v>0.53409416558912381</c:v>
                </c:pt>
                <c:pt idx="407">
                  <c:v>0.5249543087880828</c:v>
                </c:pt>
                <c:pt idx="408">
                  <c:v>0.53211890189057998</c:v>
                </c:pt>
                <c:pt idx="409">
                  <c:v>0.52164337644008918</c:v>
                </c:pt>
                <c:pt idx="410">
                  <c:v>0.48344450542621153</c:v>
                </c:pt>
                <c:pt idx="411">
                  <c:v>0.51268959811622916</c:v>
                </c:pt>
                <c:pt idx="412">
                  <c:v>0.50724743341492184</c:v>
                </c:pt>
                <c:pt idx="413">
                  <c:v>0.49948500621774861</c:v>
                </c:pt>
                <c:pt idx="414">
                  <c:v>0.52657781532533032</c:v>
                </c:pt>
                <c:pt idx="415">
                  <c:v>0.51947949995793397</c:v>
                </c:pt>
                <c:pt idx="416">
                  <c:v>0.50070442063458809</c:v>
                </c:pt>
                <c:pt idx="417">
                  <c:v>0.52294136602978047</c:v>
                </c:pt>
                <c:pt idx="418">
                  <c:v>0.5512973581193128</c:v>
                </c:pt>
                <c:pt idx="419">
                  <c:v>0.52964282946952501</c:v>
                </c:pt>
                <c:pt idx="420">
                  <c:v>0.53449570283553915</c:v>
                </c:pt>
                <c:pt idx="421">
                  <c:v>0.52331677087336392</c:v>
                </c:pt>
                <c:pt idx="422">
                  <c:v>0.52341580905936969</c:v>
                </c:pt>
                <c:pt idx="423">
                  <c:v>0.5263359167647792</c:v>
                </c:pt>
                <c:pt idx="424">
                  <c:v>0.52822320304277814</c:v>
                </c:pt>
                <c:pt idx="425">
                  <c:v>0.54757338230924024</c:v>
                </c:pt>
                <c:pt idx="426">
                  <c:v>0.54681499915678888</c:v>
                </c:pt>
                <c:pt idx="427">
                  <c:v>0.55801374368666057</c:v>
                </c:pt>
                <c:pt idx="428">
                  <c:v>0.53373749641878254</c:v>
                </c:pt>
                <c:pt idx="429">
                  <c:v>0.57797878672480407</c:v>
                </c:pt>
                <c:pt idx="430">
                  <c:v>0.5382559391912205</c:v>
                </c:pt>
                <c:pt idx="431">
                  <c:v>0.53720813560622616</c:v>
                </c:pt>
                <c:pt idx="432">
                  <c:v>0.51087918112641773</c:v>
                </c:pt>
                <c:pt idx="433">
                  <c:v>0.50158598711407354</c:v>
                </c:pt>
                <c:pt idx="434">
                  <c:v>0.48115988674258947</c:v>
                </c:pt>
                <c:pt idx="435">
                  <c:v>0.48088083576504265</c:v>
                </c:pt>
                <c:pt idx="436">
                  <c:v>0.48681543458828624</c:v>
                </c:pt>
                <c:pt idx="437">
                  <c:v>0.49638893309018872</c:v>
                </c:pt>
                <c:pt idx="438">
                  <c:v>0.48905944539761448</c:v>
                </c:pt>
                <c:pt idx="439">
                  <c:v>0.49408025648574289</c:v>
                </c:pt>
                <c:pt idx="440">
                  <c:v>0.4781280842379661</c:v>
                </c:pt>
                <c:pt idx="441">
                  <c:v>0.48515249723040316</c:v>
                </c:pt>
                <c:pt idx="442">
                  <c:v>0.48043584855720867</c:v>
                </c:pt>
                <c:pt idx="443">
                  <c:v>0.4671205639766976</c:v>
                </c:pt>
                <c:pt idx="444">
                  <c:v>0.4959219956190612</c:v>
                </c:pt>
                <c:pt idx="445">
                  <c:v>0.50519218426395407</c:v>
                </c:pt>
                <c:pt idx="446">
                  <c:v>0.47089391472708947</c:v>
                </c:pt>
                <c:pt idx="447">
                  <c:v>0.49082998817123774</c:v>
                </c:pt>
                <c:pt idx="448">
                  <c:v>0.49040308737408844</c:v>
                </c:pt>
                <c:pt idx="449">
                  <c:v>0.49426134495764523</c:v>
                </c:pt>
                <c:pt idx="450">
                  <c:v>0.51774244813152281</c:v>
                </c:pt>
                <c:pt idx="451">
                  <c:v>0.52904504231426175</c:v>
                </c:pt>
                <c:pt idx="452">
                  <c:v>0.52812577012613371</c:v>
                </c:pt>
                <c:pt idx="453">
                  <c:v>0.53695846570185146</c:v>
                </c:pt>
                <c:pt idx="454">
                  <c:v>0.536923021117516</c:v>
                </c:pt>
                <c:pt idx="455">
                  <c:v>0.55429007788604434</c:v>
                </c:pt>
                <c:pt idx="456">
                  <c:v>0.56293847175707601</c:v>
                </c:pt>
                <c:pt idx="457">
                  <c:v>0.54284347033790203</c:v>
                </c:pt>
                <c:pt idx="458">
                  <c:v>0.54221275177686323</c:v>
                </c:pt>
                <c:pt idx="459">
                  <c:v>0.54600501477350027</c:v>
                </c:pt>
                <c:pt idx="460">
                  <c:v>0.53118362416070519</c:v>
                </c:pt>
                <c:pt idx="461">
                  <c:v>0.54837799241350793</c:v>
                </c:pt>
                <c:pt idx="462">
                  <c:v>0.54710441525792319</c:v>
                </c:pt>
                <c:pt idx="463">
                  <c:v>0.54488882932510707</c:v>
                </c:pt>
                <c:pt idx="464">
                  <c:v>0.54594077340847158</c:v>
                </c:pt>
                <c:pt idx="465">
                  <c:v>0.53078975831561304</c:v>
                </c:pt>
                <c:pt idx="466">
                  <c:v>0.53112316083111566</c:v>
                </c:pt>
                <c:pt idx="467">
                  <c:v>0.52317878253084682</c:v>
                </c:pt>
                <c:pt idx="468">
                  <c:v>0.54810565190873239</c:v>
                </c:pt>
                <c:pt idx="469">
                  <c:v>0.53838079685089524</c:v>
                </c:pt>
                <c:pt idx="470">
                  <c:v>0.54631027844419777</c:v>
                </c:pt>
                <c:pt idx="471">
                  <c:v>0.53731174429747197</c:v>
                </c:pt>
                <c:pt idx="472">
                  <c:v>0.55330386438918333</c:v>
                </c:pt>
                <c:pt idx="473">
                  <c:v>0.5597730858734471</c:v>
                </c:pt>
                <c:pt idx="474">
                  <c:v>0.55466611257926723</c:v>
                </c:pt>
                <c:pt idx="475">
                  <c:v>0.55258451207895465</c:v>
                </c:pt>
                <c:pt idx="476">
                  <c:v>0.55768124572920863</c:v>
                </c:pt>
                <c:pt idx="477">
                  <c:v>0.56569236535700074</c:v>
                </c:pt>
                <c:pt idx="478">
                  <c:v>0.5313732684469612</c:v>
                </c:pt>
                <c:pt idx="479">
                  <c:v>0.53251946531667227</c:v>
                </c:pt>
                <c:pt idx="480">
                  <c:v>0.52798067427208828</c:v>
                </c:pt>
                <c:pt idx="481">
                  <c:v>0.51221303236912363</c:v>
                </c:pt>
                <c:pt idx="482">
                  <c:v>0.5251740390307269</c:v>
                </c:pt>
                <c:pt idx="483">
                  <c:v>0.51868551810296781</c:v>
                </c:pt>
                <c:pt idx="484">
                  <c:v>0.51659750595236253</c:v>
                </c:pt>
                <c:pt idx="485">
                  <c:v>0.53987917717359657</c:v>
                </c:pt>
                <c:pt idx="486">
                  <c:v>0.5451352206182728</c:v>
                </c:pt>
                <c:pt idx="487">
                  <c:v>0.4941608578359909</c:v>
                </c:pt>
                <c:pt idx="488">
                  <c:v>0.51685902410150064</c:v>
                </c:pt>
                <c:pt idx="489">
                  <c:v>0.5225056564000814</c:v>
                </c:pt>
                <c:pt idx="490">
                  <c:v>0.49007778860629331</c:v>
                </c:pt>
                <c:pt idx="491">
                  <c:v>0.5229080157420144</c:v>
                </c:pt>
                <c:pt idx="492">
                  <c:v>0.52447985691317511</c:v>
                </c:pt>
                <c:pt idx="493">
                  <c:v>0.54211940484461951</c:v>
                </c:pt>
                <c:pt idx="494">
                  <c:v>0.50850695999745965</c:v>
                </c:pt>
                <c:pt idx="495">
                  <c:v>0.50725945386901772</c:v>
                </c:pt>
                <c:pt idx="496">
                  <c:v>0.53880627544109372</c:v>
                </c:pt>
                <c:pt idx="497">
                  <c:v>0.5645184737216149</c:v>
                </c:pt>
                <c:pt idx="498">
                  <c:v>0.51090784299975978</c:v>
                </c:pt>
                <c:pt idx="499">
                  <c:v>0.52878690649781868</c:v>
                </c:pt>
                <c:pt idx="500">
                  <c:v>0.53108889880234789</c:v>
                </c:pt>
                <c:pt idx="501">
                  <c:v>0.56728451221194121</c:v>
                </c:pt>
                <c:pt idx="502">
                  <c:v>0.53084246496583221</c:v>
                </c:pt>
                <c:pt idx="503">
                  <c:v>0.55189967465505296</c:v>
                </c:pt>
                <c:pt idx="504">
                  <c:v>0.54694777486479207</c:v>
                </c:pt>
                <c:pt idx="505">
                  <c:v>0.54798060811749383</c:v>
                </c:pt>
                <c:pt idx="506">
                  <c:v>0.53608184595985142</c:v>
                </c:pt>
                <c:pt idx="507">
                  <c:v>0.56949914629893561</c:v>
                </c:pt>
                <c:pt idx="508">
                  <c:v>0.55420717077387105</c:v>
                </c:pt>
                <c:pt idx="509">
                  <c:v>0.52387777552987613</c:v>
                </c:pt>
                <c:pt idx="510">
                  <c:v>0.550714979486706</c:v>
                </c:pt>
                <c:pt idx="511">
                  <c:v>0.54661878172061473</c:v>
                </c:pt>
                <c:pt idx="512">
                  <c:v>0.5424830829448255</c:v>
                </c:pt>
                <c:pt idx="513">
                  <c:v>0.53072552943041218</c:v>
                </c:pt>
                <c:pt idx="514">
                  <c:v>0.55418947217666037</c:v>
                </c:pt>
                <c:pt idx="515">
                  <c:v>0.54572487751271403</c:v>
                </c:pt>
                <c:pt idx="516">
                  <c:v>0.55273487580737357</c:v>
                </c:pt>
                <c:pt idx="517">
                  <c:v>0.51881507789499237</c:v>
                </c:pt>
                <c:pt idx="518">
                  <c:v>0.51291428735295141</c:v>
                </c:pt>
                <c:pt idx="519">
                  <c:v>0.5533106668347102</c:v>
                </c:pt>
                <c:pt idx="520">
                  <c:v>0.52718752004031055</c:v>
                </c:pt>
                <c:pt idx="521">
                  <c:v>0.51331963396232139</c:v>
                </c:pt>
                <c:pt idx="522">
                  <c:v>0.49266067138676073</c:v>
                </c:pt>
                <c:pt idx="523">
                  <c:v>0.48451935176032068</c:v>
                </c:pt>
                <c:pt idx="524">
                  <c:v>0.49983095319133614</c:v>
                </c:pt>
                <c:pt idx="525">
                  <c:v>0.49683475681096212</c:v>
                </c:pt>
                <c:pt idx="526">
                  <c:v>0.47472502322086102</c:v>
                </c:pt>
                <c:pt idx="527">
                  <c:v>0.47385395803082503</c:v>
                </c:pt>
                <c:pt idx="528">
                  <c:v>0.49551728001861867</c:v>
                </c:pt>
                <c:pt idx="529">
                  <c:v>0.49719802551139847</c:v>
                </c:pt>
                <c:pt idx="530">
                  <c:v>0.50728241336230484</c:v>
                </c:pt>
                <c:pt idx="531">
                  <c:v>0.50493006106718974</c:v>
                </c:pt>
                <c:pt idx="532">
                  <c:v>0.52266745305390361</c:v>
                </c:pt>
                <c:pt idx="533">
                  <c:v>0.52342712998909147</c:v>
                </c:pt>
                <c:pt idx="534">
                  <c:v>0.5203011300620709</c:v>
                </c:pt>
                <c:pt idx="535">
                  <c:v>0.50963592819903336</c:v>
                </c:pt>
                <c:pt idx="536">
                  <c:v>0.52116332960728973</c:v>
                </c:pt>
                <c:pt idx="537">
                  <c:v>0.53125328077486766</c:v>
                </c:pt>
                <c:pt idx="538">
                  <c:v>0.52095202977420019</c:v>
                </c:pt>
                <c:pt idx="539">
                  <c:v>0.52365101555958549</c:v>
                </c:pt>
                <c:pt idx="540">
                  <c:v>0.50855166880435754</c:v>
                </c:pt>
                <c:pt idx="541">
                  <c:v>0.52205828336149096</c:v>
                </c:pt>
                <c:pt idx="542">
                  <c:v>0.52356803134920504</c:v>
                </c:pt>
                <c:pt idx="543">
                  <c:v>0.50860714441870969</c:v>
                </c:pt>
                <c:pt idx="544">
                  <c:v>0.51508835838189071</c:v>
                </c:pt>
                <c:pt idx="545">
                  <c:v>0.55362030821518926</c:v>
                </c:pt>
                <c:pt idx="546">
                  <c:v>0.52653673308140092</c:v>
                </c:pt>
                <c:pt idx="547">
                  <c:v>0.52604137330917711</c:v>
                </c:pt>
                <c:pt idx="548">
                  <c:v>0.54697131766582185</c:v>
                </c:pt>
                <c:pt idx="549">
                  <c:v>0.57289668372436053</c:v>
                </c:pt>
                <c:pt idx="550">
                  <c:v>0.55003966923062719</c:v>
                </c:pt>
                <c:pt idx="551">
                  <c:v>0.53051371151744686</c:v>
                </c:pt>
                <c:pt idx="552">
                  <c:v>0.54927957678063632</c:v>
                </c:pt>
                <c:pt idx="553">
                  <c:v>0.5180391149787853</c:v>
                </c:pt>
                <c:pt idx="554">
                  <c:v>0.53857788069617263</c:v>
                </c:pt>
                <c:pt idx="555">
                  <c:v>0.52645442771311002</c:v>
                </c:pt>
                <c:pt idx="556">
                  <c:v>0.52644732055255283</c:v>
                </c:pt>
                <c:pt idx="557">
                  <c:v>0.53962790456910714</c:v>
                </c:pt>
                <c:pt idx="558">
                  <c:v>0.53366366182938818</c:v>
                </c:pt>
                <c:pt idx="559">
                  <c:v>0.52439923810688338</c:v>
                </c:pt>
                <c:pt idx="560">
                  <c:v>0.5467549470429689</c:v>
                </c:pt>
                <c:pt idx="561">
                  <c:v>0.538732167098396</c:v>
                </c:pt>
                <c:pt idx="562">
                  <c:v>0.54060160579565131</c:v>
                </c:pt>
                <c:pt idx="563">
                  <c:v>0.53866658951089685</c:v>
                </c:pt>
                <c:pt idx="564">
                  <c:v>0.53230418608700558</c:v>
                </c:pt>
                <c:pt idx="565">
                  <c:v>0.52822217348289946</c:v>
                </c:pt>
                <c:pt idx="566">
                  <c:v>0.52855099374168668</c:v>
                </c:pt>
                <c:pt idx="567">
                  <c:v>0.51226056561919509</c:v>
                </c:pt>
                <c:pt idx="568">
                  <c:v>0.52737311440472856</c:v>
                </c:pt>
                <c:pt idx="569">
                  <c:v>0.52759059350889248</c:v>
                </c:pt>
                <c:pt idx="570">
                  <c:v>0.53513341401600723</c:v>
                </c:pt>
                <c:pt idx="571">
                  <c:v>0.54079668445436146</c:v>
                </c:pt>
                <c:pt idx="572">
                  <c:v>0.52716546012039067</c:v>
                </c:pt>
                <c:pt idx="573">
                  <c:v>0.55289844064047877</c:v>
                </c:pt>
                <c:pt idx="574">
                  <c:v>0.52508175290628722</c:v>
                </c:pt>
                <c:pt idx="575">
                  <c:v>0.52910052982879052</c:v>
                </c:pt>
                <c:pt idx="576">
                  <c:v>0.50371035157039679</c:v>
                </c:pt>
                <c:pt idx="577">
                  <c:v>0.51419087365951166</c:v>
                </c:pt>
                <c:pt idx="578">
                  <c:v>0.52774419420029417</c:v>
                </c:pt>
                <c:pt idx="579">
                  <c:v>0.52236858403530262</c:v>
                </c:pt>
                <c:pt idx="580">
                  <c:v>0.51086364399325412</c:v>
                </c:pt>
                <c:pt idx="581">
                  <c:v>0.5345053432871818</c:v>
                </c:pt>
                <c:pt idx="582">
                  <c:v>0.51200013708604719</c:v>
                </c:pt>
                <c:pt idx="583">
                  <c:v>0.52170569654180188</c:v>
                </c:pt>
                <c:pt idx="584">
                  <c:v>0.52560203166709862</c:v>
                </c:pt>
                <c:pt idx="585">
                  <c:v>0.51393811739603967</c:v>
                </c:pt>
                <c:pt idx="586">
                  <c:v>0.52243327819202401</c:v>
                </c:pt>
                <c:pt idx="587">
                  <c:v>0.53286325736155038</c:v>
                </c:pt>
                <c:pt idx="588">
                  <c:v>0.54169042407725365</c:v>
                </c:pt>
                <c:pt idx="589">
                  <c:v>0.51907342441059212</c:v>
                </c:pt>
                <c:pt idx="590">
                  <c:v>0.53265197021437549</c:v>
                </c:pt>
                <c:pt idx="591">
                  <c:v>0.58715152083713051</c:v>
                </c:pt>
                <c:pt idx="592">
                  <c:v>0.56851406899390344</c:v>
                </c:pt>
                <c:pt idx="593">
                  <c:v>0.57753603128196718</c:v>
                </c:pt>
                <c:pt idx="594">
                  <c:v>0.57004999283117885</c:v>
                </c:pt>
                <c:pt idx="595">
                  <c:v>0.53031920882327932</c:v>
                </c:pt>
                <c:pt idx="596">
                  <c:v>0.56335611875847258</c:v>
                </c:pt>
                <c:pt idx="597">
                  <c:v>0.55168367336230739</c:v>
                </c:pt>
                <c:pt idx="598">
                  <c:v>0.56560629323509404</c:v>
                </c:pt>
                <c:pt idx="599">
                  <c:v>0.57856483496698208</c:v>
                </c:pt>
                <c:pt idx="600">
                  <c:v>0.56720146099029922</c:v>
                </c:pt>
                <c:pt idx="601">
                  <c:v>0.58168643187031888</c:v>
                </c:pt>
                <c:pt idx="602">
                  <c:v>0.57388520441044855</c:v>
                </c:pt>
                <c:pt idx="603">
                  <c:v>0.56892850017960384</c:v>
                </c:pt>
                <c:pt idx="604">
                  <c:v>0.57006226489150524</c:v>
                </c:pt>
                <c:pt idx="605">
                  <c:v>0.5740580194438597</c:v>
                </c:pt>
                <c:pt idx="606">
                  <c:v>0.57950761766386538</c:v>
                </c:pt>
                <c:pt idx="607">
                  <c:v>0.56529882099407758</c:v>
                </c:pt>
                <c:pt idx="608">
                  <c:v>0.56754626666289298</c:v>
                </c:pt>
                <c:pt idx="609">
                  <c:v>0.57364764527170409</c:v>
                </c:pt>
                <c:pt idx="610">
                  <c:v>0.59538443723626755</c:v>
                </c:pt>
                <c:pt idx="611">
                  <c:v>0.5850010365852325</c:v>
                </c:pt>
                <c:pt idx="612">
                  <c:v>0.58197660904066273</c:v>
                </c:pt>
                <c:pt idx="613">
                  <c:v>0.57016218161908538</c:v>
                </c:pt>
                <c:pt idx="614">
                  <c:v>0.57160228269363267</c:v>
                </c:pt>
                <c:pt idx="615">
                  <c:v>0.58028777118132313</c:v>
                </c:pt>
                <c:pt idx="616">
                  <c:v>0.57122501684577942</c:v>
                </c:pt>
                <c:pt idx="617">
                  <c:v>0.5739048986030636</c:v>
                </c:pt>
                <c:pt idx="618">
                  <c:v>0.57067507605615353</c:v>
                </c:pt>
                <c:pt idx="619">
                  <c:v>0.55686274105033629</c:v>
                </c:pt>
                <c:pt idx="620">
                  <c:v>0.59637461390586155</c:v>
                </c:pt>
                <c:pt idx="621">
                  <c:v>0.60305718006304743</c:v>
                </c:pt>
                <c:pt idx="622">
                  <c:v>0.5926764083457895</c:v>
                </c:pt>
                <c:pt idx="623">
                  <c:v>0.46868813259921371</c:v>
                </c:pt>
                <c:pt idx="624">
                  <c:v>0.5580298452229504</c:v>
                </c:pt>
                <c:pt idx="625">
                  <c:v>0.52865964523498987</c:v>
                </c:pt>
                <c:pt idx="626">
                  <c:v>0.54666553169361098</c:v>
                </c:pt>
                <c:pt idx="627">
                  <c:v>0.55134604764051853</c:v>
                </c:pt>
                <c:pt idx="628">
                  <c:v>0.55925864828758176</c:v>
                </c:pt>
                <c:pt idx="629">
                  <c:v>0.56264670002489237</c:v>
                </c:pt>
                <c:pt idx="630">
                  <c:v>0.55664859204174444</c:v>
                </c:pt>
                <c:pt idx="631">
                  <c:v>0.52286124286004076</c:v>
                </c:pt>
                <c:pt idx="632">
                  <c:v>0.55553408523893189</c:v>
                </c:pt>
                <c:pt idx="633">
                  <c:v>0.52938209674352354</c:v>
                </c:pt>
                <c:pt idx="634">
                  <c:v>0.55280857881449008</c:v>
                </c:pt>
                <c:pt idx="635">
                  <c:v>0.54101104485823193</c:v>
                </c:pt>
                <c:pt idx="636">
                  <c:v>0.57047732376968741</c:v>
                </c:pt>
                <c:pt idx="637">
                  <c:v>0.56126874567136154</c:v>
                </c:pt>
                <c:pt idx="638">
                  <c:v>0.54777691991494537</c:v>
                </c:pt>
                <c:pt idx="639">
                  <c:v>0.56203411445843787</c:v>
                </c:pt>
                <c:pt idx="640">
                  <c:v>0.57673986576975922</c:v>
                </c:pt>
                <c:pt idx="641">
                  <c:v>0.63218417783717362</c:v>
                </c:pt>
                <c:pt idx="642">
                  <c:v>0.54273594561186256</c:v>
                </c:pt>
                <c:pt idx="643">
                  <c:v>0.57141101095139235</c:v>
                </c:pt>
                <c:pt idx="644">
                  <c:v>0.57027772914376695</c:v>
                </c:pt>
                <c:pt idx="645">
                  <c:v>0.61073562584402152</c:v>
                </c:pt>
                <c:pt idx="646">
                  <c:v>0.55411030455400268</c:v>
                </c:pt>
                <c:pt idx="647">
                  <c:v>0.57220257556413412</c:v>
                </c:pt>
                <c:pt idx="648">
                  <c:v>0.58044630412251585</c:v>
                </c:pt>
                <c:pt idx="649">
                  <c:v>0.55835187071860781</c:v>
                </c:pt>
                <c:pt idx="650">
                  <c:v>0.57362909860267219</c:v>
                </c:pt>
                <c:pt idx="651">
                  <c:v>0.59569733957270443</c:v>
                </c:pt>
                <c:pt idx="652">
                  <c:v>0.57302056056116357</c:v>
                </c:pt>
                <c:pt idx="653">
                  <c:v>0.55372626414519122</c:v>
                </c:pt>
                <c:pt idx="654">
                  <c:v>0.57186214679010627</c:v>
                </c:pt>
                <c:pt idx="655">
                  <c:v>0.56746256002649675</c:v>
                </c:pt>
                <c:pt idx="656">
                  <c:v>0.55829939720878585</c:v>
                </c:pt>
                <c:pt idx="657">
                  <c:v>0.53174490480926195</c:v>
                </c:pt>
                <c:pt idx="658">
                  <c:v>0.57575944367934462</c:v>
                </c:pt>
                <c:pt idx="659">
                  <c:v>0.557334051116259</c:v>
                </c:pt>
                <c:pt idx="660">
                  <c:v>0.53933571923568668</c:v>
                </c:pt>
                <c:pt idx="661">
                  <c:v>0.5438802644597488</c:v>
                </c:pt>
                <c:pt idx="662">
                  <c:v>0.54074892329392865</c:v>
                </c:pt>
                <c:pt idx="663">
                  <c:v>0.5529497471734286</c:v>
                </c:pt>
                <c:pt idx="664">
                  <c:v>0.53945198990957322</c:v>
                </c:pt>
                <c:pt idx="665">
                  <c:v>0.52216661366353501</c:v>
                </c:pt>
                <c:pt idx="666">
                  <c:v>0.48224640402268404</c:v>
                </c:pt>
                <c:pt idx="667">
                  <c:v>0.51788098817109007</c:v>
                </c:pt>
                <c:pt idx="668">
                  <c:v>0.50750829706191003</c:v>
                </c:pt>
                <c:pt idx="669">
                  <c:v>0.49953120339964358</c:v>
                </c:pt>
                <c:pt idx="670">
                  <c:v>0.48948302520304438</c:v>
                </c:pt>
                <c:pt idx="671">
                  <c:v>0.48897577860055286</c:v>
                </c:pt>
                <c:pt idx="672">
                  <c:v>0.51383130660204202</c:v>
                </c:pt>
                <c:pt idx="673">
                  <c:v>0.50498885232484025</c:v>
                </c:pt>
                <c:pt idx="674">
                  <c:v>0.52502069330065648</c:v>
                </c:pt>
                <c:pt idx="675">
                  <c:v>0.5238628265399029</c:v>
                </c:pt>
                <c:pt idx="676">
                  <c:v>0.53813783834390849</c:v>
                </c:pt>
                <c:pt idx="677">
                  <c:v>0.51671302150999132</c:v>
                </c:pt>
                <c:pt idx="678">
                  <c:v>0.52592093827641939</c:v>
                </c:pt>
                <c:pt idx="679">
                  <c:v>0.51372872755237675</c:v>
                </c:pt>
                <c:pt idx="680">
                  <c:v>0.54022195169489962</c:v>
                </c:pt>
                <c:pt idx="681">
                  <c:v>0.53002351057777264</c:v>
                </c:pt>
                <c:pt idx="682">
                  <c:v>0.52173757171134261</c:v>
                </c:pt>
                <c:pt idx="683">
                  <c:v>0.53010386100045803</c:v>
                </c:pt>
                <c:pt idx="684">
                  <c:v>0.51457019726912046</c:v>
                </c:pt>
                <c:pt idx="685">
                  <c:v>0.52434574361876163</c:v>
                </c:pt>
                <c:pt idx="686">
                  <c:v>0.51630302700397346</c:v>
                </c:pt>
                <c:pt idx="687">
                  <c:v>0.52490658865116879</c:v>
                </c:pt>
                <c:pt idx="688">
                  <c:v>0.52560125482291498</c:v>
                </c:pt>
                <c:pt idx="689">
                  <c:v>0.5505756497404577</c:v>
                </c:pt>
                <c:pt idx="690">
                  <c:v>0.52417430912342311</c:v>
                </c:pt>
                <c:pt idx="691">
                  <c:v>0.5377329829350288</c:v>
                </c:pt>
                <c:pt idx="692">
                  <c:v>0.56587047692497205</c:v>
                </c:pt>
                <c:pt idx="693">
                  <c:v>0.56234176445189987</c:v>
                </c:pt>
                <c:pt idx="694">
                  <c:v>0.54588751999698693</c:v>
                </c:pt>
                <c:pt idx="695">
                  <c:v>0.53658874112963251</c:v>
                </c:pt>
                <c:pt idx="696">
                  <c:v>0.54389640207401146</c:v>
                </c:pt>
                <c:pt idx="697">
                  <c:v>0.52907124563511343</c:v>
                </c:pt>
                <c:pt idx="698">
                  <c:v>0.53836759607634865</c:v>
                </c:pt>
                <c:pt idx="699">
                  <c:v>0.5320058818028397</c:v>
                </c:pt>
                <c:pt idx="700">
                  <c:v>0.53231158051223049</c:v>
                </c:pt>
                <c:pt idx="701">
                  <c:v>0.54095830826325575</c:v>
                </c:pt>
                <c:pt idx="702">
                  <c:v>0.5310297009430528</c:v>
                </c:pt>
                <c:pt idx="703">
                  <c:v>0.53711307621024784</c:v>
                </c:pt>
                <c:pt idx="704">
                  <c:v>0.54457550005535238</c:v>
                </c:pt>
                <c:pt idx="705">
                  <c:v>0.53367471875463934</c:v>
                </c:pt>
                <c:pt idx="706">
                  <c:v>0.54930066416129131</c:v>
                </c:pt>
                <c:pt idx="707">
                  <c:v>0.53507210463756372</c:v>
                </c:pt>
                <c:pt idx="708">
                  <c:v>0.5307715909489672</c:v>
                </c:pt>
                <c:pt idx="709">
                  <c:v>0.53100885830743427</c:v>
                </c:pt>
                <c:pt idx="710">
                  <c:v>0.52087297852355263</c:v>
                </c:pt>
                <c:pt idx="711">
                  <c:v>0.52270720851727048</c:v>
                </c:pt>
                <c:pt idx="712">
                  <c:v>0.54935546204306485</c:v>
                </c:pt>
                <c:pt idx="713">
                  <c:v>0.53595430273265832</c:v>
                </c:pt>
                <c:pt idx="714">
                  <c:v>0.54615273386042462</c:v>
                </c:pt>
                <c:pt idx="715">
                  <c:v>0.54698808034837842</c:v>
                </c:pt>
                <c:pt idx="716">
                  <c:v>0.5573196087376</c:v>
                </c:pt>
                <c:pt idx="717">
                  <c:v>0.5416685895972696</c:v>
                </c:pt>
                <c:pt idx="718">
                  <c:v>0.5346605758284444</c:v>
                </c:pt>
                <c:pt idx="719">
                  <c:v>0.52774084442912816</c:v>
                </c:pt>
                <c:pt idx="720">
                  <c:v>0.49959100495282388</c:v>
                </c:pt>
                <c:pt idx="721">
                  <c:v>0.53761222092997907</c:v>
                </c:pt>
                <c:pt idx="722">
                  <c:v>0.54445699798084435</c:v>
                </c:pt>
                <c:pt idx="723">
                  <c:v>0.51283935941117775</c:v>
                </c:pt>
                <c:pt idx="724">
                  <c:v>0.53395943292597603</c:v>
                </c:pt>
                <c:pt idx="725">
                  <c:v>0.52083658917144815</c:v>
                </c:pt>
                <c:pt idx="726">
                  <c:v>0.52304687155658347</c:v>
                </c:pt>
                <c:pt idx="727">
                  <c:v>0.52804930151191098</c:v>
                </c:pt>
                <c:pt idx="728">
                  <c:v>0.52901793819645637</c:v>
                </c:pt>
                <c:pt idx="729">
                  <c:v>0.51673284374577344</c:v>
                </c:pt>
                <c:pt idx="730">
                  <c:v>0.52402035003543301</c:v>
                </c:pt>
                <c:pt idx="731">
                  <c:v>0.5384459148001286</c:v>
                </c:pt>
                <c:pt idx="732">
                  <c:v>0.53836910475660515</c:v>
                </c:pt>
                <c:pt idx="733">
                  <c:v>0.52866478782718185</c:v>
                </c:pt>
                <c:pt idx="734">
                  <c:v>0.58385414327201479</c:v>
                </c:pt>
                <c:pt idx="735">
                  <c:v>0.57974908026271188</c:v>
                </c:pt>
                <c:pt idx="736">
                  <c:v>0.57872995542868355</c:v>
                </c:pt>
                <c:pt idx="737">
                  <c:v>0.59056510394620398</c:v>
                </c:pt>
                <c:pt idx="738">
                  <c:v>0.57448744261250118</c:v>
                </c:pt>
                <c:pt idx="739">
                  <c:v>0.5509257224369164</c:v>
                </c:pt>
                <c:pt idx="740">
                  <c:v>0.58545520208901092</c:v>
                </c:pt>
                <c:pt idx="741">
                  <c:v>0.57614858205441044</c:v>
                </c:pt>
                <c:pt idx="742">
                  <c:v>0.59759142540516863</c:v>
                </c:pt>
                <c:pt idx="743">
                  <c:v>0.59596498474607984</c:v>
                </c:pt>
                <c:pt idx="744">
                  <c:v>0.58929666422737625</c:v>
                </c:pt>
                <c:pt idx="745">
                  <c:v>0.60868816844024487</c:v>
                </c:pt>
                <c:pt idx="746">
                  <c:v>0.58415464324327093</c:v>
                </c:pt>
                <c:pt idx="747">
                  <c:v>0.59709619241256129</c:v>
                </c:pt>
                <c:pt idx="748">
                  <c:v>0.60400528463655856</c:v>
                </c:pt>
                <c:pt idx="749">
                  <c:v>0.59102663243852727</c:v>
                </c:pt>
                <c:pt idx="750">
                  <c:v>0.59752658991715357</c:v>
                </c:pt>
                <c:pt idx="751">
                  <c:v>0.59327664981862194</c:v>
                </c:pt>
                <c:pt idx="752">
                  <c:v>0.59728932581345351</c:v>
                </c:pt>
                <c:pt idx="753">
                  <c:v>0.59850620791967057</c:v>
                </c:pt>
                <c:pt idx="754">
                  <c:v>0.60797789913500255</c:v>
                </c:pt>
                <c:pt idx="755">
                  <c:v>0.61728778249286798</c:v>
                </c:pt>
                <c:pt idx="756">
                  <c:v>0.61916932551171733</c:v>
                </c:pt>
                <c:pt idx="757">
                  <c:v>0.60523025052690005</c:v>
                </c:pt>
                <c:pt idx="758">
                  <c:v>0.60978430484757884</c:v>
                </c:pt>
                <c:pt idx="759">
                  <c:v>0.59460942244304948</c:v>
                </c:pt>
                <c:pt idx="760">
                  <c:v>0.61287293091604311</c:v>
                </c:pt>
                <c:pt idx="761">
                  <c:v>0.60228337837750956</c:v>
                </c:pt>
                <c:pt idx="762">
                  <c:v>0.59568378771418262</c:v>
                </c:pt>
                <c:pt idx="763">
                  <c:v>0.5897410005696927</c:v>
                </c:pt>
                <c:pt idx="764">
                  <c:v>0.63733619829116861</c:v>
                </c:pt>
                <c:pt idx="765">
                  <c:v>0.62079449591750224</c:v>
                </c:pt>
                <c:pt idx="766">
                  <c:v>0.62725378596337578</c:v>
                </c:pt>
                <c:pt idx="767">
                  <c:v>0.60381911654167375</c:v>
                </c:pt>
                <c:pt idx="768">
                  <c:v>0.59447299238632689</c:v>
                </c:pt>
                <c:pt idx="769">
                  <c:v>0.63040844830340581</c:v>
                </c:pt>
                <c:pt idx="770">
                  <c:v>0.65721021997756768</c:v>
                </c:pt>
                <c:pt idx="771">
                  <c:v>0.61795348346429002</c:v>
                </c:pt>
                <c:pt idx="772">
                  <c:v>0.61687695878684923</c:v>
                </c:pt>
                <c:pt idx="773">
                  <c:v>0.61064398319014235</c:v>
                </c:pt>
                <c:pt idx="774">
                  <c:v>0.61077734292320796</c:v>
                </c:pt>
                <c:pt idx="775">
                  <c:v>0.58234965276968109</c:v>
                </c:pt>
                <c:pt idx="776">
                  <c:v>0.60249710582101113</c:v>
                </c:pt>
                <c:pt idx="777">
                  <c:v>0.604457183160099</c:v>
                </c:pt>
                <c:pt idx="778">
                  <c:v>0.61136531883897172</c:v>
                </c:pt>
                <c:pt idx="779">
                  <c:v>0.62909110167043902</c:v>
                </c:pt>
                <c:pt idx="780">
                  <c:v>0.61755481395263634</c:v>
                </c:pt>
                <c:pt idx="781">
                  <c:v>0.5987956482542548</c:v>
                </c:pt>
                <c:pt idx="782">
                  <c:v>0.61568897588604354</c:v>
                </c:pt>
                <c:pt idx="783">
                  <c:v>0.60835848767681588</c:v>
                </c:pt>
                <c:pt idx="784">
                  <c:v>0.64111651318334884</c:v>
                </c:pt>
                <c:pt idx="785">
                  <c:v>0.63938876201542949</c:v>
                </c:pt>
                <c:pt idx="786">
                  <c:v>0.70578607948157468</c:v>
                </c:pt>
                <c:pt idx="787">
                  <c:v>0.58492412905943658</c:v>
                </c:pt>
                <c:pt idx="788">
                  <c:v>0.61935622887505459</c:v>
                </c:pt>
                <c:pt idx="789">
                  <c:v>0.6405226780808555</c:v>
                </c:pt>
                <c:pt idx="790">
                  <c:v>0.64205129878459755</c:v>
                </c:pt>
                <c:pt idx="791">
                  <c:v>0.67039532487278186</c:v>
                </c:pt>
                <c:pt idx="792">
                  <c:v>0.65091617743300456</c:v>
                </c:pt>
                <c:pt idx="793">
                  <c:v>0.64057236096462455</c:v>
                </c:pt>
                <c:pt idx="794">
                  <c:v>0.62115550163761635</c:v>
                </c:pt>
                <c:pt idx="795">
                  <c:v>0.61563762584061021</c:v>
                </c:pt>
                <c:pt idx="796">
                  <c:v>0.61574873632661464</c:v>
                </c:pt>
                <c:pt idx="797">
                  <c:v>0.62100855769469143</c:v>
                </c:pt>
                <c:pt idx="798">
                  <c:v>0.58242201932609705</c:v>
                </c:pt>
                <c:pt idx="799">
                  <c:v>0.62649957949796775</c:v>
                </c:pt>
                <c:pt idx="800">
                  <c:v>0.62855546282442099</c:v>
                </c:pt>
                <c:pt idx="801">
                  <c:v>0.60877744510951237</c:v>
                </c:pt>
                <c:pt idx="802">
                  <c:v>0.62662610688611442</c:v>
                </c:pt>
                <c:pt idx="803">
                  <c:v>0.63371451973110815</c:v>
                </c:pt>
                <c:pt idx="804">
                  <c:v>0.60225917823653075</c:v>
                </c:pt>
                <c:pt idx="805">
                  <c:v>0.59015854829523007</c:v>
                </c:pt>
                <c:pt idx="806">
                  <c:v>0.61597655017229946</c:v>
                </c:pt>
                <c:pt idx="807">
                  <c:v>0.62317504037539473</c:v>
                </c:pt>
                <c:pt idx="808">
                  <c:v>0.60853983236984144</c:v>
                </c:pt>
                <c:pt idx="809">
                  <c:v>0.56832671246431876</c:v>
                </c:pt>
                <c:pt idx="810">
                  <c:v>0.55834094426323921</c:v>
                </c:pt>
                <c:pt idx="811">
                  <c:v>0.57079095393678791</c:v>
                </c:pt>
                <c:pt idx="812">
                  <c:v>0.54854664481405879</c:v>
                </c:pt>
                <c:pt idx="813">
                  <c:v>0.53767355056588162</c:v>
                </c:pt>
                <c:pt idx="814">
                  <c:v>0.51944785258407566</c:v>
                </c:pt>
                <c:pt idx="815">
                  <c:v>0.52504519595710264</c:v>
                </c:pt>
                <c:pt idx="816">
                  <c:v>0.51027697854163379</c:v>
                </c:pt>
                <c:pt idx="817">
                  <c:v>0.51562815951731755</c:v>
                </c:pt>
                <c:pt idx="818">
                  <c:v>0.53093724408404808</c:v>
                </c:pt>
                <c:pt idx="819">
                  <c:v>0.5409508096491803</c:v>
                </c:pt>
                <c:pt idx="820">
                  <c:v>0.52193765253227331</c:v>
                </c:pt>
                <c:pt idx="821">
                  <c:v>0.51269493333259852</c:v>
                </c:pt>
                <c:pt idx="822">
                  <c:v>0.53594267155601338</c:v>
                </c:pt>
                <c:pt idx="823">
                  <c:v>0.53045264269963532</c:v>
                </c:pt>
                <c:pt idx="824">
                  <c:v>0.51853210090376645</c:v>
                </c:pt>
                <c:pt idx="825">
                  <c:v>0.5261174203361223</c:v>
                </c:pt>
                <c:pt idx="826">
                  <c:v>0.51700695855801659</c:v>
                </c:pt>
                <c:pt idx="827">
                  <c:v>0.52704211032969728</c:v>
                </c:pt>
                <c:pt idx="828">
                  <c:v>0.51304264806841815</c:v>
                </c:pt>
                <c:pt idx="829">
                  <c:v>0.52907509893130944</c:v>
                </c:pt>
                <c:pt idx="830">
                  <c:v>0.53123551620431997</c:v>
                </c:pt>
                <c:pt idx="831">
                  <c:v>0.53456165954386048</c:v>
                </c:pt>
                <c:pt idx="832">
                  <c:v>0.51849130333314597</c:v>
                </c:pt>
                <c:pt idx="833">
                  <c:v>0.51004447897909977</c:v>
                </c:pt>
                <c:pt idx="834">
                  <c:v>0.50954847552422111</c:v>
                </c:pt>
                <c:pt idx="835">
                  <c:v>0.52656980588463276</c:v>
                </c:pt>
                <c:pt idx="836">
                  <c:v>0.53377307487149073</c:v>
                </c:pt>
                <c:pt idx="837">
                  <c:v>0.52903155469456598</c:v>
                </c:pt>
                <c:pt idx="838">
                  <c:v>0.52205528105265009</c:v>
                </c:pt>
                <c:pt idx="839">
                  <c:v>0.52202408191927696</c:v>
                </c:pt>
                <c:pt idx="840">
                  <c:v>0.49369221409318875</c:v>
                </c:pt>
                <c:pt idx="841">
                  <c:v>0.50028410185537397</c:v>
                </c:pt>
                <c:pt idx="842">
                  <c:v>0.50612360581336469</c:v>
                </c:pt>
                <c:pt idx="843">
                  <c:v>0.49918199039888017</c:v>
                </c:pt>
                <c:pt idx="844">
                  <c:v>0.51555449340074933</c:v>
                </c:pt>
                <c:pt idx="845">
                  <c:v>0.50787273062644012</c:v>
                </c:pt>
                <c:pt idx="846">
                  <c:v>0.52646541127793323</c:v>
                </c:pt>
                <c:pt idx="847">
                  <c:v>0.51275294957894124</c:v>
                </c:pt>
                <c:pt idx="848">
                  <c:v>0.52768002870628938</c:v>
                </c:pt>
                <c:pt idx="849">
                  <c:v>0.5274765175770072</c:v>
                </c:pt>
                <c:pt idx="850">
                  <c:v>0.53220371141917955</c:v>
                </c:pt>
                <c:pt idx="851">
                  <c:v>0.52485056266855623</c:v>
                </c:pt>
                <c:pt idx="852">
                  <c:v>0.50727782156074885</c:v>
                </c:pt>
                <c:pt idx="853">
                  <c:v>0.52574248814948665</c:v>
                </c:pt>
                <c:pt idx="854">
                  <c:v>0.54723143611807712</c:v>
                </c:pt>
                <c:pt idx="855">
                  <c:v>0.51603905603712441</c:v>
                </c:pt>
                <c:pt idx="856">
                  <c:v>0.52040334789607334</c:v>
                </c:pt>
                <c:pt idx="857">
                  <c:v>0.51022855698517944</c:v>
                </c:pt>
                <c:pt idx="858">
                  <c:v>0.49737989139582622</c:v>
                </c:pt>
                <c:pt idx="859">
                  <c:v>0.49940910017769585</c:v>
                </c:pt>
                <c:pt idx="860">
                  <c:v>0.52213816326094054</c:v>
                </c:pt>
                <c:pt idx="861">
                  <c:v>0.53225548172709436</c:v>
                </c:pt>
                <c:pt idx="862">
                  <c:v>0.50163456094872305</c:v>
                </c:pt>
                <c:pt idx="863">
                  <c:v>0.48560375363743152</c:v>
                </c:pt>
                <c:pt idx="864">
                  <c:v>0.50202979100399159</c:v>
                </c:pt>
                <c:pt idx="865">
                  <c:v>0.48132794815257518</c:v>
                </c:pt>
                <c:pt idx="866">
                  <c:v>0.46359843447605648</c:v>
                </c:pt>
                <c:pt idx="867">
                  <c:v>0.48165470734971189</c:v>
                </c:pt>
                <c:pt idx="868">
                  <c:v>0.45153821825219886</c:v>
                </c:pt>
                <c:pt idx="869">
                  <c:v>0.45461317449653199</c:v>
                </c:pt>
                <c:pt idx="870">
                  <c:v>0.4567952561966574</c:v>
                </c:pt>
                <c:pt idx="871">
                  <c:v>0.47594141260978073</c:v>
                </c:pt>
                <c:pt idx="872">
                  <c:v>0.4628259414434151</c:v>
                </c:pt>
                <c:pt idx="873">
                  <c:v>0.47223878945216341</c:v>
                </c:pt>
                <c:pt idx="874">
                  <c:v>0.46102946362821479</c:v>
                </c:pt>
                <c:pt idx="875">
                  <c:v>0.47266256137226353</c:v>
                </c:pt>
                <c:pt idx="876">
                  <c:v>0.48933849986616568</c:v>
                </c:pt>
                <c:pt idx="877">
                  <c:v>0.49081680290907359</c:v>
                </c:pt>
                <c:pt idx="878">
                  <c:v>0.49281023926218886</c:v>
                </c:pt>
                <c:pt idx="879">
                  <c:v>0.50592314815823536</c:v>
                </c:pt>
                <c:pt idx="880">
                  <c:v>0.5021389970531247</c:v>
                </c:pt>
                <c:pt idx="881">
                  <c:v>0.49163927338624019</c:v>
                </c:pt>
                <c:pt idx="882">
                  <c:v>0.49435123478341481</c:v>
                </c:pt>
                <c:pt idx="883">
                  <c:v>0.48861754758676273</c:v>
                </c:pt>
                <c:pt idx="884">
                  <c:v>0.50926866988937225</c:v>
                </c:pt>
                <c:pt idx="885">
                  <c:v>0.46922227567708424</c:v>
                </c:pt>
                <c:pt idx="886">
                  <c:v>0.50791305453366675</c:v>
                </c:pt>
                <c:pt idx="887">
                  <c:v>0.47775977704288625</c:v>
                </c:pt>
                <c:pt idx="888">
                  <c:v>0.50663232561949489</c:v>
                </c:pt>
                <c:pt idx="889">
                  <c:v>0.49618780971324639</c:v>
                </c:pt>
                <c:pt idx="890">
                  <c:v>0.49058725910503093</c:v>
                </c:pt>
                <c:pt idx="891">
                  <c:v>0.47013503682742563</c:v>
                </c:pt>
                <c:pt idx="892">
                  <c:v>0.48481797807616811</c:v>
                </c:pt>
                <c:pt idx="893">
                  <c:v>0.48361724727971622</c:v>
                </c:pt>
                <c:pt idx="894">
                  <c:v>0.51279268956913904</c:v>
                </c:pt>
                <c:pt idx="895">
                  <c:v>0.50546133725561859</c:v>
                </c:pt>
                <c:pt idx="896">
                  <c:v>0.4785651970369727</c:v>
                </c:pt>
                <c:pt idx="897">
                  <c:v>0.4967035901468525</c:v>
                </c:pt>
                <c:pt idx="898">
                  <c:v>0.50099171526811959</c:v>
                </c:pt>
                <c:pt idx="899">
                  <c:v>0.50421510397017433</c:v>
                </c:pt>
                <c:pt idx="900">
                  <c:v>0.50403689498198345</c:v>
                </c:pt>
                <c:pt idx="901">
                  <c:v>0.47873412111005986</c:v>
                </c:pt>
                <c:pt idx="902">
                  <c:v>0.52138393989167686</c:v>
                </c:pt>
                <c:pt idx="903">
                  <c:v>0.4899728151225814</c:v>
                </c:pt>
                <c:pt idx="904">
                  <c:v>0.5053092808876759</c:v>
                </c:pt>
                <c:pt idx="905">
                  <c:v>0.47524918028752217</c:v>
                </c:pt>
                <c:pt idx="906">
                  <c:v>0.47799619998458942</c:v>
                </c:pt>
                <c:pt idx="907">
                  <c:v>0.49954110215645792</c:v>
                </c:pt>
                <c:pt idx="908">
                  <c:v>0.50507668494178215</c:v>
                </c:pt>
                <c:pt idx="909">
                  <c:v>0.47135846403304449</c:v>
                </c:pt>
                <c:pt idx="910">
                  <c:v>0.48348273993213664</c:v>
                </c:pt>
                <c:pt idx="911">
                  <c:v>0.34975780330783307</c:v>
                </c:pt>
                <c:pt idx="912">
                  <c:v>0.62960325533649042</c:v>
                </c:pt>
                <c:pt idx="913">
                  <c:v>0.6315052558883939</c:v>
                </c:pt>
                <c:pt idx="914">
                  <c:v>0.6809706238109654</c:v>
                </c:pt>
                <c:pt idx="915">
                  <c:v>0.63141373265521039</c:v>
                </c:pt>
                <c:pt idx="916">
                  <c:v>0.65875697920903298</c:v>
                </c:pt>
                <c:pt idx="917">
                  <c:v>0.63678047013649997</c:v>
                </c:pt>
                <c:pt idx="918">
                  <c:v>0.64400831652938817</c:v>
                </c:pt>
                <c:pt idx="919">
                  <c:v>0.61930197152805067</c:v>
                </c:pt>
                <c:pt idx="920">
                  <c:v>0.61802036376935576</c:v>
                </c:pt>
                <c:pt idx="921">
                  <c:v>0.60628525069685524</c:v>
                </c:pt>
                <c:pt idx="922">
                  <c:v>0.63234916065761371</c:v>
                </c:pt>
                <c:pt idx="923">
                  <c:v>0.65541621755709745</c:v>
                </c:pt>
                <c:pt idx="924">
                  <c:v>0.65558278276361182</c:v>
                </c:pt>
                <c:pt idx="925">
                  <c:v>0.62265172456456053</c:v>
                </c:pt>
                <c:pt idx="926">
                  <c:v>0.63620817279862174</c:v>
                </c:pt>
                <c:pt idx="927">
                  <c:v>0.62914302768953245</c:v>
                </c:pt>
                <c:pt idx="928">
                  <c:v>0.6687033202669771</c:v>
                </c:pt>
                <c:pt idx="929">
                  <c:v>0.69438562731721321</c:v>
                </c:pt>
                <c:pt idx="930">
                  <c:v>0.71301179936443293</c:v>
                </c:pt>
                <c:pt idx="931">
                  <c:v>0.7501454569266941</c:v>
                </c:pt>
                <c:pt idx="932">
                  <c:v>0.57136358768966999</c:v>
                </c:pt>
                <c:pt idx="933">
                  <c:v>0.66919773548105133</c:v>
                </c:pt>
                <c:pt idx="934">
                  <c:v>0.67820424414304448</c:v>
                </c:pt>
                <c:pt idx="935">
                  <c:v>0.66702807049493351</c:v>
                </c:pt>
                <c:pt idx="936">
                  <c:v>0.67953981750362447</c:v>
                </c:pt>
                <c:pt idx="937">
                  <c:v>0.63988971776408132</c:v>
                </c:pt>
                <c:pt idx="938">
                  <c:v>0.6576462449281586</c:v>
                </c:pt>
                <c:pt idx="939">
                  <c:v>0.63821561515945513</c:v>
                </c:pt>
                <c:pt idx="940">
                  <c:v>0.63446084525604751</c:v>
                </c:pt>
                <c:pt idx="941">
                  <c:v>0.64530798180529658</c:v>
                </c:pt>
                <c:pt idx="942">
                  <c:v>0.62188366770567671</c:v>
                </c:pt>
                <c:pt idx="943">
                  <c:v>0.62753503460031346</c:v>
                </c:pt>
                <c:pt idx="944">
                  <c:v>0.64057941547329855</c:v>
                </c:pt>
                <c:pt idx="945">
                  <c:v>0.62979326027374027</c:v>
                </c:pt>
                <c:pt idx="946">
                  <c:v>0.63151935808628068</c:v>
                </c:pt>
                <c:pt idx="947">
                  <c:v>0.65557731160733823</c:v>
                </c:pt>
                <c:pt idx="948">
                  <c:v>0.63486050948742678</c:v>
                </c:pt>
                <c:pt idx="949">
                  <c:v>0.59998072279334713</c:v>
                </c:pt>
                <c:pt idx="950">
                  <c:v>0.62249886403061661</c:v>
                </c:pt>
                <c:pt idx="951">
                  <c:v>0.62992117387673463</c:v>
                </c:pt>
                <c:pt idx="952">
                  <c:v>0.63787312031637411</c:v>
                </c:pt>
                <c:pt idx="953">
                  <c:v>0.60116191958642695</c:v>
                </c:pt>
                <c:pt idx="954">
                  <c:v>0.57190672253922081</c:v>
                </c:pt>
                <c:pt idx="955">
                  <c:v>0.58245780053050955</c:v>
                </c:pt>
                <c:pt idx="956">
                  <c:v>0.56504398447816018</c:v>
                </c:pt>
                <c:pt idx="957">
                  <c:v>0.55585627529822412</c:v>
                </c:pt>
                <c:pt idx="958">
                  <c:v>0.53698394365155966</c:v>
                </c:pt>
                <c:pt idx="959">
                  <c:v>0.53337837209865246</c:v>
                </c:pt>
                <c:pt idx="960">
                  <c:v>0.52696880641163257</c:v>
                </c:pt>
                <c:pt idx="961">
                  <c:v>0.52520630862347184</c:v>
                </c:pt>
                <c:pt idx="962">
                  <c:v>0.53293570047352967</c:v>
                </c:pt>
                <c:pt idx="963">
                  <c:v>0.54935509429509166</c:v>
                </c:pt>
                <c:pt idx="964">
                  <c:v>0.54262353888079473</c:v>
                </c:pt>
                <c:pt idx="965">
                  <c:v>0.51007655065816238</c:v>
                </c:pt>
                <c:pt idx="966">
                  <c:v>0.53960559004823705</c:v>
                </c:pt>
                <c:pt idx="967">
                  <c:v>0.53977968810154942</c:v>
                </c:pt>
                <c:pt idx="968">
                  <c:v>0.53302544187682255</c:v>
                </c:pt>
                <c:pt idx="969">
                  <c:v>0.52743074988307848</c:v>
                </c:pt>
                <c:pt idx="970">
                  <c:v>0.52529597699078645</c:v>
                </c:pt>
                <c:pt idx="971">
                  <c:v>0.53060779446098316</c:v>
                </c:pt>
                <c:pt idx="972">
                  <c:v>0.51843615471879489</c:v>
                </c:pt>
                <c:pt idx="973">
                  <c:v>0.52069610814147493</c:v>
                </c:pt>
                <c:pt idx="974">
                  <c:v>0.5385396775512773</c:v>
                </c:pt>
                <c:pt idx="975">
                  <c:v>0.53155989264021386</c:v>
                </c:pt>
                <c:pt idx="976">
                  <c:v>0.52437119327462933</c:v>
                </c:pt>
                <c:pt idx="977">
                  <c:v>0.5255716042312446</c:v>
                </c:pt>
                <c:pt idx="978">
                  <c:v>0.50394245538921101</c:v>
                </c:pt>
                <c:pt idx="979">
                  <c:v>0.52447128944157151</c:v>
                </c:pt>
                <c:pt idx="980">
                  <c:v>0.53493539409565116</c:v>
                </c:pt>
                <c:pt idx="981">
                  <c:v>0.54053430834239902</c:v>
                </c:pt>
                <c:pt idx="982">
                  <c:v>0.51753079596338203</c:v>
                </c:pt>
                <c:pt idx="983">
                  <c:v>0.52248961686461881</c:v>
                </c:pt>
                <c:pt idx="984">
                  <c:v>0.51329166360869327</c:v>
                </c:pt>
                <c:pt idx="985">
                  <c:v>0.49085804058865329</c:v>
                </c:pt>
                <c:pt idx="986">
                  <c:v>0.50258810687067723</c:v>
                </c:pt>
                <c:pt idx="987">
                  <c:v>0.50086522487546659</c:v>
                </c:pt>
                <c:pt idx="988">
                  <c:v>0.51675068298446258</c:v>
                </c:pt>
                <c:pt idx="989">
                  <c:v>0.5115563812098981</c:v>
                </c:pt>
                <c:pt idx="990">
                  <c:v>0.51799365941810971</c:v>
                </c:pt>
                <c:pt idx="991">
                  <c:v>0.51781073504431885</c:v>
                </c:pt>
                <c:pt idx="992">
                  <c:v>0.53057080373500609</c:v>
                </c:pt>
                <c:pt idx="993">
                  <c:v>0.53497062113134863</c:v>
                </c:pt>
                <c:pt idx="994">
                  <c:v>0.52494886273317132</c:v>
                </c:pt>
                <c:pt idx="995">
                  <c:v>0.53505728268294028</c:v>
                </c:pt>
                <c:pt idx="996">
                  <c:v>0.51390114228582162</c:v>
                </c:pt>
                <c:pt idx="997">
                  <c:v>0.52272571637673859</c:v>
                </c:pt>
                <c:pt idx="998">
                  <c:v>0.5469788363019864</c:v>
                </c:pt>
                <c:pt idx="999">
                  <c:v>0.52398383358636424</c:v>
                </c:pt>
                <c:pt idx="1000">
                  <c:v>0.52124834387739405</c:v>
                </c:pt>
                <c:pt idx="1001">
                  <c:v>0.51466527517255456</c:v>
                </c:pt>
                <c:pt idx="1002">
                  <c:v>0.49505690503085498</c:v>
                </c:pt>
                <c:pt idx="1003">
                  <c:v>0.50011402056045984</c:v>
                </c:pt>
                <c:pt idx="1004">
                  <c:v>0.50850480523990849</c:v>
                </c:pt>
                <c:pt idx="1005">
                  <c:v>0.52234210360699462</c:v>
                </c:pt>
                <c:pt idx="1006">
                  <c:v>0.52290384677596535</c:v>
                </c:pt>
                <c:pt idx="1007">
                  <c:v>0.48703113252473229</c:v>
                </c:pt>
                <c:pt idx="1008">
                  <c:v>0.49404781683307469</c:v>
                </c:pt>
                <c:pt idx="1009">
                  <c:v>0.48698485990716428</c:v>
                </c:pt>
                <c:pt idx="1010">
                  <c:v>0.45704503625243997</c:v>
                </c:pt>
                <c:pt idx="1011">
                  <c:v>0.47162258780542365</c:v>
                </c:pt>
                <c:pt idx="1012">
                  <c:v>0.46128808158688012</c:v>
                </c:pt>
                <c:pt idx="1013">
                  <c:v>0.45386254916256352</c:v>
                </c:pt>
                <c:pt idx="1014">
                  <c:v>0.46670246811913835</c:v>
                </c:pt>
                <c:pt idx="1015">
                  <c:v>0.46632092505338502</c:v>
                </c:pt>
                <c:pt idx="1016">
                  <c:v>0.46945867606998509</c:v>
                </c:pt>
                <c:pt idx="1017">
                  <c:v>0.46107197645924292</c:v>
                </c:pt>
                <c:pt idx="1018">
                  <c:v>0.47776194531961724</c:v>
                </c:pt>
                <c:pt idx="1019">
                  <c:v>0.45951280685348672</c:v>
                </c:pt>
                <c:pt idx="1020">
                  <c:v>0.48344750153516591</c:v>
                </c:pt>
                <c:pt idx="1021">
                  <c:v>0.48985966267526099</c:v>
                </c:pt>
                <c:pt idx="1022">
                  <c:v>0.50470215275972541</c:v>
                </c:pt>
                <c:pt idx="1023">
                  <c:v>0.52265546052754064</c:v>
                </c:pt>
                <c:pt idx="1024">
                  <c:v>0.51349514010915553</c:v>
                </c:pt>
                <c:pt idx="1025">
                  <c:v>0.52527913318952824</c:v>
                </c:pt>
                <c:pt idx="1026">
                  <c:v>0.50709546078313417</c:v>
                </c:pt>
                <c:pt idx="1027">
                  <c:v>0.51360709142180594</c:v>
                </c:pt>
                <c:pt idx="1028">
                  <c:v>0.53115601404394186</c:v>
                </c:pt>
                <c:pt idx="1029">
                  <c:v>0.47981650190575004</c:v>
                </c:pt>
                <c:pt idx="1030">
                  <c:v>0.51061350001573758</c:v>
                </c:pt>
                <c:pt idx="1031">
                  <c:v>0.52899931116324828</c:v>
                </c:pt>
                <c:pt idx="1032">
                  <c:v>0.51284895944246178</c:v>
                </c:pt>
                <c:pt idx="1033">
                  <c:v>0.50849887960151741</c:v>
                </c:pt>
                <c:pt idx="1034">
                  <c:v>0.51203019450353171</c:v>
                </c:pt>
                <c:pt idx="1035">
                  <c:v>0.49872768971422415</c:v>
                </c:pt>
                <c:pt idx="1036">
                  <c:v>0.51302678831048254</c:v>
                </c:pt>
                <c:pt idx="1037">
                  <c:v>0.51572923135284732</c:v>
                </c:pt>
                <c:pt idx="1038">
                  <c:v>0.569760856280909</c:v>
                </c:pt>
                <c:pt idx="1039">
                  <c:v>0.51447576271563611</c:v>
                </c:pt>
                <c:pt idx="1040">
                  <c:v>0.5122697779225438</c:v>
                </c:pt>
                <c:pt idx="1041">
                  <c:v>0.52437327073171836</c:v>
                </c:pt>
                <c:pt idx="1042">
                  <c:v>0.54572252888484984</c:v>
                </c:pt>
                <c:pt idx="1043">
                  <c:v>0.53487469044888103</c:v>
                </c:pt>
                <c:pt idx="1044">
                  <c:v>0.53578827610547941</c:v>
                </c:pt>
                <c:pt idx="1045">
                  <c:v>0.50604302753950614</c:v>
                </c:pt>
                <c:pt idx="1046">
                  <c:v>0.5359635315968313</c:v>
                </c:pt>
                <c:pt idx="1047">
                  <c:v>0.50722838909306289</c:v>
                </c:pt>
                <c:pt idx="1048">
                  <c:v>0.54136279155823908</c:v>
                </c:pt>
                <c:pt idx="1049">
                  <c:v>0.53082506736134494</c:v>
                </c:pt>
                <c:pt idx="1050">
                  <c:v>0.511468645653119</c:v>
                </c:pt>
                <c:pt idx="1051">
                  <c:v>0.52730309054621582</c:v>
                </c:pt>
                <c:pt idx="1052">
                  <c:v>0.52609155549476572</c:v>
                </c:pt>
                <c:pt idx="1053">
                  <c:v>0.53024274118680415</c:v>
                </c:pt>
                <c:pt idx="1054">
                  <c:v>0.51730003693630666</c:v>
                </c:pt>
                <c:pt idx="1055">
                  <c:v>0.46400281727579512</c:v>
                </c:pt>
                <c:pt idx="1056">
                  <c:v>0.44857152860249355</c:v>
                </c:pt>
                <c:pt idx="1057">
                  <c:v>0.47427018319822606</c:v>
                </c:pt>
                <c:pt idx="1058">
                  <c:v>0.48376839352183276</c:v>
                </c:pt>
                <c:pt idx="1059">
                  <c:v>0.48423561597168208</c:v>
                </c:pt>
                <c:pt idx="1060">
                  <c:v>0.47193929514425764</c:v>
                </c:pt>
                <c:pt idx="1061">
                  <c:v>0.49698164964935965</c:v>
                </c:pt>
                <c:pt idx="1062">
                  <c:v>0.46590874314783942</c:v>
                </c:pt>
                <c:pt idx="1063">
                  <c:v>0.45669421143456967</c:v>
                </c:pt>
                <c:pt idx="1064">
                  <c:v>0.46981921881825484</c:v>
                </c:pt>
                <c:pt idx="1065">
                  <c:v>0.46900005401372052</c:v>
                </c:pt>
                <c:pt idx="1066">
                  <c:v>0.49199348277322247</c:v>
                </c:pt>
                <c:pt idx="1067">
                  <c:v>0.5367114286784862</c:v>
                </c:pt>
                <c:pt idx="1068">
                  <c:v>0.52895781496876781</c:v>
                </c:pt>
                <c:pt idx="1069">
                  <c:v>0.51332869064312681</c:v>
                </c:pt>
                <c:pt idx="1070">
                  <c:v>0.52566663434542149</c:v>
                </c:pt>
                <c:pt idx="1071">
                  <c:v>0.50119952901167464</c:v>
                </c:pt>
                <c:pt idx="1072">
                  <c:v>0.52943394780527941</c:v>
                </c:pt>
                <c:pt idx="1073">
                  <c:v>0.52455280338581178</c:v>
                </c:pt>
                <c:pt idx="1074">
                  <c:v>0.50242070111918324</c:v>
                </c:pt>
                <c:pt idx="1075">
                  <c:v>0.55428716913247311</c:v>
                </c:pt>
                <c:pt idx="1076">
                  <c:v>0.50974149275998548</c:v>
                </c:pt>
                <c:pt idx="1077">
                  <c:v>0.51775549993517778</c:v>
                </c:pt>
                <c:pt idx="1078">
                  <c:v>0.52467167209478227</c:v>
                </c:pt>
                <c:pt idx="1079">
                  <c:v>0.53725981699690739</c:v>
                </c:pt>
                <c:pt idx="1080">
                  <c:v>0.52868741450942491</c:v>
                </c:pt>
                <c:pt idx="1081">
                  <c:v>0.52101601933737662</c:v>
                </c:pt>
                <c:pt idx="1082">
                  <c:v>0.52815395970326717</c:v>
                </c:pt>
                <c:pt idx="1083">
                  <c:v>0.54211728592302355</c:v>
                </c:pt>
                <c:pt idx="1084">
                  <c:v>0.52438261916564333</c:v>
                </c:pt>
                <c:pt idx="1085">
                  <c:v>0.5109437346408624</c:v>
                </c:pt>
                <c:pt idx="1086">
                  <c:v>0.54040218486934555</c:v>
                </c:pt>
                <c:pt idx="1087">
                  <c:v>0.50723068526124948</c:v>
                </c:pt>
                <c:pt idx="1088">
                  <c:v>0.52133151096605213</c:v>
                </c:pt>
                <c:pt idx="1089">
                  <c:v>0.5347314519761931</c:v>
                </c:pt>
                <c:pt idx="1090">
                  <c:v>0.49791689083936291</c:v>
                </c:pt>
                <c:pt idx="1091">
                  <c:v>0.53366086578070826</c:v>
                </c:pt>
                <c:pt idx="1092">
                  <c:v>0.51357953890084085</c:v>
                </c:pt>
                <c:pt idx="1093">
                  <c:v>0.55603629318838854</c:v>
                </c:pt>
                <c:pt idx="1094">
                  <c:v>0.51624296951564619</c:v>
                </c:pt>
                <c:pt idx="1095">
                  <c:v>0.53330969150524277</c:v>
                </c:pt>
                <c:pt idx="1096">
                  <c:v>0.52187497393983084</c:v>
                </c:pt>
                <c:pt idx="1097">
                  <c:v>0.52516405959496004</c:v>
                </c:pt>
                <c:pt idx="1098">
                  <c:v>0.50823483729519214</c:v>
                </c:pt>
                <c:pt idx="1099">
                  <c:v>0.51039673499122795</c:v>
                </c:pt>
                <c:pt idx="1100">
                  <c:v>0.52644318542379831</c:v>
                </c:pt>
                <c:pt idx="1101">
                  <c:v>0.51587741868202952</c:v>
                </c:pt>
                <c:pt idx="1102">
                  <c:v>0.5029169954496191</c:v>
                </c:pt>
                <c:pt idx="1103">
                  <c:v>0.51762272237961793</c:v>
                </c:pt>
                <c:pt idx="1104">
                  <c:v>0.49618531586367354</c:v>
                </c:pt>
                <c:pt idx="1105">
                  <c:v>0.50315824944599985</c:v>
                </c:pt>
                <c:pt idx="1106">
                  <c:v>0.51996127942163084</c:v>
                </c:pt>
                <c:pt idx="1107">
                  <c:v>0.51505426688097911</c:v>
                </c:pt>
                <c:pt idx="1108">
                  <c:v>0.50826542592593194</c:v>
                </c:pt>
                <c:pt idx="1109">
                  <c:v>0.49061013474320891</c:v>
                </c:pt>
                <c:pt idx="1110">
                  <c:v>0.50123458863272952</c:v>
                </c:pt>
                <c:pt idx="1111">
                  <c:v>0.51286002588188329</c:v>
                </c:pt>
                <c:pt idx="1112">
                  <c:v>0.52181333116827944</c:v>
                </c:pt>
                <c:pt idx="1113">
                  <c:v>0.50028890544448856</c:v>
                </c:pt>
                <c:pt idx="1114">
                  <c:v>0.50033117473784838</c:v>
                </c:pt>
                <c:pt idx="1115">
                  <c:v>0.51325063716455366</c:v>
                </c:pt>
                <c:pt idx="1116">
                  <c:v>0.49809238666102335</c:v>
                </c:pt>
                <c:pt idx="1117">
                  <c:v>0.51447416870728757</c:v>
                </c:pt>
                <c:pt idx="1118">
                  <c:v>0.53008169243259518</c:v>
                </c:pt>
                <c:pt idx="1119">
                  <c:v>0.50869330607906438</c:v>
                </c:pt>
                <c:pt idx="1120">
                  <c:v>0.51180932416294966</c:v>
                </c:pt>
                <c:pt idx="1121">
                  <c:v>0.48651194570797585</c:v>
                </c:pt>
                <c:pt idx="1122">
                  <c:v>0.48605595982280692</c:v>
                </c:pt>
                <c:pt idx="1123">
                  <c:v>0.47301680172516347</c:v>
                </c:pt>
                <c:pt idx="1124">
                  <c:v>0.49869628410870409</c:v>
                </c:pt>
                <c:pt idx="1125">
                  <c:v>0.46472406869783278</c:v>
                </c:pt>
                <c:pt idx="1126">
                  <c:v>0.48068761885153877</c:v>
                </c:pt>
                <c:pt idx="1127">
                  <c:v>0.50562581287650332</c:v>
                </c:pt>
                <c:pt idx="1128">
                  <c:v>0.48563228761713684</c:v>
                </c:pt>
                <c:pt idx="1129">
                  <c:v>0.49403208342508698</c:v>
                </c:pt>
                <c:pt idx="1130">
                  <c:v>0.52356399879707771</c:v>
                </c:pt>
                <c:pt idx="1131">
                  <c:v>0.47433516870255027</c:v>
                </c:pt>
                <c:pt idx="1132">
                  <c:v>0.46986102712013095</c:v>
                </c:pt>
                <c:pt idx="1133">
                  <c:v>0.50638744580099082</c:v>
                </c:pt>
                <c:pt idx="1134">
                  <c:v>0.49676530429268517</c:v>
                </c:pt>
                <c:pt idx="1135">
                  <c:v>0.48976504178662317</c:v>
                </c:pt>
                <c:pt idx="1136">
                  <c:v>0.48837329635008481</c:v>
                </c:pt>
                <c:pt idx="1137">
                  <c:v>0.48286058315172187</c:v>
                </c:pt>
                <c:pt idx="1138">
                  <c:v>0.48933709237228556</c:v>
                </c:pt>
                <c:pt idx="1139">
                  <c:v>0.50084987358869293</c:v>
                </c:pt>
                <c:pt idx="1140">
                  <c:v>0.47734153091481002</c:v>
                </c:pt>
                <c:pt idx="1141">
                  <c:v>0.49294733280863356</c:v>
                </c:pt>
                <c:pt idx="1142">
                  <c:v>0.49711134985011868</c:v>
                </c:pt>
                <c:pt idx="1143">
                  <c:v>0.53343979387307783</c:v>
                </c:pt>
                <c:pt idx="1144">
                  <c:v>0.52373073310371854</c:v>
                </c:pt>
                <c:pt idx="1145">
                  <c:v>0.50863030204466764</c:v>
                </c:pt>
                <c:pt idx="1146">
                  <c:v>0.49227946638139092</c:v>
                </c:pt>
                <c:pt idx="1147">
                  <c:v>0.47671717292431981</c:v>
                </c:pt>
                <c:pt idx="1148">
                  <c:v>0.48256389553994267</c:v>
                </c:pt>
                <c:pt idx="1149">
                  <c:v>0.51612507923824169</c:v>
                </c:pt>
                <c:pt idx="1150">
                  <c:v>0.49823375270510767</c:v>
                </c:pt>
                <c:pt idx="1151">
                  <c:v>0.49617035246549973</c:v>
                </c:pt>
                <c:pt idx="1152">
                  <c:v>0.50684732717638781</c:v>
                </c:pt>
                <c:pt idx="1153">
                  <c:v>0.49319865163667842</c:v>
                </c:pt>
                <c:pt idx="1154">
                  <c:v>0.48102533338548437</c:v>
                </c:pt>
                <c:pt idx="1155">
                  <c:v>0.49352873137571313</c:v>
                </c:pt>
                <c:pt idx="1156">
                  <c:v>0.48938044109056128</c:v>
                </c:pt>
                <c:pt idx="1157">
                  <c:v>0.47717466965598532</c:v>
                </c:pt>
                <c:pt idx="1158">
                  <c:v>0.50017552657001496</c:v>
                </c:pt>
                <c:pt idx="1159">
                  <c:v>0.50908620188599929</c:v>
                </c:pt>
                <c:pt idx="1160">
                  <c:v>0.48458324859604723</c:v>
                </c:pt>
                <c:pt idx="1161">
                  <c:v>0.48727062417993855</c:v>
                </c:pt>
                <c:pt idx="1162">
                  <c:v>0.47620290974187274</c:v>
                </c:pt>
                <c:pt idx="1163">
                  <c:v>0.48915605063634998</c:v>
                </c:pt>
                <c:pt idx="1164">
                  <c:v>0.46502470833114984</c:v>
                </c:pt>
                <c:pt idx="1165">
                  <c:v>0.46062230146048211</c:v>
                </c:pt>
                <c:pt idx="1166">
                  <c:v>0.47880132625218524</c:v>
                </c:pt>
                <c:pt idx="1167">
                  <c:v>0.46945219298740998</c:v>
                </c:pt>
                <c:pt idx="1168">
                  <c:v>0.44516860077975934</c:v>
                </c:pt>
                <c:pt idx="1169">
                  <c:v>0.4499673415424173</c:v>
                </c:pt>
                <c:pt idx="1170">
                  <c:v>0.46466537576510736</c:v>
                </c:pt>
                <c:pt idx="1171">
                  <c:v>0.45155541536409688</c:v>
                </c:pt>
                <c:pt idx="1172">
                  <c:v>0.50113077106830539</c:v>
                </c:pt>
                <c:pt idx="1173">
                  <c:v>0.45843417380845553</c:v>
                </c:pt>
                <c:pt idx="1174">
                  <c:v>0.4951864869051803</c:v>
                </c:pt>
                <c:pt idx="1175">
                  <c:v>0.47710272442645213</c:v>
                </c:pt>
                <c:pt idx="1176">
                  <c:v>0.48598618024402074</c:v>
                </c:pt>
                <c:pt idx="1177">
                  <c:v>0.50864403447216555</c:v>
                </c:pt>
                <c:pt idx="1178">
                  <c:v>0.51544768183919065</c:v>
                </c:pt>
                <c:pt idx="1179">
                  <c:v>0.49693296750879851</c:v>
                </c:pt>
                <c:pt idx="1180">
                  <c:v>0.50050418892359139</c:v>
                </c:pt>
                <c:pt idx="1181">
                  <c:v>0.48929599153959596</c:v>
                </c:pt>
                <c:pt idx="1182">
                  <c:v>0.48900282417676039</c:v>
                </c:pt>
                <c:pt idx="1183">
                  <c:v>0.5179778476730359</c:v>
                </c:pt>
                <c:pt idx="1184">
                  <c:v>0.50945710829994728</c:v>
                </c:pt>
                <c:pt idx="1185">
                  <c:v>0.55735451033058403</c:v>
                </c:pt>
                <c:pt idx="1186">
                  <c:v>0.50258523994171067</c:v>
                </c:pt>
                <c:pt idx="1187">
                  <c:v>0.49254206976445386</c:v>
                </c:pt>
                <c:pt idx="1188">
                  <c:v>0.47842695066441249</c:v>
                </c:pt>
                <c:pt idx="1189">
                  <c:v>0.49360650832238073</c:v>
                </c:pt>
                <c:pt idx="1190">
                  <c:v>0.50429180654790584</c:v>
                </c:pt>
                <c:pt idx="1191">
                  <c:v>0.47997674262196133</c:v>
                </c:pt>
                <c:pt idx="1192">
                  <c:v>0.47924827863394703</c:v>
                </c:pt>
                <c:pt idx="1193">
                  <c:v>0.5127698861939024</c:v>
                </c:pt>
                <c:pt idx="1194">
                  <c:v>0.48448006975207564</c:v>
                </c:pt>
                <c:pt idx="1195">
                  <c:v>0.50471329289439315</c:v>
                </c:pt>
                <c:pt idx="1196">
                  <c:v>0.498946777039323</c:v>
                </c:pt>
                <c:pt idx="1197">
                  <c:v>0.49487128421742538</c:v>
                </c:pt>
                <c:pt idx="1198">
                  <c:v>0.49771923517601729</c:v>
                </c:pt>
                <c:pt idx="1199">
                  <c:v>0.48134515213567175</c:v>
                </c:pt>
                <c:pt idx="1200">
                  <c:v>0.51584643462795232</c:v>
                </c:pt>
                <c:pt idx="1201">
                  <c:v>0.4832197383259737</c:v>
                </c:pt>
                <c:pt idx="1202">
                  <c:v>0.51154568270065248</c:v>
                </c:pt>
                <c:pt idx="1203">
                  <c:v>0.52922098526113226</c:v>
                </c:pt>
                <c:pt idx="1204">
                  <c:v>0.53022250126748449</c:v>
                </c:pt>
                <c:pt idx="1205">
                  <c:v>0.50597123934233423</c:v>
                </c:pt>
                <c:pt idx="1206">
                  <c:v>0.53898659478269784</c:v>
                </c:pt>
                <c:pt idx="1207">
                  <c:v>0.5139500870809578</c:v>
                </c:pt>
                <c:pt idx="1208">
                  <c:v>0.48370138233945975</c:v>
                </c:pt>
                <c:pt idx="1209">
                  <c:v>0.50168586543763449</c:v>
                </c:pt>
                <c:pt idx="1210">
                  <c:v>0.50964277858646156</c:v>
                </c:pt>
                <c:pt idx="1211">
                  <c:v>0.53258725171895516</c:v>
                </c:pt>
                <c:pt idx="1212">
                  <c:v>0.58984185166853653</c:v>
                </c:pt>
                <c:pt idx="1213">
                  <c:v>0.57180441264920956</c:v>
                </c:pt>
                <c:pt idx="1214">
                  <c:v>0.56336976833595276</c:v>
                </c:pt>
                <c:pt idx="1215">
                  <c:v>0.57279054181563449</c:v>
                </c:pt>
                <c:pt idx="1216">
                  <c:v>0.54414695469249319</c:v>
                </c:pt>
                <c:pt idx="1217">
                  <c:v>0.57885870811208751</c:v>
                </c:pt>
                <c:pt idx="1218">
                  <c:v>0.55840313733820957</c:v>
                </c:pt>
                <c:pt idx="1219">
                  <c:v>0.54319274195657707</c:v>
                </c:pt>
                <c:pt idx="1220">
                  <c:v>0.59811315767404194</c:v>
                </c:pt>
                <c:pt idx="1221">
                  <c:v>0.55612476557763746</c:v>
                </c:pt>
                <c:pt idx="1222">
                  <c:v>0.54385096695060442</c:v>
                </c:pt>
                <c:pt idx="1223">
                  <c:v>0.56849565368100929</c:v>
                </c:pt>
                <c:pt idx="1224">
                  <c:v>0.57515654225581037</c:v>
                </c:pt>
                <c:pt idx="1225">
                  <c:v>0.5719384930612178</c:v>
                </c:pt>
                <c:pt idx="1226">
                  <c:v>0.55506892244218675</c:v>
                </c:pt>
                <c:pt idx="1227">
                  <c:v>0.56214827387040145</c:v>
                </c:pt>
                <c:pt idx="1228">
                  <c:v>0.57476605110923862</c:v>
                </c:pt>
                <c:pt idx="1229">
                  <c:v>0.55280541689606411</c:v>
                </c:pt>
                <c:pt idx="1230">
                  <c:v>0.53707890521631274</c:v>
                </c:pt>
                <c:pt idx="1231">
                  <c:v>0.58351785749642615</c:v>
                </c:pt>
                <c:pt idx="1232">
                  <c:v>0.54810798768419833</c:v>
                </c:pt>
                <c:pt idx="1233">
                  <c:v>0.55274022760196206</c:v>
                </c:pt>
                <c:pt idx="1234">
                  <c:v>0.55733260690000541</c:v>
                </c:pt>
                <c:pt idx="1235">
                  <c:v>0.52117954899880103</c:v>
                </c:pt>
                <c:pt idx="1236">
                  <c:v>0.55770553655557098</c:v>
                </c:pt>
                <c:pt idx="1237">
                  <c:v>0.54953586616410588</c:v>
                </c:pt>
                <c:pt idx="1238">
                  <c:v>0.58733138067159119</c:v>
                </c:pt>
                <c:pt idx="1239">
                  <c:v>0.54918798191435569</c:v>
                </c:pt>
                <c:pt idx="1240">
                  <c:v>0.58039586291241518</c:v>
                </c:pt>
                <c:pt idx="1241">
                  <c:v>0.54844678790024581</c:v>
                </c:pt>
                <c:pt idx="1242">
                  <c:v>0.55794344267354523</c:v>
                </c:pt>
                <c:pt idx="1243">
                  <c:v>0.55382637056774864</c:v>
                </c:pt>
                <c:pt idx="1244">
                  <c:v>0.54189174863393386</c:v>
                </c:pt>
                <c:pt idx="1245">
                  <c:v>0.56134065693521773</c:v>
                </c:pt>
                <c:pt idx="1246">
                  <c:v>0.55999945602807266</c:v>
                </c:pt>
                <c:pt idx="1247">
                  <c:v>0.54805192560546079</c:v>
                </c:pt>
                <c:pt idx="1248">
                  <c:v>0.55207293437189642</c:v>
                </c:pt>
                <c:pt idx="1249">
                  <c:v>0.5215967284995604</c:v>
                </c:pt>
                <c:pt idx="1250">
                  <c:v>0.52806372086653275</c:v>
                </c:pt>
                <c:pt idx="1251">
                  <c:v>0.54158585815125471</c:v>
                </c:pt>
                <c:pt idx="1252">
                  <c:v>0.54547399700781007</c:v>
                </c:pt>
                <c:pt idx="1253">
                  <c:v>0.5449590465128793</c:v>
                </c:pt>
                <c:pt idx="1254">
                  <c:v>0.52529286741510783</c:v>
                </c:pt>
                <c:pt idx="1255">
                  <c:v>0.52910386912896212</c:v>
                </c:pt>
                <c:pt idx="1256">
                  <c:v>0.53898935675307502</c:v>
                </c:pt>
                <c:pt idx="1257">
                  <c:v>0.54113161514483221</c:v>
                </c:pt>
                <c:pt idx="1258">
                  <c:v>0.52492448431698668</c:v>
                </c:pt>
                <c:pt idx="1259">
                  <c:v>0.52890102427675711</c:v>
                </c:pt>
                <c:pt idx="1260">
                  <c:v>0.53723322075664071</c:v>
                </c:pt>
                <c:pt idx="1261">
                  <c:v>0.51895314477064414</c:v>
                </c:pt>
                <c:pt idx="1262">
                  <c:v>0.53509908689732055</c:v>
                </c:pt>
                <c:pt idx="1263">
                  <c:v>0.55346126512044669</c:v>
                </c:pt>
                <c:pt idx="1264">
                  <c:v>0.52671292007788262</c:v>
                </c:pt>
                <c:pt idx="1265">
                  <c:v>0.53474793314361091</c:v>
                </c:pt>
                <c:pt idx="1266">
                  <c:v>0.52193556339159231</c:v>
                </c:pt>
                <c:pt idx="1267">
                  <c:v>0.50718408417699179</c:v>
                </c:pt>
                <c:pt idx="1268">
                  <c:v>0.50136699534188467</c:v>
                </c:pt>
                <c:pt idx="1269">
                  <c:v>0.51530345780649545</c:v>
                </c:pt>
                <c:pt idx="1270">
                  <c:v>0.47659790419108572</c:v>
                </c:pt>
                <c:pt idx="1271">
                  <c:v>0.49517648839437972</c:v>
                </c:pt>
                <c:pt idx="1272">
                  <c:v>0.52550323183271941</c:v>
                </c:pt>
                <c:pt idx="1273">
                  <c:v>0.49785465005136909</c:v>
                </c:pt>
                <c:pt idx="1274">
                  <c:v>0.50933749567683695</c:v>
                </c:pt>
                <c:pt idx="1275">
                  <c:v>0.53143024778658698</c:v>
                </c:pt>
                <c:pt idx="1276">
                  <c:v>0.48329139101001323</c:v>
                </c:pt>
                <c:pt idx="1277">
                  <c:v>0.48763561959963664</c:v>
                </c:pt>
                <c:pt idx="1278">
                  <c:v>0.53176443565599096</c:v>
                </c:pt>
                <c:pt idx="1279">
                  <c:v>0.52286684544850492</c:v>
                </c:pt>
                <c:pt idx="1280">
                  <c:v>0.5086826714238597</c:v>
                </c:pt>
                <c:pt idx="1281">
                  <c:v>0.49977461986691502</c:v>
                </c:pt>
                <c:pt idx="1282">
                  <c:v>0.49863112400788911</c:v>
                </c:pt>
                <c:pt idx="1283">
                  <c:v>0.49512177024464538</c:v>
                </c:pt>
                <c:pt idx="1284">
                  <c:v>0.51250709425413521</c:v>
                </c:pt>
                <c:pt idx="1285">
                  <c:v>0.49343086317020873</c:v>
                </c:pt>
                <c:pt idx="1286">
                  <c:v>0.50572788389260226</c:v>
                </c:pt>
                <c:pt idx="1287">
                  <c:v>0.51387653480240481</c:v>
                </c:pt>
                <c:pt idx="1288">
                  <c:v>0.54288490505299358</c:v>
                </c:pt>
                <c:pt idx="1289">
                  <c:v>0.52719693709175308</c:v>
                </c:pt>
                <c:pt idx="1290">
                  <c:v>0.52227048096073225</c:v>
                </c:pt>
                <c:pt idx="1291">
                  <c:v>0.50600550952804835</c:v>
                </c:pt>
                <c:pt idx="1292">
                  <c:v>0.48193641140842697</c:v>
                </c:pt>
                <c:pt idx="1293">
                  <c:v>0.49539834566434154</c:v>
                </c:pt>
                <c:pt idx="1294">
                  <c:v>0.53177579633271699</c:v>
                </c:pt>
                <c:pt idx="1295">
                  <c:v>0.50869344069328404</c:v>
                </c:pt>
                <c:pt idx="1296">
                  <c:v>0.50353234396906554</c:v>
                </c:pt>
                <c:pt idx="1297">
                  <c:v>0.51813712469373241</c:v>
                </c:pt>
                <c:pt idx="1298">
                  <c:v>0.51359963777218498</c:v>
                </c:pt>
                <c:pt idx="1299">
                  <c:v>0.49139727650506815</c:v>
                </c:pt>
                <c:pt idx="1300">
                  <c:v>0.50061487635571345</c:v>
                </c:pt>
                <c:pt idx="1301">
                  <c:v>0.50357552466515232</c:v>
                </c:pt>
                <c:pt idx="1302">
                  <c:v>0.49063764005011418</c:v>
                </c:pt>
                <c:pt idx="1303">
                  <c:v>0.51913361744927022</c:v>
                </c:pt>
                <c:pt idx="1304">
                  <c:v>0.52071077370964647</c:v>
                </c:pt>
                <c:pt idx="1305">
                  <c:v>0.49117714952340114</c:v>
                </c:pt>
                <c:pt idx="1306">
                  <c:v>0.50707776095717283</c:v>
                </c:pt>
                <c:pt idx="1307">
                  <c:v>0.4942639890416276</c:v>
                </c:pt>
                <c:pt idx="1308">
                  <c:v>0.50865251604870276</c:v>
                </c:pt>
                <c:pt idx="1309">
                  <c:v>0.48343409021998596</c:v>
                </c:pt>
                <c:pt idx="1310">
                  <c:v>0.47421160048630945</c:v>
                </c:pt>
                <c:pt idx="1311">
                  <c:v>0.49619736933728165</c:v>
                </c:pt>
                <c:pt idx="1312">
                  <c:v>0.48909324559273831</c:v>
                </c:pt>
                <c:pt idx="1313">
                  <c:v>0.46014190355503942</c:v>
                </c:pt>
                <c:pt idx="1314">
                  <c:v>0.48758503049271212</c:v>
                </c:pt>
                <c:pt idx="1315">
                  <c:v>0.48324771568110286</c:v>
                </c:pt>
                <c:pt idx="1316">
                  <c:v>0.48383781760714772</c:v>
                </c:pt>
                <c:pt idx="1317">
                  <c:v>0.52444623510784516</c:v>
                </c:pt>
                <c:pt idx="1318">
                  <c:v>0.48969219918474372</c:v>
                </c:pt>
                <c:pt idx="1319">
                  <c:v>0.51294774743605587</c:v>
                </c:pt>
                <c:pt idx="1320">
                  <c:v>0.52243536493986287</c:v>
                </c:pt>
                <c:pt idx="1321">
                  <c:v>0.52889177260088049</c:v>
                </c:pt>
                <c:pt idx="1322">
                  <c:v>0.54529709416983019</c:v>
                </c:pt>
                <c:pt idx="1323">
                  <c:v>0.55042698205908114</c:v>
                </c:pt>
                <c:pt idx="1324">
                  <c:v>0.53018189048313247</c:v>
                </c:pt>
                <c:pt idx="1325">
                  <c:v>0.52582855193326672</c:v>
                </c:pt>
                <c:pt idx="1326">
                  <c:v>0.52759098015601202</c:v>
                </c:pt>
                <c:pt idx="1327">
                  <c:v>0.53919683093789794</c:v>
                </c:pt>
                <c:pt idx="1328">
                  <c:v>0.54739573195319524</c:v>
                </c:pt>
                <c:pt idx="1329">
                  <c:v>0.54451340205925181</c:v>
                </c:pt>
                <c:pt idx="1330">
                  <c:v>0.59319931024858552</c:v>
                </c:pt>
                <c:pt idx="1331">
                  <c:v>0.54820386657165132</c:v>
                </c:pt>
                <c:pt idx="1332">
                  <c:v>0.53667331341879776</c:v>
                </c:pt>
                <c:pt idx="1333">
                  <c:v>0.51998724961820886</c:v>
                </c:pt>
                <c:pt idx="1334">
                  <c:v>0.52778477591373607</c:v>
                </c:pt>
                <c:pt idx="1335">
                  <c:v>0.53956246210694703</c:v>
                </c:pt>
                <c:pt idx="1336">
                  <c:v>0.51602859974820758</c:v>
                </c:pt>
                <c:pt idx="1337">
                  <c:v>0.51413916433156703</c:v>
                </c:pt>
                <c:pt idx="1338">
                  <c:v>0.54197704018609694</c:v>
                </c:pt>
                <c:pt idx="1339">
                  <c:v>0.53112456705066913</c:v>
                </c:pt>
                <c:pt idx="1340">
                  <c:v>0.54487099458063237</c:v>
                </c:pt>
                <c:pt idx="1341">
                  <c:v>0.54303406217967454</c:v>
                </c:pt>
                <c:pt idx="1342">
                  <c:v>0.53458360061291643</c:v>
                </c:pt>
                <c:pt idx="1343">
                  <c:v>0.48868605992289837</c:v>
                </c:pt>
                <c:pt idx="1344">
                  <c:v>0.49253745915340469</c:v>
                </c:pt>
                <c:pt idx="1345">
                  <c:v>0.48894140575035439</c:v>
                </c:pt>
                <c:pt idx="1346">
                  <c:v>0.52665570589178812</c:v>
                </c:pt>
                <c:pt idx="1347">
                  <c:v>0.49534254492942592</c:v>
                </c:pt>
                <c:pt idx="1348">
                  <c:v>0.52168975807968088</c:v>
                </c:pt>
                <c:pt idx="1349">
                  <c:v>0.48282986624022345</c:v>
                </c:pt>
                <c:pt idx="1350">
                  <c:v>0.4769427229968175</c:v>
                </c:pt>
                <c:pt idx="1351">
                  <c:v>0.46703330247709579</c:v>
                </c:pt>
                <c:pt idx="1352">
                  <c:v>0.52844771748222263</c:v>
                </c:pt>
                <c:pt idx="1353">
                  <c:v>0.50062461330515973</c:v>
                </c:pt>
                <c:pt idx="1354">
                  <c:v>0.48990197530208385</c:v>
                </c:pt>
                <c:pt idx="1355">
                  <c:v>0.49026589044697755</c:v>
                </c:pt>
                <c:pt idx="1356">
                  <c:v>0.50744039578374034</c:v>
                </c:pt>
                <c:pt idx="1357">
                  <c:v>0.53050948690716226</c:v>
                </c:pt>
                <c:pt idx="1358">
                  <c:v>0.59164016676795261</c:v>
                </c:pt>
                <c:pt idx="1359">
                  <c:v>0.59481602960338331</c:v>
                </c:pt>
                <c:pt idx="1360">
                  <c:v>0.51554521800399478</c:v>
                </c:pt>
                <c:pt idx="1361">
                  <c:v>0.53759861893385241</c:v>
                </c:pt>
                <c:pt idx="1362">
                  <c:v>0.52205567265932806</c:v>
                </c:pt>
                <c:pt idx="1363">
                  <c:v>0.5261981087420774</c:v>
                </c:pt>
                <c:pt idx="1364">
                  <c:v>0.52886234582142622</c:v>
                </c:pt>
                <c:pt idx="1365">
                  <c:v>0.53229755649528232</c:v>
                </c:pt>
                <c:pt idx="1366">
                  <c:v>0.55732273796040011</c:v>
                </c:pt>
                <c:pt idx="1367">
                  <c:v>0.52876094308636279</c:v>
                </c:pt>
                <c:pt idx="1368">
                  <c:v>0.53451029027796859</c:v>
                </c:pt>
                <c:pt idx="1369">
                  <c:v>0.54753350040558635</c:v>
                </c:pt>
                <c:pt idx="1370">
                  <c:v>0.53926007014219624</c:v>
                </c:pt>
                <c:pt idx="1371">
                  <c:v>0.55033672964724423</c:v>
                </c:pt>
                <c:pt idx="1372">
                  <c:v>0.53833867869183349</c:v>
                </c:pt>
                <c:pt idx="1373">
                  <c:v>0.53636915498149307</c:v>
                </c:pt>
                <c:pt idx="1374">
                  <c:v>0.50438481064986407</c:v>
                </c:pt>
                <c:pt idx="1375">
                  <c:v>0.53631231471703045</c:v>
                </c:pt>
                <c:pt idx="1376">
                  <c:v>0.54781616438348024</c:v>
                </c:pt>
                <c:pt idx="1377">
                  <c:v>0.53973081232530873</c:v>
                </c:pt>
                <c:pt idx="1378">
                  <c:v>0.5181572771756966</c:v>
                </c:pt>
                <c:pt idx="1379">
                  <c:v>0.52305077867650185</c:v>
                </c:pt>
                <c:pt idx="1380">
                  <c:v>0.51273534546807586</c:v>
                </c:pt>
                <c:pt idx="1381">
                  <c:v>0.50929622839874888</c:v>
                </c:pt>
                <c:pt idx="1382">
                  <c:v>0.53387496559787373</c:v>
                </c:pt>
                <c:pt idx="1383">
                  <c:v>0.5343152854394716</c:v>
                </c:pt>
                <c:pt idx="1384">
                  <c:v>0.51421400128904626</c:v>
                </c:pt>
                <c:pt idx="1385">
                  <c:v>0.49670663454801967</c:v>
                </c:pt>
                <c:pt idx="1386">
                  <c:v>0.49052620472354186</c:v>
                </c:pt>
                <c:pt idx="1387">
                  <c:v>0.52428691804359906</c:v>
                </c:pt>
                <c:pt idx="1388">
                  <c:v>0.5230937546758424</c:v>
                </c:pt>
                <c:pt idx="1389">
                  <c:v>0.51200053786529742</c:v>
                </c:pt>
                <c:pt idx="1390">
                  <c:v>0.51423008356978872</c:v>
                </c:pt>
                <c:pt idx="1391">
                  <c:v>0.49396691598456105</c:v>
                </c:pt>
                <c:pt idx="1392">
                  <c:v>0.47252842141802409</c:v>
                </c:pt>
                <c:pt idx="1393">
                  <c:v>0.4898981799855901</c:v>
                </c:pt>
                <c:pt idx="1394">
                  <c:v>0.49769107020387854</c:v>
                </c:pt>
                <c:pt idx="1395">
                  <c:v>0.51855526168997723</c:v>
                </c:pt>
                <c:pt idx="1396">
                  <c:v>0.52299438250445529</c:v>
                </c:pt>
                <c:pt idx="1397">
                  <c:v>0.50817190148576519</c:v>
                </c:pt>
                <c:pt idx="1398">
                  <c:v>0.49739674744627949</c:v>
                </c:pt>
                <c:pt idx="1399">
                  <c:v>0.50620146137138733</c:v>
                </c:pt>
                <c:pt idx="1400">
                  <c:v>0.48859315684196553</c:v>
                </c:pt>
                <c:pt idx="1401">
                  <c:v>0.52145949962725124</c:v>
                </c:pt>
                <c:pt idx="1402">
                  <c:v>0.46295084718177276</c:v>
                </c:pt>
                <c:pt idx="1403">
                  <c:v>0.50095800636992305</c:v>
                </c:pt>
                <c:pt idx="1404">
                  <c:v>0.50575810749160754</c:v>
                </c:pt>
                <c:pt idx="1405">
                  <c:v>0.49331595838613818</c:v>
                </c:pt>
                <c:pt idx="1406">
                  <c:v>0.52371161783223041</c:v>
                </c:pt>
                <c:pt idx="1407">
                  <c:v>0.50410084096984054</c:v>
                </c:pt>
                <c:pt idx="1408">
                  <c:v>0.51207307281847525</c:v>
                </c:pt>
                <c:pt idx="1409">
                  <c:v>0.49796932626517176</c:v>
                </c:pt>
                <c:pt idx="1410">
                  <c:v>0.49007455686956047</c:v>
                </c:pt>
                <c:pt idx="1411">
                  <c:v>0.49190660156165161</c:v>
                </c:pt>
                <c:pt idx="1412">
                  <c:v>0.50785047669981342</c:v>
                </c:pt>
                <c:pt idx="1413">
                  <c:v>0.50827189373050152</c:v>
                </c:pt>
                <c:pt idx="1414">
                  <c:v>0.5087311310334105</c:v>
                </c:pt>
                <c:pt idx="1415">
                  <c:v>0.50082396706173904</c:v>
                </c:pt>
                <c:pt idx="1416">
                  <c:v>0.4926888851425188</c:v>
                </c:pt>
                <c:pt idx="1417">
                  <c:v>0.50217917359530906</c:v>
                </c:pt>
                <c:pt idx="1418">
                  <c:v>0.50002888626492725</c:v>
                </c:pt>
                <c:pt idx="1419">
                  <c:v>0.5116260488050014</c:v>
                </c:pt>
                <c:pt idx="1420">
                  <c:v>0.49450216887507886</c:v>
                </c:pt>
                <c:pt idx="1421">
                  <c:v>0.48789991543790989</c:v>
                </c:pt>
                <c:pt idx="1422">
                  <c:v>0.5114719895586709</c:v>
                </c:pt>
                <c:pt idx="1423">
                  <c:v>0.51550930709986575</c:v>
                </c:pt>
                <c:pt idx="1424">
                  <c:v>0.50814265411926796</c:v>
                </c:pt>
                <c:pt idx="1425">
                  <c:v>0.4739554633589011</c:v>
                </c:pt>
                <c:pt idx="1426">
                  <c:v>0.5031197996185699</c:v>
                </c:pt>
                <c:pt idx="1427">
                  <c:v>0.50282981647376801</c:v>
                </c:pt>
                <c:pt idx="1428">
                  <c:v>0.4893717153976897</c:v>
                </c:pt>
                <c:pt idx="1429">
                  <c:v>0.49632107128803327</c:v>
                </c:pt>
                <c:pt idx="1430">
                  <c:v>0.49156184345321507</c:v>
                </c:pt>
                <c:pt idx="1431">
                  <c:v>0.51664601565523416</c:v>
                </c:pt>
                <c:pt idx="1432">
                  <c:v>0.47709360375741627</c:v>
                </c:pt>
                <c:pt idx="1433">
                  <c:v>0.48587581485217257</c:v>
                </c:pt>
                <c:pt idx="1434">
                  <c:v>0.501673005681607</c:v>
                </c:pt>
                <c:pt idx="1435">
                  <c:v>0.50263725128149406</c:v>
                </c:pt>
                <c:pt idx="1436">
                  <c:v>0.53421590967677057</c:v>
                </c:pt>
                <c:pt idx="1437">
                  <c:v>0.49655881807499375</c:v>
                </c:pt>
                <c:pt idx="1438">
                  <c:v>0.50053505256813591</c:v>
                </c:pt>
                <c:pt idx="1439">
                  <c:v>0.49290447827422779</c:v>
                </c:pt>
                <c:pt idx="1440">
                  <c:v>0.48117681054592509</c:v>
                </c:pt>
                <c:pt idx="1441">
                  <c:v>0.51216469266152365</c:v>
                </c:pt>
                <c:pt idx="1442">
                  <c:v>0.4890180365732581</c:v>
                </c:pt>
                <c:pt idx="1443">
                  <c:v>0.47568948931164229</c:v>
                </c:pt>
                <c:pt idx="1444">
                  <c:v>0.48809630270588283</c:v>
                </c:pt>
                <c:pt idx="1445">
                  <c:v>0.49244244172491147</c:v>
                </c:pt>
                <c:pt idx="1446">
                  <c:v>0.47361264181241391</c:v>
                </c:pt>
                <c:pt idx="1447">
                  <c:v>0.49632591891129213</c:v>
                </c:pt>
                <c:pt idx="1448">
                  <c:v>0.48308496499812142</c:v>
                </c:pt>
                <c:pt idx="1449">
                  <c:v>0.46869477469862642</c:v>
                </c:pt>
                <c:pt idx="1450">
                  <c:v>0.52755978951556493</c:v>
                </c:pt>
                <c:pt idx="1451">
                  <c:v>0.47030153614162323</c:v>
                </c:pt>
                <c:pt idx="1452">
                  <c:v>0.47110034457768496</c:v>
                </c:pt>
                <c:pt idx="1453">
                  <c:v>0.47767621786631587</c:v>
                </c:pt>
                <c:pt idx="1454">
                  <c:v>0.49531033825711812</c:v>
                </c:pt>
                <c:pt idx="1455">
                  <c:v>0.47469590908926218</c:v>
                </c:pt>
                <c:pt idx="1456">
                  <c:v>0.49184937078588714</c:v>
                </c:pt>
                <c:pt idx="1457">
                  <c:v>0.49353932547100826</c:v>
                </c:pt>
                <c:pt idx="1458">
                  <c:v>0.49190576204487396</c:v>
                </c:pt>
                <c:pt idx="1459">
                  <c:v>0.51720025407338677</c:v>
                </c:pt>
                <c:pt idx="1460">
                  <c:v>0.50591271640982871</c:v>
                </c:pt>
                <c:pt idx="1461">
                  <c:v>0.49965492164636405</c:v>
                </c:pt>
                <c:pt idx="1462">
                  <c:v>0.46135278707931732</c:v>
                </c:pt>
                <c:pt idx="1463">
                  <c:v>0.45268784976898357</c:v>
                </c:pt>
                <c:pt idx="1464">
                  <c:v>0.48275127820556996</c:v>
                </c:pt>
                <c:pt idx="1465">
                  <c:v>0.49436222622540288</c:v>
                </c:pt>
                <c:pt idx="1466">
                  <c:v>0.50504885736426985</c:v>
                </c:pt>
                <c:pt idx="1467">
                  <c:v>0.52152014706650396</c:v>
                </c:pt>
                <c:pt idx="1468">
                  <c:v>0.459610032895229</c:v>
                </c:pt>
                <c:pt idx="1469">
                  <c:v>0.49053617050759757</c:v>
                </c:pt>
                <c:pt idx="1470">
                  <c:v>0.47210407918340619</c:v>
                </c:pt>
                <c:pt idx="1471">
                  <c:v>0.47734428004309876</c:v>
                </c:pt>
                <c:pt idx="1472">
                  <c:v>0.47316277051630068</c:v>
                </c:pt>
                <c:pt idx="1473">
                  <c:v>0.48870367966123046</c:v>
                </c:pt>
                <c:pt idx="1474">
                  <c:v>0.50989133425250333</c:v>
                </c:pt>
                <c:pt idx="1475">
                  <c:v>0.49344062309808129</c:v>
                </c:pt>
                <c:pt idx="1476">
                  <c:v>0.49853770621782023</c:v>
                </c:pt>
                <c:pt idx="1477">
                  <c:v>0.45823826539409518</c:v>
                </c:pt>
                <c:pt idx="1478">
                  <c:v>0.48855536963068003</c:v>
                </c:pt>
                <c:pt idx="1479">
                  <c:v>0.4989945457065621</c:v>
                </c:pt>
                <c:pt idx="1480">
                  <c:v>0.46145455486691911</c:v>
                </c:pt>
                <c:pt idx="1481">
                  <c:v>0.46263709354972865</c:v>
                </c:pt>
                <c:pt idx="1482">
                  <c:v>0.49341468909253672</c:v>
                </c:pt>
                <c:pt idx="1483">
                  <c:v>0.49147641648066731</c:v>
                </c:pt>
                <c:pt idx="1484">
                  <c:v>0.48960246505462401</c:v>
                </c:pt>
                <c:pt idx="1485">
                  <c:v>0.38679404284787572</c:v>
                </c:pt>
                <c:pt idx="1486">
                  <c:v>0.54871670490503255</c:v>
                </c:pt>
                <c:pt idx="1487">
                  <c:v>0.51604408555478098</c:v>
                </c:pt>
                <c:pt idx="1488">
                  <c:v>0.52838236937999838</c:v>
                </c:pt>
                <c:pt idx="1489">
                  <c:v>0.51736984491160132</c:v>
                </c:pt>
                <c:pt idx="1490">
                  <c:v>0.54645085971485285</c:v>
                </c:pt>
                <c:pt idx="1491">
                  <c:v>0.51809945153320225</c:v>
                </c:pt>
                <c:pt idx="1492">
                  <c:v>0.56727333768899546</c:v>
                </c:pt>
                <c:pt idx="1493">
                  <c:v>0.52252404245590967</c:v>
                </c:pt>
                <c:pt idx="1494">
                  <c:v>0.51391018684822265</c:v>
                </c:pt>
                <c:pt idx="1495">
                  <c:v>0.52128914481664568</c:v>
                </c:pt>
                <c:pt idx="1496">
                  <c:v>0.55557045986472819</c:v>
                </c:pt>
                <c:pt idx="1497">
                  <c:v>0.54153431460724022</c:v>
                </c:pt>
                <c:pt idx="1498">
                  <c:v>0.53306260593563759</c:v>
                </c:pt>
                <c:pt idx="1499">
                  <c:v>0.53626064677801455</c:v>
                </c:pt>
                <c:pt idx="1500">
                  <c:v>0.54665689751284785</c:v>
                </c:pt>
                <c:pt idx="1501">
                  <c:v>0.56810628617220782</c:v>
                </c:pt>
                <c:pt idx="1502">
                  <c:v>0.62425795623160063</c:v>
                </c:pt>
                <c:pt idx="1503">
                  <c:v>0.63406020772375671</c:v>
                </c:pt>
                <c:pt idx="1504">
                  <c:v>0.55165770208993214</c:v>
                </c:pt>
                <c:pt idx="1505">
                  <c:v>0.58167198050678814</c:v>
                </c:pt>
                <c:pt idx="1506">
                  <c:v>0.57285104820520216</c:v>
                </c:pt>
                <c:pt idx="1507">
                  <c:v>0.55971815058890584</c:v>
                </c:pt>
                <c:pt idx="1508">
                  <c:v>0.57250647882390038</c:v>
                </c:pt>
                <c:pt idx="1509">
                  <c:v>0.56815136646303521</c:v>
                </c:pt>
                <c:pt idx="1510">
                  <c:v>0.59434116134685933</c:v>
                </c:pt>
                <c:pt idx="1511">
                  <c:v>0.57497052782014901</c:v>
                </c:pt>
                <c:pt idx="1512">
                  <c:v>0.56321045698808159</c:v>
                </c:pt>
                <c:pt idx="1513">
                  <c:v>0.56906733702627088</c:v>
                </c:pt>
                <c:pt idx="1514">
                  <c:v>0.57961864768113203</c:v>
                </c:pt>
                <c:pt idx="1515">
                  <c:v>0.57689060988493879</c:v>
                </c:pt>
                <c:pt idx="1516">
                  <c:v>0.57102728163725136</c:v>
                </c:pt>
                <c:pt idx="1517">
                  <c:v>0.58325898137990007</c:v>
                </c:pt>
                <c:pt idx="1518">
                  <c:v>0.53449240473716464</c:v>
                </c:pt>
                <c:pt idx="1519">
                  <c:v>0.56444590280691675</c:v>
                </c:pt>
                <c:pt idx="1520">
                  <c:v>0.57865685640381026</c:v>
                </c:pt>
                <c:pt idx="1521">
                  <c:v>0.56865151405214387</c:v>
                </c:pt>
                <c:pt idx="1522">
                  <c:v>0.55101047945717296</c:v>
                </c:pt>
                <c:pt idx="1523">
                  <c:v>0.56111892211053171</c:v>
                </c:pt>
                <c:pt idx="1524">
                  <c:v>0.55691719542531082</c:v>
                </c:pt>
                <c:pt idx="1525">
                  <c:v>0.5449474063531875</c:v>
                </c:pt>
                <c:pt idx="1526">
                  <c:v>0.55700910181363517</c:v>
                </c:pt>
                <c:pt idx="1527">
                  <c:v>0.54779955665563851</c:v>
                </c:pt>
                <c:pt idx="1528">
                  <c:v>0.53872337374391632</c:v>
                </c:pt>
                <c:pt idx="1529">
                  <c:v>0.54226620847412998</c:v>
                </c:pt>
                <c:pt idx="1530">
                  <c:v>0.52335815882817827</c:v>
                </c:pt>
                <c:pt idx="1531">
                  <c:v>0.56100854924774024</c:v>
                </c:pt>
                <c:pt idx="1532">
                  <c:v>0.56387900631691679</c:v>
                </c:pt>
                <c:pt idx="1533">
                  <c:v>0.54081256200143502</c:v>
                </c:pt>
                <c:pt idx="1534">
                  <c:v>0.54719620418079706</c:v>
                </c:pt>
                <c:pt idx="1535">
                  <c:v>0.52016060679886922</c:v>
                </c:pt>
                <c:pt idx="1536">
                  <c:v>0.49579110764296352</c:v>
                </c:pt>
                <c:pt idx="1537">
                  <c:v>0.51459449988666706</c:v>
                </c:pt>
                <c:pt idx="1538">
                  <c:v>0.51197528805018278</c:v>
                </c:pt>
                <c:pt idx="1539">
                  <c:v>0.55511162646043855</c:v>
                </c:pt>
                <c:pt idx="1540">
                  <c:v>0.5467846658619957</c:v>
                </c:pt>
                <c:pt idx="1541">
                  <c:v>0.52771894144241549</c:v>
                </c:pt>
                <c:pt idx="1542">
                  <c:v>0.53045891641212073</c:v>
                </c:pt>
                <c:pt idx="1543">
                  <c:v>0.54027027153674456</c:v>
                </c:pt>
                <c:pt idx="1544">
                  <c:v>0.51501473330725378</c:v>
                </c:pt>
                <c:pt idx="1545">
                  <c:v>0.54259340943085377</c:v>
                </c:pt>
                <c:pt idx="1546">
                  <c:v>0.49709227058743394</c:v>
                </c:pt>
                <c:pt idx="1547">
                  <c:v>0.53021801761343135</c:v>
                </c:pt>
                <c:pt idx="1548">
                  <c:v>0.53016574760242796</c:v>
                </c:pt>
                <c:pt idx="1549">
                  <c:v>0.5093244572537613</c:v>
                </c:pt>
                <c:pt idx="1550">
                  <c:v>0.54446468424241234</c:v>
                </c:pt>
                <c:pt idx="1551">
                  <c:v>0.5188970028698805</c:v>
                </c:pt>
                <c:pt idx="1552">
                  <c:v>0.52069165599600309</c:v>
                </c:pt>
                <c:pt idx="1553">
                  <c:v>0.51557065861875562</c:v>
                </c:pt>
                <c:pt idx="1554">
                  <c:v>0.50297455945226732</c:v>
                </c:pt>
                <c:pt idx="1555">
                  <c:v>0.50990475838608051</c:v>
                </c:pt>
                <c:pt idx="1556">
                  <c:v>0.5209464024290813</c:v>
                </c:pt>
                <c:pt idx="1557">
                  <c:v>0.52305911374818248</c:v>
                </c:pt>
                <c:pt idx="1558">
                  <c:v>0.52867982955979786</c:v>
                </c:pt>
                <c:pt idx="1559">
                  <c:v>0.51936773896522181</c:v>
                </c:pt>
                <c:pt idx="1560">
                  <c:v>0.50416164895158144</c:v>
                </c:pt>
                <c:pt idx="1561">
                  <c:v>0.51945848951059514</c:v>
                </c:pt>
                <c:pt idx="1562">
                  <c:v>0.51734173832389718</c:v>
                </c:pt>
                <c:pt idx="1563">
                  <c:v>0.52330518674559168</c:v>
                </c:pt>
                <c:pt idx="1564">
                  <c:v>0.50734912406127974</c:v>
                </c:pt>
                <c:pt idx="1565">
                  <c:v>0.50088633200880339</c:v>
                </c:pt>
                <c:pt idx="1566">
                  <c:v>0.52075175610926272</c:v>
                </c:pt>
                <c:pt idx="1567">
                  <c:v>0.53025875311290793</c:v>
                </c:pt>
                <c:pt idx="1568">
                  <c:v>0.51690169251303164</c:v>
                </c:pt>
                <c:pt idx="1569">
                  <c:v>0.4770210659036157</c:v>
                </c:pt>
                <c:pt idx="1570">
                  <c:v>0.50804249729436801</c:v>
                </c:pt>
                <c:pt idx="1571">
                  <c:v>0.51535038889743656</c:v>
                </c:pt>
                <c:pt idx="1572">
                  <c:v>0.49742133952668222</c:v>
                </c:pt>
                <c:pt idx="1573">
                  <c:v>0.50953436860471446</c:v>
                </c:pt>
                <c:pt idx="1574">
                  <c:v>0.49455599166375702</c:v>
                </c:pt>
                <c:pt idx="1575">
                  <c:v>0.52100476623241387</c:v>
                </c:pt>
                <c:pt idx="1576">
                  <c:v>0.4883882486983529</c:v>
                </c:pt>
                <c:pt idx="1577">
                  <c:v>0.49077640301783493</c:v>
                </c:pt>
                <c:pt idx="1578">
                  <c:v>0.50400110833098088</c:v>
                </c:pt>
                <c:pt idx="1579">
                  <c:v>0.5202100310778438</c:v>
                </c:pt>
                <c:pt idx="1580">
                  <c:v>0.53888677542893326</c:v>
                </c:pt>
                <c:pt idx="1581">
                  <c:v>0.51586219175219861</c:v>
                </c:pt>
                <c:pt idx="1582">
                  <c:v>0.51165051672873907</c:v>
                </c:pt>
                <c:pt idx="1583">
                  <c:v>0.50490534735441162</c:v>
                </c:pt>
                <c:pt idx="1584">
                  <c:v>0.49762741616088629</c:v>
                </c:pt>
                <c:pt idx="1585">
                  <c:v>0.51475754457439571</c:v>
                </c:pt>
                <c:pt idx="1586">
                  <c:v>0.50874176450205577</c:v>
                </c:pt>
                <c:pt idx="1587">
                  <c:v>0.47833312586840859</c:v>
                </c:pt>
                <c:pt idx="1588">
                  <c:v>0.49656850796145363</c:v>
                </c:pt>
                <c:pt idx="1589">
                  <c:v>0.50474725495603801</c:v>
                </c:pt>
                <c:pt idx="1590">
                  <c:v>0.48635579928817196</c:v>
                </c:pt>
                <c:pt idx="1591">
                  <c:v>0.50771665935336796</c:v>
                </c:pt>
                <c:pt idx="1592">
                  <c:v>0.5005431453386251</c:v>
                </c:pt>
                <c:pt idx="1593">
                  <c:v>0.47985491328173907</c:v>
                </c:pt>
                <c:pt idx="1594">
                  <c:v>0.53656462869887123</c:v>
                </c:pt>
                <c:pt idx="1595">
                  <c:v>0.49387694656943104</c:v>
                </c:pt>
                <c:pt idx="1596">
                  <c:v>0.49067356272560597</c:v>
                </c:pt>
                <c:pt idx="1597">
                  <c:v>0.49685799740453362</c:v>
                </c:pt>
                <c:pt idx="1598">
                  <c:v>0.51300679619379019</c:v>
                </c:pt>
                <c:pt idx="1599">
                  <c:v>0.49288982021537397</c:v>
                </c:pt>
                <c:pt idx="1600">
                  <c:v>0.51585848424498548</c:v>
                </c:pt>
                <c:pt idx="1601">
                  <c:v>0.51828817968315921</c:v>
                </c:pt>
                <c:pt idx="1602">
                  <c:v>0.513091822963468</c:v>
                </c:pt>
                <c:pt idx="1603">
                  <c:v>0.54732947919229991</c:v>
                </c:pt>
                <c:pt idx="1604">
                  <c:v>0.52512530610522534</c:v>
                </c:pt>
                <c:pt idx="1605">
                  <c:v>0.52903271079266745</c:v>
                </c:pt>
                <c:pt idx="1606">
                  <c:v>0.49950659301258971</c:v>
                </c:pt>
                <c:pt idx="1607">
                  <c:v>0.51393293043012134</c:v>
                </c:pt>
                <c:pt idx="1608">
                  <c:v>0.49298990397332632</c:v>
                </c:pt>
                <c:pt idx="1609">
                  <c:v>0.53652650055274043</c:v>
                </c:pt>
                <c:pt idx="1610">
                  <c:v>0.54700114493172713</c:v>
                </c:pt>
                <c:pt idx="1611">
                  <c:v>0.56600215461172532</c:v>
                </c:pt>
                <c:pt idx="1612">
                  <c:v>0.50005950907047192</c:v>
                </c:pt>
                <c:pt idx="1613">
                  <c:v>0.51962418181113723</c:v>
                </c:pt>
                <c:pt idx="1614">
                  <c:v>0.52172672919081087</c:v>
                </c:pt>
                <c:pt idx="1615">
                  <c:v>0.51331776932812223</c:v>
                </c:pt>
                <c:pt idx="1616">
                  <c:v>0.52564113102926668</c:v>
                </c:pt>
                <c:pt idx="1617">
                  <c:v>0.52416703464824344</c:v>
                </c:pt>
                <c:pt idx="1618">
                  <c:v>0.54305346501268781</c:v>
                </c:pt>
                <c:pt idx="1619">
                  <c:v>0.53060433871343249</c:v>
                </c:pt>
                <c:pt idx="1620">
                  <c:v>0.55276503960610812</c:v>
                </c:pt>
                <c:pt idx="1621">
                  <c:v>0.48080132004472004</c:v>
                </c:pt>
                <c:pt idx="1622">
                  <c:v>0.52226513161876731</c:v>
                </c:pt>
                <c:pt idx="1623">
                  <c:v>0.53191950238213292</c:v>
                </c:pt>
                <c:pt idx="1624">
                  <c:v>0.50517535666217595</c:v>
                </c:pt>
                <c:pt idx="1625">
                  <c:v>0.5004601529936048</c:v>
                </c:pt>
                <c:pt idx="1626">
                  <c:v>0.52731147337094675</c:v>
                </c:pt>
                <c:pt idx="1627">
                  <c:v>0.54449691547093193</c:v>
                </c:pt>
                <c:pt idx="1628">
                  <c:v>0.53171618138015986</c:v>
                </c:pt>
                <c:pt idx="1629">
                  <c:v>0.50281467092386178</c:v>
                </c:pt>
                <c:pt idx="1630">
                  <c:v>0.46715493041691386</c:v>
                </c:pt>
                <c:pt idx="1631">
                  <c:v>0.49770722386716348</c:v>
                </c:pt>
                <c:pt idx="1632">
                  <c:v>0.5021389970531247</c:v>
                </c:pt>
                <c:pt idx="1633">
                  <c:v>0.49482875810172339</c:v>
                </c:pt>
                <c:pt idx="1634">
                  <c:v>0.51236829729449085</c:v>
                </c:pt>
                <c:pt idx="1635">
                  <c:v>0.50266878268295956</c:v>
                </c:pt>
                <c:pt idx="1636">
                  <c:v>0.4805618237602442</c:v>
                </c:pt>
                <c:pt idx="1637">
                  <c:v>0.47512499930527324</c:v>
                </c:pt>
                <c:pt idx="1638">
                  <c:v>0.45839593628316039</c:v>
                </c:pt>
                <c:pt idx="1639">
                  <c:v>0.4826623851440931</c:v>
                </c:pt>
                <c:pt idx="1640">
                  <c:v>0.4971221334104477</c:v>
                </c:pt>
                <c:pt idx="1641">
                  <c:v>0.4922336098061475</c:v>
                </c:pt>
                <c:pt idx="1642">
                  <c:v>0.4769427229968175</c:v>
                </c:pt>
                <c:pt idx="1643">
                  <c:v>0.48500680764003073</c:v>
                </c:pt>
                <c:pt idx="1644">
                  <c:v>0.51611528668710605</c:v>
                </c:pt>
                <c:pt idx="1645">
                  <c:v>0.49019790784648243</c:v>
                </c:pt>
                <c:pt idx="1646">
                  <c:v>0.50402913919004555</c:v>
                </c:pt>
                <c:pt idx="1647">
                  <c:v>0.52426055432830598</c:v>
                </c:pt>
                <c:pt idx="1648">
                  <c:v>0.50001405471301175</c:v>
                </c:pt>
                <c:pt idx="1649">
                  <c:v>0.51162591509671307</c:v>
                </c:pt>
                <c:pt idx="1650">
                  <c:v>0.50354800938660782</c:v>
                </c:pt>
                <c:pt idx="1651">
                  <c:v>0.49774615586849946</c:v>
                </c:pt>
                <c:pt idx="1652">
                  <c:v>0.48201629216284758</c:v>
                </c:pt>
                <c:pt idx="1653">
                  <c:v>0.5148317441590583</c:v>
                </c:pt>
                <c:pt idx="1654">
                  <c:v>0.51741985166650717</c:v>
                </c:pt>
                <c:pt idx="1655">
                  <c:v>0.53566760459630502</c:v>
                </c:pt>
                <c:pt idx="1656">
                  <c:v>0.52478402242541922</c:v>
                </c:pt>
                <c:pt idx="1657">
                  <c:v>0.53758375700661831</c:v>
                </c:pt>
                <c:pt idx="1658">
                  <c:v>0.5339256479661082</c:v>
                </c:pt>
                <c:pt idx="1659">
                  <c:v>0.50749155896536924</c:v>
                </c:pt>
                <c:pt idx="1660">
                  <c:v>0.51039150555588098</c:v>
                </c:pt>
                <c:pt idx="1661">
                  <c:v>0.5044187984077082</c:v>
                </c:pt>
                <c:pt idx="1662">
                  <c:v>0.50695722082220929</c:v>
                </c:pt>
                <c:pt idx="1663">
                  <c:v>0.51149231995029143</c:v>
                </c:pt>
                <c:pt idx="1664">
                  <c:v>0.5368421562738086</c:v>
                </c:pt>
                <c:pt idx="1665">
                  <c:v>0.52912814250084506</c:v>
                </c:pt>
                <c:pt idx="1666">
                  <c:v>0.48185121771205264</c:v>
                </c:pt>
                <c:pt idx="1667">
                  <c:v>0.50105967322179856</c:v>
                </c:pt>
                <c:pt idx="1668">
                  <c:v>0.48527824845054784</c:v>
                </c:pt>
                <c:pt idx="1669">
                  <c:v>0.48190806309249118</c:v>
                </c:pt>
                <c:pt idx="1670">
                  <c:v>0.47928962118372331</c:v>
                </c:pt>
                <c:pt idx="1671">
                  <c:v>0.48960963884092595</c:v>
                </c:pt>
                <c:pt idx="1672">
                  <c:v>0.4843176379362395</c:v>
                </c:pt>
                <c:pt idx="1673">
                  <c:v>0.49657916658685602</c:v>
                </c:pt>
                <c:pt idx="1674">
                  <c:v>0.47370326053994366</c:v>
                </c:pt>
                <c:pt idx="1675">
                  <c:v>0.47870339941639334</c:v>
                </c:pt>
                <c:pt idx="1676">
                  <c:v>0.49357779659120282</c:v>
                </c:pt>
                <c:pt idx="1677">
                  <c:v>0.47476155869448877</c:v>
                </c:pt>
                <c:pt idx="1678">
                  <c:v>0.45621886436671549</c:v>
                </c:pt>
                <c:pt idx="1679">
                  <c:v>0.46179495838465506</c:v>
                </c:pt>
                <c:pt idx="1680">
                  <c:v>0.47903775953432409</c:v>
                </c:pt>
                <c:pt idx="1681">
                  <c:v>0.47271901356663587</c:v>
                </c:pt>
                <c:pt idx="1682">
                  <c:v>0.47351470563321058</c:v>
                </c:pt>
                <c:pt idx="1683">
                  <c:v>0.48193512288875434</c:v>
                </c:pt>
                <c:pt idx="1684">
                  <c:v>0.44899987174592826</c:v>
                </c:pt>
                <c:pt idx="1685">
                  <c:v>0.43932495542327904</c:v>
                </c:pt>
                <c:pt idx="1686">
                  <c:v>0.45117938032602667</c:v>
                </c:pt>
                <c:pt idx="1687">
                  <c:v>0.46398938867640943</c:v>
                </c:pt>
                <c:pt idx="1688">
                  <c:v>0.46350254546302883</c:v>
                </c:pt>
                <c:pt idx="1689">
                  <c:v>0.45678691254976145</c:v>
                </c:pt>
                <c:pt idx="1690">
                  <c:v>0.44470495268646693</c:v>
                </c:pt>
                <c:pt idx="1691">
                  <c:v>0.47304646702312214</c:v>
                </c:pt>
                <c:pt idx="1692">
                  <c:v>0.47300788712637831</c:v>
                </c:pt>
                <c:pt idx="1693">
                  <c:v>0.47455540597024332</c:v>
                </c:pt>
                <c:pt idx="1694">
                  <c:v>0.46018013819516979</c:v>
                </c:pt>
                <c:pt idx="1695">
                  <c:v>0.45630255468122682</c:v>
                </c:pt>
                <c:pt idx="1696">
                  <c:v>0.46657389054495524</c:v>
                </c:pt>
                <c:pt idx="1697">
                  <c:v>0.51008258899388148</c:v>
                </c:pt>
                <c:pt idx="1698">
                  <c:v>0.48706947704399467</c:v>
                </c:pt>
                <c:pt idx="1699">
                  <c:v>0.51919708709721923</c:v>
                </c:pt>
                <c:pt idx="1700">
                  <c:v>0.53347336235179166</c:v>
                </c:pt>
                <c:pt idx="1701">
                  <c:v>0.4873075334740728</c:v>
                </c:pt>
                <c:pt idx="1702">
                  <c:v>0.4792647008844626</c:v>
                </c:pt>
                <c:pt idx="1703">
                  <c:v>0.46555281770301993</c:v>
                </c:pt>
                <c:pt idx="1704">
                  <c:v>0.47666877376651468</c:v>
                </c:pt>
                <c:pt idx="1705">
                  <c:v>0.51386123755588786</c:v>
                </c:pt>
                <c:pt idx="1706">
                  <c:v>0.50861818483626653</c:v>
                </c:pt>
                <c:pt idx="1707">
                  <c:v>0.48501732735477515</c:v>
                </c:pt>
                <c:pt idx="1708">
                  <c:v>0.48280214772045987</c:v>
                </c:pt>
                <c:pt idx="1709">
                  <c:v>0.50457660270588922</c:v>
                </c:pt>
                <c:pt idx="1710">
                  <c:v>0.50545401372678744</c:v>
                </c:pt>
                <c:pt idx="1711">
                  <c:v>0.50885871547696138</c:v>
                </c:pt>
                <c:pt idx="1712">
                  <c:v>0.51635315674132121</c:v>
                </c:pt>
                <c:pt idx="1713">
                  <c:v>0.49272617476980601</c:v>
                </c:pt>
                <c:pt idx="1714">
                  <c:v>0.49666968514613463</c:v>
                </c:pt>
                <c:pt idx="1715">
                  <c:v>0.53632570442690697</c:v>
                </c:pt>
                <c:pt idx="1716">
                  <c:v>0.52161018766333933</c:v>
                </c:pt>
                <c:pt idx="1717">
                  <c:v>0.48946965827608868</c:v>
                </c:pt>
                <c:pt idx="1718">
                  <c:v>0.50679852169637185</c:v>
                </c:pt>
                <c:pt idx="1719">
                  <c:v>0.47855047978773901</c:v>
                </c:pt>
                <c:pt idx="1720">
                  <c:v>0.49181858338583606</c:v>
                </c:pt>
                <c:pt idx="1721">
                  <c:v>0.48134457868054836</c:v>
                </c:pt>
                <c:pt idx="1722">
                  <c:v>0.48869042968466347</c:v>
                </c:pt>
                <c:pt idx="1723">
                  <c:v>0.54968520662193043</c:v>
                </c:pt>
                <c:pt idx="1724">
                  <c:v>0.53229245674047521</c:v>
                </c:pt>
                <c:pt idx="1725">
                  <c:v>0.53510808061139026</c:v>
                </c:pt>
                <c:pt idx="1726">
                  <c:v>0.54726013694737841</c:v>
                </c:pt>
                <c:pt idx="1727">
                  <c:v>0.55528276331812221</c:v>
                </c:pt>
                <c:pt idx="1728">
                  <c:v>0.5345466933232681</c:v>
                </c:pt>
                <c:pt idx="1729">
                  <c:v>0.54163789470056867</c:v>
                </c:pt>
                <c:pt idx="1730">
                  <c:v>0.56186418873402377</c:v>
                </c:pt>
                <c:pt idx="1731">
                  <c:v>0.57201214983615545</c:v>
                </c:pt>
                <c:pt idx="1732">
                  <c:v>0.56327860476175295</c:v>
                </c:pt>
                <c:pt idx="1733">
                  <c:v>0.5794811995454493</c:v>
                </c:pt>
                <c:pt idx="1734">
                  <c:v>0.56961334939552744</c:v>
                </c:pt>
                <c:pt idx="1735">
                  <c:v>0.58030078470434399</c:v>
                </c:pt>
                <c:pt idx="1736">
                  <c:v>0.59522255213932196</c:v>
                </c:pt>
                <c:pt idx="1737">
                  <c:v>0.60991654263407347</c:v>
                </c:pt>
                <c:pt idx="1738">
                  <c:v>0.59339950055974933</c:v>
                </c:pt>
                <c:pt idx="1739">
                  <c:v>0.60513258729563735</c:v>
                </c:pt>
                <c:pt idx="1740">
                  <c:v>0.60856304330333866</c:v>
                </c:pt>
                <c:pt idx="1741">
                  <c:v>0.60470178781954109</c:v>
                </c:pt>
                <c:pt idx="1742">
                  <c:v>0.62576338904779594</c:v>
                </c:pt>
                <c:pt idx="1743">
                  <c:v>0.61923414031065815</c:v>
                </c:pt>
                <c:pt idx="1744">
                  <c:v>0.63280104849287355</c:v>
                </c:pt>
                <c:pt idx="1745">
                  <c:v>0.65584550909560924</c:v>
                </c:pt>
                <c:pt idx="1746">
                  <c:v>0.60334078959110715</c:v>
                </c:pt>
                <c:pt idx="1747">
                  <c:v>0.63568506400094615</c:v>
                </c:pt>
                <c:pt idx="1748">
                  <c:v>0.61925250796318454</c:v>
                </c:pt>
                <c:pt idx="1749">
                  <c:v>0.62952407056522475</c:v>
                </c:pt>
                <c:pt idx="1750">
                  <c:v>0.61451377138722518</c:v>
                </c:pt>
                <c:pt idx="1751">
                  <c:v>0.59743442129590107</c:v>
                </c:pt>
                <c:pt idx="1752">
                  <c:v>0.62205302431389109</c:v>
                </c:pt>
                <c:pt idx="1753">
                  <c:v>0.62671597743093943</c:v>
                </c:pt>
                <c:pt idx="1754">
                  <c:v>0.63445248141558241</c:v>
                </c:pt>
                <c:pt idx="1755">
                  <c:v>0.64932580270139684</c:v>
                </c:pt>
                <c:pt idx="1756">
                  <c:v>0.64606478547922175</c:v>
                </c:pt>
                <c:pt idx="1757">
                  <c:v>0.65185442866622889</c:v>
                </c:pt>
                <c:pt idx="1758">
                  <c:v>0.64692192338219345</c:v>
                </c:pt>
                <c:pt idx="1759">
                  <c:v>0.65285711551143166</c:v>
                </c:pt>
                <c:pt idx="1760">
                  <c:v>0.64195701932168692</c:v>
                </c:pt>
                <c:pt idx="1761">
                  <c:v>0.63748772815083976</c:v>
                </c:pt>
                <c:pt idx="1762">
                  <c:v>0.61277845448648316</c:v>
                </c:pt>
                <c:pt idx="1763">
                  <c:v>0.63321659276081144</c:v>
                </c:pt>
                <c:pt idx="1764">
                  <c:v>0.63878078533442495</c:v>
                </c:pt>
                <c:pt idx="1765">
                  <c:v>0.63018808235160062</c:v>
                </c:pt>
                <c:pt idx="1766">
                  <c:v>0.61471428893932489</c:v>
                </c:pt>
                <c:pt idx="1767">
                  <c:v>0.593795399515609</c:v>
                </c:pt>
                <c:pt idx="1768">
                  <c:v>0.64295502558500262</c:v>
                </c:pt>
                <c:pt idx="1769">
                  <c:v>0.6442905495892467</c:v>
                </c:pt>
                <c:pt idx="1770">
                  <c:v>0.63480795369575516</c:v>
                </c:pt>
                <c:pt idx="1771">
                  <c:v>0.63850563004715388</c:v>
                </c:pt>
                <c:pt idx="1772">
                  <c:v>0.6485965150724351</c:v>
                </c:pt>
                <c:pt idx="1773">
                  <c:v>0.60631213047186938</c:v>
                </c:pt>
                <c:pt idx="1774">
                  <c:v>0.53760138974539273</c:v>
                </c:pt>
                <c:pt idx="1775">
                  <c:v>0.50516653548140966</c:v>
                </c:pt>
                <c:pt idx="1776">
                  <c:v>0.53698558327040058</c:v>
                </c:pt>
                <c:pt idx="1777">
                  <c:v>0.53356871319457988</c:v>
                </c:pt>
                <c:pt idx="1778">
                  <c:v>0.53682903481700561</c:v>
                </c:pt>
                <c:pt idx="1779">
                  <c:v>0.55369640976347612</c:v>
                </c:pt>
                <c:pt idx="1780">
                  <c:v>0.55640913109876633</c:v>
                </c:pt>
                <c:pt idx="1781">
                  <c:v>0.53139945943054501</c:v>
                </c:pt>
                <c:pt idx="1782">
                  <c:v>0.50604397560611247</c:v>
                </c:pt>
                <c:pt idx="1783">
                  <c:v>0.50148225352708053</c:v>
                </c:pt>
                <c:pt idx="1784">
                  <c:v>0.50865992046422426</c:v>
                </c:pt>
                <c:pt idx="1785">
                  <c:v>0.53811255379717604</c:v>
                </c:pt>
                <c:pt idx="1786">
                  <c:v>0.5166536815429944</c:v>
                </c:pt>
                <c:pt idx="1787">
                  <c:v>0.52917938183111035</c:v>
                </c:pt>
                <c:pt idx="1788">
                  <c:v>0.50948882027928855</c:v>
                </c:pt>
                <c:pt idx="1789">
                  <c:v>0.54997834769410625</c:v>
                </c:pt>
                <c:pt idx="1790">
                  <c:v>0.52989238059692556</c:v>
                </c:pt>
                <c:pt idx="1791">
                  <c:v>0.54307697112989661</c:v>
                </c:pt>
                <c:pt idx="1792">
                  <c:v>0.54708741061625188</c:v>
                </c:pt>
                <c:pt idx="1793">
                  <c:v>0.53983570049616669</c:v>
                </c:pt>
                <c:pt idx="1794">
                  <c:v>0.54593620202611648</c:v>
                </c:pt>
                <c:pt idx="1795">
                  <c:v>0.54599241433182322</c:v>
                </c:pt>
                <c:pt idx="1796">
                  <c:v>0.52609323675626385</c:v>
                </c:pt>
                <c:pt idx="1797">
                  <c:v>0.49707540271510231</c:v>
                </c:pt>
                <c:pt idx="1798">
                  <c:v>0.52276859423198352</c:v>
                </c:pt>
                <c:pt idx="1799">
                  <c:v>0.54432531863266931</c:v>
                </c:pt>
                <c:pt idx="1800">
                  <c:v>0.54914321969875046</c:v>
                </c:pt>
                <c:pt idx="1801">
                  <c:v>0.54060598352150235</c:v>
                </c:pt>
                <c:pt idx="1802">
                  <c:v>0.55256114993428596</c:v>
                </c:pt>
                <c:pt idx="1803">
                  <c:v>0.54456137075272237</c:v>
                </c:pt>
                <c:pt idx="1804">
                  <c:v>0.53188377174952206</c:v>
                </c:pt>
                <c:pt idx="1805">
                  <c:v>0.52209391787692983</c:v>
                </c:pt>
                <c:pt idx="1806">
                  <c:v>0.51926553981895152</c:v>
                </c:pt>
                <c:pt idx="1807">
                  <c:v>0.5213176508905647</c:v>
                </c:pt>
                <c:pt idx="1808">
                  <c:v>0.5041337626791097</c:v>
                </c:pt>
                <c:pt idx="1809">
                  <c:v>0.55331018094927742</c:v>
                </c:pt>
                <c:pt idx="1810">
                  <c:v>0.54228153400585555</c:v>
                </c:pt>
                <c:pt idx="1811">
                  <c:v>0.5213462858424488</c:v>
                </c:pt>
                <c:pt idx="1812">
                  <c:v>0.51459821819999751</c:v>
                </c:pt>
                <c:pt idx="1813">
                  <c:v>0.51067688702453873</c:v>
                </c:pt>
                <c:pt idx="1814">
                  <c:v>0.50888912564568967</c:v>
                </c:pt>
                <c:pt idx="1815">
                  <c:v>0.49778577457047368</c:v>
                </c:pt>
                <c:pt idx="1816">
                  <c:v>0.50681677369519385</c:v>
                </c:pt>
                <c:pt idx="1817">
                  <c:v>0.49561037858670937</c:v>
                </c:pt>
                <c:pt idx="1818">
                  <c:v>0.49430670964100226</c:v>
                </c:pt>
                <c:pt idx="1819">
                  <c:v>0.49444653107465136</c:v>
                </c:pt>
                <c:pt idx="1820">
                  <c:v>0.49150470727352086</c:v>
                </c:pt>
                <c:pt idx="1821">
                  <c:v>0.50017772305211883</c:v>
                </c:pt>
                <c:pt idx="1822">
                  <c:v>0.49379907873335421</c:v>
                </c:pt>
                <c:pt idx="1823">
                  <c:v>0.46667295944654236</c:v>
                </c:pt>
                <c:pt idx="1824">
                  <c:v>0.46781595490035421</c:v>
                </c:pt>
                <c:pt idx="1825">
                  <c:v>0.4802884241012878</c:v>
                </c:pt>
                <c:pt idx="1826">
                  <c:v>0.47833687924945606</c:v>
                </c:pt>
                <c:pt idx="1827">
                  <c:v>0.4797487342285699</c:v>
                </c:pt>
                <c:pt idx="1828">
                  <c:v>0.48755153669649892</c:v>
                </c:pt>
                <c:pt idx="1829">
                  <c:v>0.46115744019422522</c:v>
                </c:pt>
                <c:pt idx="1830">
                  <c:v>0.45013913472989042</c:v>
                </c:pt>
                <c:pt idx="1831">
                  <c:v>0.45380282798261268</c:v>
                </c:pt>
                <c:pt idx="1832">
                  <c:v>0.46510552836386693</c:v>
                </c:pt>
                <c:pt idx="1833">
                  <c:v>0.47786976729429775</c:v>
                </c:pt>
                <c:pt idx="1834">
                  <c:v>0.45159671636011628</c:v>
                </c:pt>
                <c:pt idx="1835">
                  <c:v>0.45282014495909872</c:v>
                </c:pt>
                <c:pt idx="1836">
                  <c:v>0.46464541240156526</c:v>
                </c:pt>
                <c:pt idx="1837">
                  <c:v>0.47747462662507012</c:v>
                </c:pt>
                <c:pt idx="1838">
                  <c:v>0.46749681723726311</c:v>
                </c:pt>
                <c:pt idx="1839">
                  <c:v>0.47922407629072628</c:v>
                </c:pt>
                <c:pt idx="1840">
                  <c:v>0.46542449412823023</c:v>
                </c:pt>
                <c:pt idx="1841">
                  <c:v>0.46057959420103661</c:v>
                </c:pt>
                <c:pt idx="1842">
                  <c:v>0.5093337320485084</c:v>
                </c:pt>
                <c:pt idx="1843">
                  <c:v>0.48976518239759154</c:v>
                </c:pt>
                <c:pt idx="1844">
                  <c:v>0.51854354985587037</c:v>
                </c:pt>
                <c:pt idx="1845">
                  <c:v>0.5430573206006204</c:v>
                </c:pt>
                <c:pt idx="1846">
                  <c:v>0.49306024193428566</c:v>
                </c:pt>
                <c:pt idx="1847">
                  <c:v>0.48138916255730396</c:v>
                </c:pt>
                <c:pt idx="1848">
                  <c:v>0.46122907258289142</c:v>
                </c:pt>
                <c:pt idx="1849">
                  <c:v>0.47919972852504927</c:v>
                </c:pt>
                <c:pt idx="1850">
                  <c:v>0.51226830930756684</c:v>
                </c:pt>
                <c:pt idx="1851">
                  <c:v>0.51176093949669088</c:v>
                </c:pt>
                <c:pt idx="1852">
                  <c:v>0.49296868870139188</c:v>
                </c:pt>
                <c:pt idx="1853">
                  <c:v>0.47798839834700269</c:v>
                </c:pt>
                <c:pt idx="1854">
                  <c:v>0.50231211231961304</c:v>
                </c:pt>
                <c:pt idx="1855">
                  <c:v>0.50470391889769672</c:v>
                </c:pt>
                <c:pt idx="1856">
                  <c:v>0.50244746852589472</c:v>
                </c:pt>
                <c:pt idx="1857">
                  <c:v>0.51361667449763748</c:v>
                </c:pt>
                <c:pt idx="1858">
                  <c:v>0.50537439628721625</c:v>
                </c:pt>
                <c:pt idx="1859">
                  <c:v>0.48081151150096446</c:v>
                </c:pt>
                <c:pt idx="1860">
                  <c:v>0.51916239676203235</c:v>
                </c:pt>
                <c:pt idx="1861">
                  <c:v>0.52173051757212496</c:v>
                </c:pt>
                <c:pt idx="1862">
                  <c:v>0.4921443993038413</c:v>
                </c:pt>
                <c:pt idx="1863">
                  <c:v>0.50174072033296957</c:v>
                </c:pt>
                <c:pt idx="1864">
                  <c:v>0.47329320961175975</c:v>
                </c:pt>
                <c:pt idx="1865">
                  <c:v>0.4888703974781074</c:v>
                </c:pt>
                <c:pt idx="1866">
                  <c:v>0.48493557962477463</c:v>
                </c:pt>
                <c:pt idx="1867">
                  <c:v>0.4799246780657101</c:v>
                </c:pt>
                <c:pt idx="1868">
                  <c:v>0.53072527351944065</c:v>
                </c:pt>
                <c:pt idx="1869">
                  <c:v>0.53955356016723177</c:v>
                </c:pt>
                <c:pt idx="1870">
                  <c:v>0.53179341117641554</c:v>
                </c:pt>
                <c:pt idx="1871">
                  <c:v>0.53932668720083954</c:v>
                </c:pt>
                <c:pt idx="1872">
                  <c:v>0.55835655340104273</c:v>
                </c:pt>
                <c:pt idx="1873">
                  <c:v>0.53205359364395755</c:v>
                </c:pt>
                <c:pt idx="1874">
                  <c:v>0.54167145933443905</c:v>
                </c:pt>
                <c:pt idx="1875">
                  <c:v>0.55292713414051731</c:v>
                </c:pt>
                <c:pt idx="1876">
                  <c:v>0.56423273702471533</c:v>
                </c:pt>
                <c:pt idx="1877">
                  <c:v>0.564932712557354</c:v>
                </c:pt>
                <c:pt idx="1878">
                  <c:v>0.5815083165501318</c:v>
                </c:pt>
                <c:pt idx="1879">
                  <c:v>0.56779482259492009</c:v>
                </c:pt>
                <c:pt idx="1880">
                  <c:v>0.57759817746669906</c:v>
                </c:pt>
                <c:pt idx="1881">
                  <c:v>0.58673107060090313</c:v>
                </c:pt>
                <c:pt idx="1882">
                  <c:v>0.62066147287717743</c:v>
                </c:pt>
                <c:pt idx="1883">
                  <c:v>0.60611597741181511</c:v>
                </c:pt>
                <c:pt idx="1884">
                  <c:v>0.60733061487904205</c:v>
                </c:pt>
                <c:pt idx="1885">
                  <c:v>0.61436762321599425</c:v>
                </c:pt>
                <c:pt idx="1886">
                  <c:v>0.62360505930552335</c:v>
                </c:pt>
                <c:pt idx="1887">
                  <c:v>0.63255831211151914</c:v>
                </c:pt>
                <c:pt idx="1888">
                  <c:v>0.64224375548743484</c:v>
                </c:pt>
                <c:pt idx="1889">
                  <c:v>0.63809781621488282</c:v>
                </c:pt>
                <c:pt idx="1890">
                  <c:v>0.66329913495044468</c:v>
                </c:pt>
                <c:pt idx="1891">
                  <c:v>0.62732939071382354</c:v>
                </c:pt>
                <c:pt idx="1892">
                  <c:v>0.65789436000183643</c:v>
                </c:pt>
                <c:pt idx="1893">
                  <c:v>0.64642950862902615</c:v>
                </c:pt>
                <c:pt idx="1894">
                  <c:v>0.65735755400511009</c:v>
                </c:pt>
                <c:pt idx="1895">
                  <c:v>0.64159833268773803</c:v>
                </c:pt>
                <c:pt idx="1896">
                  <c:v>0.61029618253380047</c:v>
                </c:pt>
                <c:pt idx="1897">
                  <c:v>0.63849824226476004</c:v>
                </c:pt>
                <c:pt idx="1898">
                  <c:v>0.65593682156623156</c:v>
                </c:pt>
                <c:pt idx="1899">
                  <c:v>0.66015010490648884</c:v>
                </c:pt>
                <c:pt idx="1900">
                  <c:v>0.6725323969686432</c:v>
                </c:pt>
                <c:pt idx="1901">
                  <c:v>0.65955026926162652</c:v>
                </c:pt>
                <c:pt idx="1902">
                  <c:v>0.66926954267767524</c:v>
                </c:pt>
                <c:pt idx="1903">
                  <c:v>0.6772760877486852</c:v>
                </c:pt>
                <c:pt idx="1904">
                  <c:v>0.67435263597694761</c:v>
                </c:pt>
                <c:pt idx="1905">
                  <c:v>0.66138016271586408</c:v>
                </c:pt>
                <c:pt idx="1906">
                  <c:v>0.6658414895653435</c:v>
                </c:pt>
                <c:pt idx="1907">
                  <c:v>0.63587333121534939</c:v>
                </c:pt>
                <c:pt idx="1908">
                  <c:v>0.64337953118796376</c:v>
                </c:pt>
                <c:pt idx="1909">
                  <c:v>0.67005576124353161</c:v>
                </c:pt>
                <c:pt idx="1910">
                  <c:v>0.64918234198876856</c:v>
                </c:pt>
                <c:pt idx="1911">
                  <c:v>0.63975246298178001</c:v>
                </c:pt>
                <c:pt idx="1912">
                  <c:v>0.60567323209601176</c:v>
                </c:pt>
                <c:pt idx="1913">
                  <c:v>0.66788395134749723</c:v>
                </c:pt>
                <c:pt idx="1914">
                  <c:v>0.64510960235735992</c:v>
                </c:pt>
                <c:pt idx="1915">
                  <c:v>0.68073462702306953</c:v>
                </c:pt>
                <c:pt idx="1916">
                  <c:v>0.65297889703138612</c:v>
                </c:pt>
                <c:pt idx="1917">
                  <c:v>0.66523285313244152</c:v>
                </c:pt>
                <c:pt idx="1918">
                  <c:v>0.59608619686355413</c:v>
                </c:pt>
                <c:pt idx="1919">
                  <c:v>0.5979983185543899</c:v>
                </c:pt>
                <c:pt idx="1920">
                  <c:v>0.657052026457147</c:v>
                </c:pt>
                <c:pt idx="1921">
                  <c:v>0.64260833792480998</c:v>
                </c:pt>
                <c:pt idx="1922">
                  <c:v>0.66986735087507954</c:v>
                </c:pt>
                <c:pt idx="1923">
                  <c:v>0.67505712583728417</c:v>
                </c:pt>
                <c:pt idx="1924">
                  <c:v>0.6534666464431772</c:v>
                </c:pt>
                <c:pt idx="1925">
                  <c:v>0.63552626940113077</c:v>
                </c:pt>
                <c:pt idx="1926">
                  <c:v>0.67239372420157095</c:v>
                </c:pt>
                <c:pt idx="1927">
                  <c:v>0.61320946854344649</c:v>
                </c:pt>
                <c:pt idx="1928">
                  <c:v>0.68575033486157155</c:v>
                </c:pt>
                <c:pt idx="1929">
                  <c:v>0.66552648973783679</c:v>
                </c:pt>
                <c:pt idx="1930">
                  <c:v>0.63381444032919809</c:v>
                </c:pt>
                <c:pt idx="1931">
                  <c:v>0.63928832210878472</c:v>
                </c:pt>
                <c:pt idx="1932">
                  <c:v>0.68170468984101085</c:v>
                </c:pt>
                <c:pt idx="1933">
                  <c:v>0.66252646104356083</c:v>
                </c:pt>
                <c:pt idx="1934">
                  <c:v>0.66854441456971481</c:v>
                </c:pt>
                <c:pt idx="1935">
                  <c:v>0.64997560311374336</c:v>
                </c:pt>
                <c:pt idx="1936">
                  <c:v>0.67337585080169082</c:v>
                </c:pt>
                <c:pt idx="1937">
                  <c:v>0.64034933968219587</c:v>
                </c:pt>
                <c:pt idx="1938">
                  <c:v>0.62832648934336188</c:v>
                </c:pt>
                <c:pt idx="1939">
                  <c:v>0.66053147386403499</c:v>
                </c:pt>
                <c:pt idx="1940">
                  <c:v>0.67654702192989014</c:v>
                </c:pt>
                <c:pt idx="1941">
                  <c:v>0.67494587957525232</c:v>
                </c:pt>
                <c:pt idx="1942">
                  <c:v>0.65031626722810831</c:v>
                </c:pt>
                <c:pt idx="1943">
                  <c:v>0.6448013347967696</c:v>
                </c:pt>
                <c:pt idx="1944">
                  <c:v>0.67458596980390662</c:v>
                </c:pt>
                <c:pt idx="1945">
                  <c:v>0.64753377322917438</c:v>
                </c:pt>
                <c:pt idx="1946">
                  <c:v>0.66467543938276463</c:v>
                </c:pt>
                <c:pt idx="1947">
                  <c:v>0.64576033719240322</c:v>
                </c:pt>
                <c:pt idx="1948">
                  <c:v>0.663024180213871</c:v>
                </c:pt>
                <c:pt idx="1949">
                  <c:v>0.63324337212137449</c:v>
                </c:pt>
                <c:pt idx="1950">
                  <c:v>0.64152110695306408</c:v>
                </c:pt>
                <c:pt idx="1951">
                  <c:v>0.64455369671775453</c:v>
                </c:pt>
                <c:pt idx="1952">
                  <c:v>0.64681753028369204</c:v>
                </c:pt>
                <c:pt idx="1953">
                  <c:v>0.63995051801944003</c:v>
                </c:pt>
                <c:pt idx="1954">
                  <c:v>0.61142323323575209</c:v>
                </c:pt>
                <c:pt idx="1955">
                  <c:v>0.60419439812907083</c:v>
                </c:pt>
                <c:pt idx="1956">
                  <c:v>0.6333673440947849</c:v>
                </c:pt>
                <c:pt idx="1957">
                  <c:v>0.62868394569957486</c:v>
                </c:pt>
                <c:pt idx="1958">
                  <c:v>0.60617534887137525</c:v>
                </c:pt>
                <c:pt idx="1959">
                  <c:v>0.59098520182793179</c:v>
                </c:pt>
                <c:pt idx="1960">
                  <c:v>0.58053986732471652</c:v>
                </c:pt>
                <c:pt idx="1961">
                  <c:v>0.61480718546713331</c:v>
                </c:pt>
                <c:pt idx="1962">
                  <c:v>0.58582515832172455</c:v>
                </c:pt>
                <c:pt idx="1963">
                  <c:v>0.55612959302029041</c:v>
                </c:pt>
                <c:pt idx="1964">
                  <c:v>0.56367694837716564</c:v>
                </c:pt>
                <c:pt idx="1965">
                  <c:v>0.59042639357273297</c:v>
                </c:pt>
                <c:pt idx="1966">
                  <c:v>0.55396599565256832</c:v>
                </c:pt>
                <c:pt idx="1967">
                  <c:v>0.52397733567577787</c:v>
                </c:pt>
                <c:pt idx="1968">
                  <c:v>0.51240687128502971</c:v>
                </c:pt>
                <c:pt idx="1969">
                  <c:v>0.51697790398076504</c:v>
                </c:pt>
                <c:pt idx="1970">
                  <c:v>0.51191075407457509</c:v>
                </c:pt>
                <c:pt idx="1971">
                  <c:v>0.524201457428073</c:v>
                </c:pt>
                <c:pt idx="1972">
                  <c:v>0.48014425609180322</c:v>
                </c:pt>
                <c:pt idx="1973">
                  <c:v>0.4615887078076088</c:v>
                </c:pt>
                <c:pt idx="1974">
                  <c:v>0.45737345955530895</c:v>
                </c:pt>
                <c:pt idx="1975">
                  <c:v>0.48501306263626615</c:v>
                </c:pt>
                <c:pt idx="1976">
                  <c:v>0.47765134940159421</c:v>
                </c:pt>
                <c:pt idx="1977">
                  <c:v>0.47582222100962535</c:v>
                </c:pt>
                <c:pt idx="1978">
                  <c:v>0.50763610625326261</c:v>
                </c:pt>
                <c:pt idx="1979">
                  <c:v>0.47949339540346436</c:v>
                </c:pt>
                <c:pt idx="1980">
                  <c:v>0.47886534894598282</c:v>
                </c:pt>
                <c:pt idx="1981">
                  <c:v>0.470821362020024</c:v>
                </c:pt>
                <c:pt idx="1982">
                  <c:v>0.48533478910932121</c:v>
                </c:pt>
                <c:pt idx="1983">
                  <c:v>0.4672608271282796</c:v>
                </c:pt>
                <c:pt idx="1984">
                  <c:v>0.48335917898109093</c:v>
                </c:pt>
                <c:pt idx="1985">
                  <c:v>0.47003601889658431</c:v>
                </c:pt>
                <c:pt idx="1986">
                  <c:v>0.45277589792832174</c:v>
                </c:pt>
                <c:pt idx="1987">
                  <c:v>0.45746056296260634</c:v>
                </c:pt>
                <c:pt idx="1988">
                  <c:v>0.45602985630523268</c:v>
                </c:pt>
                <c:pt idx="1989">
                  <c:v>0.46824509668571707</c:v>
                </c:pt>
                <c:pt idx="1990">
                  <c:v>0.46607182151956117</c:v>
                </c:pt>
                <c:pt idx="1991">
                  <c:v>0.45433620913591377</c:v>
                </c:pt>
                <c:pt idx="1992">
                  <c:v>0.45694768916197298</c:v>
                </c:pt>
                <c:pt idx="1993">
                  <c:v>0.4708260621576793</c:v>
                </c:pt>
                <c:pt idx="1994">
                  <c:v>0.46137650500763455</c:v>
                </c:pt>
                <c:pt idx="1995">
                  <c:v>0.46766122387476255</c:v>
                </c:pt>
                <c:pt idx="1996">
                  <c:v>0.44444953219158556</c:v>
                </c:pt>
                <c:pt idx="1997">
                  <c:v>0.44712235568736414</c:v>
                </c:pt>
                <c:pt idx="1998">
                  <c:v>0.45243187279921476</c:v>
                </c:pt>
                <c:pt idx="1999">
                  <c:v>0.45151349621076048</c:v>
                </c:pt>
                <c:pt idx="2000">
                  <c:v>0.44062780105403149</c:v>
                </c:pt>
                <c:pt idx="2001">
                  <c:v>0.45264833714026248</c:v>
                </c:pt>
                <c:pt idx="2002">
                  <c:v>0.4470814026272516</c:v>
                </c:pt>
                <c:pt idx="2003">
                  <c:v>0.48072293831842555</c:v>
                </c:pt>
                <c:pt idx="2004">
                  <c:v>0.5181759799497444</c:v>
                </c:pt>
                <c:pt idx="2005">
                  <c:v>0.47669732122761777</c:v>
                </c:pt>
                <c:pt idx="2006">
                  <c:v>0.44771682584085232</c:v>
                </c:pt>
                <c:pt idx="2007">
                  <c:v>0.45061348557414349</c:v>
                </c:pt>
                <c:pt idx="2008">
                  <c:v>0.46133912616564243</c:v>
                </c:pt>
                <c:pt idx="2009">
                  <c:v>0.45542749031208957</c:v>
                </c:pt>
                <c:pt idx="2010">
                  <c:v>0.46308782821744904</c:v>
                </c:pt>
                <c:pt idx="2011">
                  <c:v>0.45004315462672628</c:v>
                </c:pt>
                <c:pt idx="2012">
                  <c:v>0.45768755565697472</c:v>
                </c:pt>
                <c:pt idx="2013">
                  <c:v>0.46653013286219153</c:v>
                </c:pt>
                <c:pt idx="2014">
                  <c:v>0.46319591702728313</c:v>
                </c:pt>
                <c:pt idx="2015">
                  <c:v>0.46220686627487712</c:v>
                </c:pt>
                <c:pt idx="2016">
                  <c:v>0.49133157236598091</c:v>
                </c:pt>
                <c:pt idx="2017">
                  <c:v>0.44803442133946775</c:v>
                </c:pt>
                <c:pt idx="2018">
                  <c:v>0.46599058703433793</c:v>
                </c:pt>
                <c:pt idx="2019">
                  <c:v>0.46140682604217376</c:v>
                </c:pt>
                <c:pt idx="2020">
                  <c:v>0.45002204540224139</c:v>
                </c:pt>
                <c:pt idx="2021">
                  <c:v>0.4584128639823864</c:v>
                </c:pt>
                <c:pt idx="2022">
                  <c:v>0.45621840865842506</c:v>
                </c:pt>
                <c:pt idx="2023">
                  <c:v>0.4724132649863092</c:v>
                </c:pt>
                <c:pt idx="2024">
                  <c:v>0.46182599999031276</c:v>
                </c:pt>
                <c:pt idx="2025">
                  <c:v>0.47682583401754208</c:v>
                </c:pt>
                <c:pt idx="2026">
                  <c:v>0.46923112090164953</c:v>
                </c:pt>
                <c:pt idx="2027">
                  <c:v>0.48391663684203695</c:v>
                </c:pt>
                <c:pt idx="2028">
                  <c:v>0.50676485488621992</c:v>
                </c:pt>
                <c:pt idx="2029">
                  <c:v>0.48952143524026209</c:v>
                </c:pt>
                <c:pt idx="2030">
                  <c:v>0.47458118041298786</c:v>
                </c:pt>
                <c:pt idx="2031">
                  <c:v>0.5053894528335694</c:v>
                </c:pt>
                <c:pt idx="2032">
                  <c:v>0.46183319772691511</c:v>
                </c:pt>
                <c:pt idx="2033">
                  <c:v>0.48051772941379733</c:v>
                </c:pt>
                <c:pt idx="2034">
                  <c:v>0.49042821906379663</c:v>
                </c:pt>
                <c:pt idx="2035">
                  <c:v>0.48187999930058545</c:v>
                </c:pt>
                <c:pt idx="2036">
                  <c:v>0.48996086874065442</c:v>
                </c:pt>
                <c:pt idx="2037">
                  <c:v>0.52793972452425619</c:v>
                </c:pt>
                <c:pt idx="2038">
                  <c:v>0.45808492355431707</c:v>
                </c:pt>
                <c:pt idx="2039">
                  <c:v>0.50058058958470708</c:v>
                </c:pt>
                <c:pt idx="2040">
                  <c:v>0.48887687887333192</c:v>
                </c:pt>
                <c:pt idx="2041">
                  <c:v>0.50180404791670141</c:v>
                </c:pt>
                <c:pt idx="2042">
                  <c:v>0.48457997571263378</c:v>
                </c:pt>
                <c:pt idx="2043">
                  <c:v>0.4932646318643622</c:v>
                </c:pt>
                <c:pt idx="2044">
                  <c:v>0.48224139666684007</c:v>
                </c:pt>
                <c:pt idx="2045">
                  <c:v>0.50250850843041228</c:v>
                </c:pt>
                <c:pt idx="2046">
                  <c:v>0.50924447073187962</c:v>
                </c:pt>
                <c:pt idx="2047">
                  <c:v>0.50052654813833908</c:v>
                </c:pt>
                <c:pt idx="2048">
                  <c:v>0.48995510625071043</c:v>
                </c:pt>
                <c:pt idx="2049">
                  <c:v>0.49142753349058438</c:v>
                </c:pt>
                <c:pt idx="2050">
                  <c:v>0.48256189406824984</c:v>
                </c:pt>
                <c:pt idx="2051">
                  <c:v>0.50966682124797968</c:v>
                </c:pt>
                <c:pt idx="2052">
                  <c:v>0.50393755594511747</c:v>
                </c:pt>
                <c:pt idx="2053">
                  <c:v>0.50506949066581375</c:v>
                </c:pt>
                <c:pt idx="2054">
                  <c:v>0.49540375878697529</c:v>
                </c:pt>
                <c:pt idx="2055">
                  <c:v>0.50210729049119174</c:v>
                </c:pt>
                <c:pt idx="2056">
                  <c:v>0.48811197033035092</c:v>
                </c:pt>
                <c:pt idx="2057">
                  <c:v>0.48246166572574506</c:v>
                </c:pt>
                <c:pt idx="2058">
                  <c:v>0.48286472619676074</c:v>
                </c:pt>
                <c:pt idx="2059">
                  <c:v>0.50512582001744111</c:v>
                </c:pt>
                <c:pt idx="2060">
                  <c:v>0.48701273727328348</c:v>
                </c:pt>
                <c:pt idx="2061">
                  <c:v>0.46987295058128992</c:v>
                </c:pt>
                <c:pt idx="2062">
                  <c:v>0.27971598188571439</c:v>
                </c:pt>
                <c:pt idx="2063">
                  <c:v>0.64551167371582063</c:v>
                </c:pt>
                <c:pt idx="2064">
                  <c:v>0.64711438745233973</c:v>
                </c:pt>
                <c:pt idx="2065">
                  <c:v>0.62285090104890506</c:v>
                </c:pt>
                <c:pt idx="2066">
                  <c:v>0.62720358041582913</c:v>
                </c:pt>
                <c:pt idx="2067">
                  <c:v>0.63335249357252166</c:v>
                </c:pt>
                <c:pt idx="2068">
                  <c:v>0.63423667895413749</c:v>
                </c:pt>
                <c:pt idx="2069">
                  <c:v>0.61131940689359443</c:v>
                </c:pt>
                <c:pt idx="2070">
                  <c:v>0.59575033099206431</c:v>
                </c:pt>
                <c:pt idx="2071">
                  <c:v>0.60637609764558853</c:v>
                </c:pt>
                <c:pt idx="2072">
                  <c:v>0.62422731557097555</c:v>
                </c:pt>
                <c:pt idx="2073">
                  <c:v>0.60034058611498764</c:v>
                </c:pt>
                <c:pt idx="2074">
                  <c:v>0.58992392248665027</c:v>
                </c:pt>
                <c:pt idx="2075">
                  <c:v>0.58135165127023847</c:v>
                </c:pt>
                <c:pt idx="2076">
                  <c:v>0.59272866031759486</c:v>
                </c:pt>
                <c:pt idx="2077">
                  <c:v>0.55946816116037534</c:v>
                </c:pt>
                <c:pt idx="2078">
                  <c:v>0.52764729807630995</c:v>
                </c:pt>
                <c:pt idx="2079">
                  <c:v>0.52855433726991197</c:v>
                </c:pt>
                <c:pt idx="2080">
                  <c:v>0.51293108437029067</c:v>
                </c:pt>
                <c:pt idx="2081">
                  <c:v>0.53593925799939446</c:v>
                </c:pt>
                <c:pt idx="2082">
                  <c:v>0.51485669573268411</c:v>
                </c:pt>
                <c:pt idx="2083">
                  <c:v>0.48804294385261804</c:v>
                </c:pt>
                <c:pt idx="2084">
                  <c:v>0.47112426999977841</c:v>
                </c:pt>
                <c:pt idx="2085">
                  <c:v>0.4633084622582167</c:v>
                </c:pt>
                <c:pt idx="2086">
                  <c:v>0.49169401207951258</c:v>
                </c:pt>
                <c:pt idx="2087">
                  <c:v>0.48318804751210104</c:v>
                </c:pt>
                <c:pt idx="2088">
                  <c:v>0.48431137291594212</c:v>
                </c:pt>
                <c:pt idx="2089">
                  <c:v>0.49919134675094845</c:v>
                </c:pt>
                <c:pt idx="2090">
                  <c:v>0.48299856814610675</c:v>
                </c:pt>
                <c:pt idx="2091">
                  <c:v>0.48576882727934684</c:v>
                </c:pt>
                <c:pt idx="2092">
                  <c:v>0.46625621343952811</c:v>
                </c:pt>
                <c:pt idx="2093">
                  <c:v>0.49609705207630872</c:v>
                </c:pt>
                <c:pt idx="2094">
                  <c:v>0.46462306426420824</c:v>
                </c:pt>
                <c:pt idx="2095">
                  <c:v>0.47150367132836846</c:v>
                </c:pt>
                <c:pt idx="2096">
                  <c:v>0.46187458239754786</c:v>
                </c:pt>
                <c:pt idx="2097">
                  <c:v>0.45606146466687969</c:v>
                </c:pt>
                <c:pt idx="2098">
                  <c:v>0.46554731677492506</c:v>
                </c:pt>
                <c:pt idx="2099">
                  <c:v>0.46004615165546825</c:v>
                </c:pt>
                <c:pt idx="2100">
                  <c:v>0.46961512475792705</c:v>
                </c:pt>
                <c:pt idx="2101">
                  <c:v>0.46077925966679717</c:v>
                </c:pt>
                <c:pt idx="2102">
                  <c:v>0.45590552802643192</c:v>
                </c:pt>
                <c:pt idx="2103">
                  <c:v>0.46516862600014974</c:v>
                </c:pt>
                <c:pt idx="2104">
                  <c:v>0.4770096266929974</c:v>
                </c:pt>
                <c:pt idx="2105">
                  <c:v>0.4695535537513697</c:v>
                </c:pt>
                <c:pt idx="2106">
                  <c:v>0.46225990025112695</c:v>
                </c:pt>
                <c:pt idx="2107">
                  <c:v>0.4535551494696568</c:v>
                </c:pt>
                <c:pt idx="2108">
                  <c:v>0.44866412483273821</c:v>
                </c:pt>
                <c:pt idx="2109">
                  <c:v>0.44895322571398838</c:v>
                </c:pt>
                <c:pt idx="2110">
                  <c:v>0.45598061562029768</c:v>
                </c:pt>
                <c:pt idx="2111">
                  <c:v>0.4456560353282959</c:v>
                </c:pt>
                <c:pt idx="2112">
                  <c:v>0.45520433750056954</c:v>
                </c:pt>
                <c:pt idx="2113">
                  <c:v>0.44418599677861942</c:v>
                </c:pt>
                <c:pt idx="2114">
                  <c:v>0.49728482207486735</c:v>
                </c:pt>
                <c:pt idx="2115">
                  <c:v>0.51876168026698544</c:v>
                </c:pt>
                <c:pt idx="2116">
                  <c:v>0.47643771663468243</c:v>
                </c:pt>
                <c:pt idx="2117">
                  <c:v>0.44091600554524946</c:v>
                </c:pt>
                <c:pt idx="2118">
                  <c:v>0.45081270926354622</c:v>
                </c:pt>
                <c:pt idx="2119">
                  <c:v>0.44948256469172637</c:v>
                </c:pt>
                <c:pt idx="2120">
                  <c:v>0.46729962477431725</c:v>
                </c:pt>
                <c:pt idx="2121">
                  <c:v>0.46805740856914152</c:v>
                </c:pt>
                <c:pt idx="2122">
                  <c:v>0.4459689197172309</c:v>
                </c:pt>
                <c:pt idx="2123">
                  <c:v>0.45586341857276241</c:v>
                </c:pt>
                <c:pt idx="2124">
                  <c:v>0.4634949272037191</c:v>
                </c:pt>
                <c:pt idx="2125">
                  <c:v>0.45800913999395837</c:v>
                </c:pt>
                <c:pt idx="2126">
                  <c:v>0.49342389165886746</c:v>
                </c:pt>
                <c:pt idx="2127">
                  <c:v>0.4804239242675471</c:v>
                </c:pt>
                <c:pt idx="2128">
                  <c:v>0.44712189033337302</c:v>
                </c:pt>
                <c:pt idx="2129">
                  <c:v>0.46466477985709503</c:v>
                </c:pt>
                <c:pt idx="2130">
                  <c:v>0.4525588844210629</c:v>
                </c:pt>
                <c:pt idx="2131">
                  <c:v>0.45775567574632375</c:v>
                </c:pt>
                <c:pt idx="2132">
                  <c:v>0.46439161893523034</c:v>
                </c:pt>
                <c:pt idx="2133">
                  <c:v>0.46128102495250484</c:v>
                </c:pt>
                <c:pt idx="2134">
                  <c:v>0.48296700401789394</c:v>
                </c:pt>
                <c:pt idx="2135">
                  <c:v>0.47431579063468421</c:v>
                </c:pt>
                <c:pt idx="2136">
                  <c:v>0.48642438593641757</c:v>
                </c:pt>
                <c:pt idx="2137">
                  <c:v>0.46925750808457239</c:v>
                </c:pt>
                <c:pt idx="2138">
                  <c:v>0.49753046735131462</c:v>
                </c:pt>
                <c:pt idx="2139">
                  <c:v>0.51480772027883637</c:v>
                </c:pt>
                <c:pt idx="2140">
                  <c:v>0.52105265533356637</c:v>
                </c:pt>
                <c:pt idx="2141">
                  <c:v>0.48256103629184355</c:v>
                </c:pt>
                <c:pt idx="2142">
                  <c:v>0.51272134168848182</c:v>
                </c:pt>
                <c:pt idx="2143">
                  <c:v>0.48526020503274597</c:v>
                </c:pt>
                <c:pt idx="2144">
                  <c:v>0.49469823529467571</c:v>
                </c:pt>
                <c:pt idx="2145">
                  <c:v>0.5015383657996364</c:v>
                </c:pt>
                <c:pt idx="2146">
                  <c:v>0.48816390940283694</c:v>
                </c:pt>
                <c:pt idx="2147">
                  <c:v>0.50652897882358183</c:v>
                </c:pt>
                <c:pt idx="2148">
                  <c:v>0.52828484349284932</c:v>
                </c:pt>
                <c:pt idx="2149">
                  <c:v>0.48181069114729552</c:v>
                </c:pt>
                <c:pt idx="2150">
                  <c:v>0.53453299497439877</c:v>
                </c:pt>
                <c:pt idx="2151">
                  <c:v>0.49156618437530447</c:v>
                </c:pt>
                <c:pt idx="2152">
                  <c:v>0.54100729602263087</c:v>
                </c:pt>
                <c:pt idx="2153">
                  <c:v>0.52150080354452144</c:v>
                </c:pt>
                <c:pt idx="2154">
                  <c:v>0.50528133253435825</c:v>
                </c:pt>
                <c:pt idx="2155">
                  <c:v>0.51368281857350406</c:v>
                </c:pt>
                <c:pt idx="2156">
                  <c:v>0.53889041704128104</c:v>
                </c:pt>
                <c:pt idx="2157">
                  <c:v>0.52585378544840911</c:v>
                </c:pt>
                <c:pt idx="2158">
                  <c:v>0.52585559702898621</c:v>
                </c:pt>
                <c:pt idx="2159">
                  <c:v>0.51873116438871691</c:v>
                </c:pt>
                <c:pt idx="2160">
                  <c:v>0.5174184003642508</c:v>
                </c:pt>
                <c:pt idx="2161">
                  <c:v>0.50165467303062994</c:v>
                </c:pt>
                <c:pt idx="2162">
                  <c:v>0.53035276323402336</c:v>
                </c:pt>
                <c:pt idx="2163">
                  <c:v>0.53060331478295153</c:v>
                </c:pt>
                <c:pt idx="2164">
                  <c:v>0.5206583944062555</c:v>
                </c:pt>
                <c:pt idx="2165">
                  <c:v>0.52125396731150953</c:v>
                </c:pt>
                <c:pt idx="2166">
                  <c:v>0.52170125473410112</c:v>
                </c:pt>
                <c:pt idx="2167">
                  <c:v>0.51439924371472046</c:v>
                </c:pt>
                <c:pt idx="2168">
                  <c:v>0.52662909808185421</c:v>
                </c:pt>
                <c:pt idx="2169">
                  <c:v>0.4926812033609026</c:v>
                </c:pt>
                <c:pt idx="2170">
                  <c:v>0.52844360135651103</c:v>
                </c:pt>
                <c:pt idx="2171">
                  <c:v>0.50740137811951824</c:v>
                </c:pt>
                <c:pt idx="2172">
                  <c:v>0.48657215051835634</c:v>
                </c:pt>
                <c:pt idx="2173">
                  <c:v>0.63896641914465646</c:v>
                </c:pt>
                <c:pt idx="2174">
                  <c:v>0.59675956833137422</c:v>
                </c:pt>
                <c:pt idx="2175">
                  <c:v>0.65755882652504294</c:v>
                </c:pt>
                <c:pt idx="2176">
                  <c:v>0.66278709836703165</c:v>
                </c:pt>
                <c:pt idx="2177">
                  <c:v>0.6927136153419956</c:v>
                </c:pt>
                <c:pt idx="2178">
                  <c:v>0.68612625474153532</c:v>
                </c:pt>
                <c:pt idx="2179">
                  <c:v>0.70099179586556792</c:v>
                </c:pt>
                <c:pt idx="2180">
                  <c:v>0.65621045214940688</c:v>
                </c:pt>
                <c:pt idx="2181">
                  <c:v>0.68508891101032254</c:v>
                </c:pt>
                <c:pt idx="2182">
                  <c:v>0.654684109705435</c:v>
                </c:pt>
                <c:pt idx="2183">
                  <c:v>0.66301144224249742</c:v>
                </c:pt>
                <c:pt idx="2184">
                  <c:v>0.69267334298648264</c:v>
                </c:pt>
                <c:pt idx="2185">
                  <c:v>0.678196863932084</c:v>
                </c:pt>
                <c:pt idx="2186">
                  <c:v>0.64665648459068326</c:v>
                </c:pt>
                <c:pt idx="2187">
                  <c:v>0.68127996024052151</c:v>
                </c:pt>
                <c:pt idx="2188">
                  <c:v>0.687465908136912</c:v>
                </c:pt>
                <c:pt idx="2189">
                  <c:v>0.69166284516869347</c:v>
                </c:pt>
                <c:pt idx="2190">
                  <c:v>0.65963376932541273</c:v>
                </c:pt>
                <c:pt idx="2191">
                  <c:v>0.67637705361042477</c:v>
                </c:pt>
                <c:pt idx="2192">
                  <c:v>0.71957190565345963</c:v>
                </c:pt>
                <c:pt idx="2193">
                  <c:v>0.60891586784307383</c:v>
                </c:pt>
                <c:pt idx="2194">
                  <c:v>0.68108069970546581</c:v>
                </c:pt>
                <c:pt idx="2195">
                  <c:v>0.68967070921772089</c:v>
                </c:pt>
                <c:pt idx="2196">
                  <c:v>0.69454009374969017</c:v>
                </c:pt>
                <c:pt idx="2197">
                  <c:v>0.668062218739224</c:v>
                </c:pt>
                <c:pt idx="2198">
                  <c:v>0.67612600455956762</c:v>
                </c:pt>
                <c:pt idx="2199">
                  <c:v>0.6722898291038123</c:v>
                </c:pt>
                <c:pt idx="2200">
                  <c:v>0.67594662108518189</c:v>
                </c:pt>
                <c:pt idx="2201">
                  <c:v>0.6659073864977223</c:v>
                </c:pt>
                <c:pt idx="2202">
                  <c:v>0.68088542257186757</c:v>
                </c:pt>
                <c:pt idx="2203">
                  <c:v>0.6484155385681093</c:v>
                </c:pt>
                <c:pt idx="2204">
                  <c:v>0.65009693155773163</c:v>
                </c:pt>
                <c:pt idx="2205">
                  <c:v>0.63699371021826701</c:v>
                </c:pt>
                <c:pt idx="2206">
                  <c:v>0.65424124789817251</c:v>
                </c:pt>
                <c:pt idx="2207">
                  <c:v>0.47489355568802505</c:v>
                </c:pt>
                <c:pt idx="2208">
                  <c:v>0.50298601677929111</c:v>
                </c:pt>
                <c:pt idx="2209">
                  <c:v>0.52123186548836309</c:v>
                </c:pt>
                <c:pt idx="2210">
                  <c:v>0.51854762929460796</c:v>
                </c:pt>
                <c:pt idx="2211">
                  <c:v>0.51073852302327583</c:v>
                </c:pt>
                <c:pt idx="2212">
                  <c:v>0.49096616570432605</c:v>
                </c:pt>
                <c:pt idx="2213">
                  <c:v>0.48081208566039707</c:v>
                </c:pt>
                <c:pt idx="2214">
                  <c:v>0.52462846267075991</c:v>
                </c:pt>
                <c:pt idx="2215">
                  <c:v>0.48319975339736998</c:v>
                </c:pt>
                <c:pt idx="2216">
                  <c:v>0.50241633077366354</c:v>
                </c:pt>
                <c:pt idx="2217">
                  <c:v>0.50979789078679172</c:v>
                </c:pt>
                <c:pt idx="2218">
                  <c:v>0.51726387489665304</c:v>
                </c:pt>
                <c:pt idx="2219">
                  <c:v>0.49857174127939913</c:v>
                </c:pt>
                <c:pt idx="2220">
                  <c:v>0.50825868852707701</c:v>
                </c:pt>
                <c:pt idx="2221">
                  <c:v>0.4927612268931969</c:v>
                </c:pt>
                <c:pt idx="2222">
                  <c:v>0.53672682528514826</c:v>
                </c:pt>
                <c:pt idx="2223">
                  <c:v>0.5182625027245279</c:v>
                </c:pt>
                <c:pt idx="2224">
                  <c:v>0.55059520748932789</c:v>
                </c:pt>
                <c:pt idx="2225">
                  <c:v>0.48794326663510723</c:v>
                </c:pt>
                <c:pt idx="2226">
                  <c:v>0.52700404029682391</c:v>
                </c:pt>
                <c:pt idx="2227">
                  <c:v>0.54175030730245943</c:v>
                </c:pt>
                <c:pt idx="2228">
                  <c:v>0.52489284220419574</c:v>
                </c:pt>
                <c:pt idx="2229">
                  <c:v>0.52191584663143464</c:v>
                </c:pt>
                <c:pt idx="2230">
                  <c:v>0.51507814447757538</c:v>
                </c:pt>
                <c:pt idx="2231">
                  <c:v>0.48116791846029466</c:v>
                </c:pt>
                <c:pt idx="2232">
                  <c:v>0.49960172711934919</c:v>
                </c:pt>
                <c:pt idx="2233">
                  <c:v>0.50126252474207833</c:v>
                </c:pt>
                <c:pt idx="2234">
                  <c:v>0.52351742661088951</c:v>
                </c:pt>
                <c:pt idx="2235">
                  <c:v>0.509981670671806</c:v>
                </c:pt>
                <c:pt idx="2236">
                  <c:v>0.52674817472815527</c:v>
                </c:pt>
                <c:pt idx="2237">
                  <c:v>0.51449542167090323</c:v>
                </c:pt>
                <c:pt idx="2238">
                  <c:v>0.51429480540563599</c:v>
                </c:pt>
                <c:pt idx="2239">
                  <c:v>0.53112776298726638</c:v>
                </c:pt>
                <c:pt idx="2240">
                  <c:v>0.54893259141130613</c:v>
                </c:pt>
                <c:pt idx="2241">
                  <c:v>0.53358778085124237</c:v>
                </c:pt>
                <c:pt idx="2242">
                  <c:v>0.51745111945543865</c:v>
                </c:pt>
                <c:pt idx="2243">
                  <c:v>0.48268568203049739</c:v>
                </c:pt>
                <c:pt idx="2244">
                  <c:v>0.49906075237557307</c:v>
                </c:pt>
                <c:pt idx="2245">
                  <c:v>0.51378939980085392</c:v>
                </c:pt>
                <c:pt idx="2246">
                  <c:v>0.50350373609627752</c:v>
                </c:pt>
                <c:pt idx="2247">
                  <c:v>0.51685479666221257</c:v>
                </c:pt>
                <c:pt idx="2248">
                  <c:v>0.50142476514423773</c:v>
                </c:pt>
                <c:pt idx="2249">
                  <c:v>0.47492411156637399</c:v>
                </c:pt>
                <c:pt idx="2250">
                  <c:v>0.49804713980667387</c:v>
                </c:pt>
                <c:pt idx="2251">
                  <c:v>0.48226972323368078</c:v>
                </c:pt>
                <c:pt idx="2252">
                  <c:v>0.47144940761680204</c:v>
                </c:pt>
                <c:pt idx="2253">
                  <c:v>0.48408990334625362</c:v>
                </c:pt>
                <c:pt idx="2254">
                  <c:v>0.47090301967642678</c:v>
                </c:pt>
                <c:pt idx="2255">
                  <c:v>0.48481086692529135</c:v>
                </c:pt>
                <c:pt idx="2256">
                  <c:v>0.45974716751339234</c:v>
                </c:pt>
                <c:pt idx="2257">
                  <c:v>0.46575645167843127</c:v>
                </c:pt>
                <c:pt idx="2258">
                  <c:v>0.49077415846923578</c:v>
                </c:pt>
                <c:pt idx="2259">
                  <c:v>0.48159983471492623</c:v>
                </c:pt>
                <c:pt idx="2260">
                  <c:v>0.48227115381935842</c:v>
                </c:pt>
                <c:pt idx="2261">
                  <c:v>0.46240937926038184</c:v>
                </c:pt>
                <c:pt idx="2262">
                  <c:v>0.46830655799593729</c:v>
                </c:pt>
                <c:pt idx="2263">
                  <c:v>0.46960834942865987</c:v>
                </c:pt>
                <c:pt idx="2264">
                  <c:v>0.45516444408586171</c:v>
                </c:pt>
                <c:pt idx="2265">
                  <c:v>0.48954239752728923</c:v>
                </c:pt>
                <c:pt idx="2266">
                  <c:v>0.47509038516287266</c:v>
                </c:pt>
                <c:pt idx="2267">
                  <c:v>0.46215712230972283</c:v>
                </c:pt>
                <c:pt idx="2268">
                  <c:v>0.47317095149905747</c:v>
                </c:pt>
                <c:pt idx="2269">
                  <c:v>0.46169792031432016</c:v>
                </c:pt>
                <c:pt idx="2270">
                  <c:v>0.44632043174184016</c:v>
                </c:pt>
                <c:pt idx="2271">
                  <c:v>0.47353411947739604</c:v>
                </c:pt>
                <c:pt idx="2272">
                  <c:v>0.45540983710415261</c:v>
                </c:pt>
                <c:pt idx="2273">
                  <c:v>0.44909561942475407</c:v>
                </c:pt>
                <c:pt idx="2274">
                  <c:v>0.46885563008358572</c:v>
                </c:pt>
                <c:pt idx="2275">
                  <c:v>0.46517844697752037</c:v>
                </c:pt>
                <c:pt idx="2276">
                  <c:v>0.468660825123205</c:v>
                </c:pt>
                <c:pt idx="2277">
                  <c:v>0.48022619193781985</c:v>
                </c:pt>
                <c:pt idx="2278">
                  <c:v>0.4779353723931028</c:v>
                </c:pt>
                <c:pt idx="2279">
                  <c:v>0.47557618509421101</c:v>
                </c:pt>
                <c:pt idx="2280">
                  <c:v>0.46853533626874538</c:v>
                </c:pt>
                <c:pt idx="2281">
                  <c:v>0.48507546550671327</c:v>
                </c:pt>
                <c:pt idx="2282">
                  <c:v>0.47625223117162707</c:v>
                </c:pt>
                <c:pt idx="2283">
                  <c:v>0.48426082228663547</c:v>
                </c:pt>
                <c:pt idx="2284">
                  <c:v>0.5007954543886014</c:v>
                </c:pt>
                <c:pt idx="2285">
                  <c:v>0.53109963793801851</c:v>
                </c:pt>
                <c:pt idx="2286">
                  <c:v>0.51154755495879556</c:v>
                </c:pt>
                <c:pt idx="2287">
                  <c:v>0.51467125004395831</c:v>
                </c:pt>
                <c:pt idx="2288">
                  <c:v>0.49356553080699866</c:v>
                </c:pt>
                <c:pt idx="2289">
                  <c:v>0.4744413684710263</c:v>
                </c:pt>
                <c:pt idx="2290">
                  <c:v>0.46551966240513581</c:v>
                </c:pt>
                <c:pt idx="2291">
                  <c:v>0.44293076207971593</c:v>
                </c:pt>
                <c:pt idx="2292">
                  <c:v>0.46442664916931192</c:v>
                </c:pt>
                <c:pt idx="2293">
                  <c:v>0.48509877544044316</c:v>
                </c:pt>
                <c:pt idx="2294">
                  <c:v>0.46987265617878315</c:v>
                </c:pt>
                <c:pt idx="2295">
                  <c:v>0.47584429061884925</c:v>
                </c:pt>
                <c:pt idx="2296">
                  <c:v>0.47054425777273634</c:v>
                </c:pt>
                <c:pt idx="2297">
                  <c:v>0.47039961142474385</c:v>
                </c:pt>
                <c:pt idx="2298">
                  <c:v>0.45433178479776631</c:v>
                </c:pt>
                <c:pt idx="2299">
                  <c:v>0.50603314043584746</c:v>
                </c:pt>
                <c:pt idx="2300">
                  <c:v>0.4725074994570202</c:v>
                </c:pt>
                <c:pt idx="2301">
                  <c:v>0.47562586827479603</c:v>
                </c:pt>
                <c:pt idx="2302">
                  <c:v>0.46316063788347256</c:v>
                </c:pt>
                <c:pt idx="2303">
                  <c:v>0.48177202270135694</c:v>
                </c:pt>
                <c:pt idx="2304">
                  <c:v>0.48189875642370411</c:v>
                </c:pt>
                <c:pt idx="2305">
                  <c:v>0.4867262368126562</c:v>
                </c:pt>
                <c:pt idx="2306">
                  <c:v>0.46623276052011797</c:v>
                </c:pt>
                <c:pt idx="2307">
                  <c:v>0.48597284709751465</c:v>
                </c:pt>
                <c:pt idx="2308">
                  <c:v>0.4743599364026328</c:v>
                </c:pt>
                <c:pt idx="2309">
                  <c:v>0.4929910205378783</c:v>
                </c:pt>
                <c:pt idx="2310">
                  <c:v>0.48418405951715326</c:v>
                </c:pt>
                <c:pt idx="2311">
                  <c:v>0.47787352468203176</c:v>
                </c:pt>
                <c:pt idx="2312">
                  <c:v>0.48959346248846786</c:v>
                </c:pt>
                <c:pt idx="2313">
                  <c:v>0.53070019351268849</c:v>
                </c:pt>
                <c:pt idx="2314">
                  <c:v>0.48960162107197436</c:v>
                </c:pt>
                <c:pt idx="2315">
                  <c:v>0.48205450947782613</c:v>
                </c:pt>
                <c:pt idx="2316">
                  <c:v>0.47689796996686551</c:v>
                </c:pt>
                <c:pt idx="2317">
                  <c:v>0.47913388187187006</c:v>
                </c:pt>
                <c:pt idx="2318">
                  <c:v>0.50380770053262081</c:v>
                </c:pt>
                <c:pt idx="2319">
                  <c:v>0.51707483304093327</c:v>
                </c:pt>
                <c:pt idx="2320">
                  <c:v>0.48869804142273943</c:v>
                </c:pt>
                <c:pt idx="2321">
                  <c:v>0.50698222348810118</c:v>
                </c:pt>
                <c:pt idx="2322">
                  <c:v>0.49493728873087767</c:v>
                </c:pt>
                <c:pt idx="2323">
                  <c:v>0.50556981951425684</c:v>
                </c:pt>
                <c:pt idx="2324">
                  <c:v>0.5005712631147059</c:v>
                </c:pt>
                <c:pt idx="2325">
                  <c:v>0.50222166922596279</c:v>
                </c:pt>
                <c:pt idx="2326">
                  <c:v>0.45685911771204074</c:v>
                </c:pt>
                <c:pt idx="2327">
                  <c:v>0.48265824016831949</c:v>
                </c:pt>
                <c:pt idx="2328">
                  <c:v>0.47728509759442189</c:v>
                </c:pt>
                <c:pt idx="2329">
                  <c:v>0.5054267528396118</c:v>
                </c:pt>
                <c:pt idx="2330">
                  <c:v>0.48330566304114131</c:v>
                </c:pt>
                <c:pt idx="2331">
                  <c:v>0.49976898613256021</c:v>
                </c:pt>
                <c:pt idx="2332">
                  <c:v>0.46544694977336731</c:v>
                </c:pt>
                <c:pt idx="2333">
                  <c:v>0.49156254360487389</c:v>
                </c:pt>
                <c:pt idx="2334">
                  <c:v>0.49810093889035245</c:v>
                </c:pt>
                <c:pt idx="2335">
                  <c:v>0.48851687405343025</c:v>
                </c:pt>
                <c:pt idx="2336">
                  <c:v>0.4963090212472262</c:v>
                </c:pt>
                <c:pt idx="2337">
                  <c:v>0.51808430231312685</c:v>
                </c:pt>
                <c:pt idx="2338">
                  <c:v>0.53372885549751514</c:v>
                </c:pt>
                <c:pt idx="2339">
                  <c:v>0.49697597956717998</c:v>
                </c:pt>
                <c:pt idx="2340">
                  <c:v>0.49260577501545488</c:v>
                </c:pt>
                <c:pt idx="2341">
                  <c:v>0.49243559407776483</c:v>
                </c:pt>
                <c:pt idx="2342">
                  <c:v>0.48453102181731017</c:v>
                </c:pt>
                <c:pt idx="2343">
                  <c:v>0.50232823161844375</c:v>
                </c:pt>
                <c:pt idx="2344">
                  <c:v>0.47503424039341202</c:v>
                </c:pt>
                <c:pt idx="2345">
                  <c:v>0.48094498314527784</c:v>
                </c:pt>
                <c:pt idx="2346">
                  <c:v>0.47754390705233918</c:v>
                </c:pt>
                <c:pt idx="2347">
                  <c:v>0.50462035911778924</c:v>
                </c:pt>
                <c:pt idx="2348">
                  <c:v>0.50560886649478887</c:v>
                </c:pt>
                <c:pt idx="2349">
                  <c:v>0.48544997857941447</c:v>
                </c:pt>
                <c:pt idx="2350">
                  <c:v>0.49396413083331953</c:v>
                </c:pt>
                <c:pt idx="2351">
                  <c:v>0.51873208515779601</c:v>
                </c:pt>
                <c:pt idx="2352">
                  <c:v>0.55445390621756252</c:v>
                </c:pt>
                <c:pt idx="2353">
                  <c:v>0.52648802362499247</c:v>
                </c:pt>
                <c:pt idx="2354">
                  <c:v>0.53105744694875079</c:v>
                </c:pt>
                <c:pt idx="2355">
                  <c:v>0.53128139587623824</c:v>
                </c:pt>
                <c:pt idx="2356">
                  <c:v>0.51148803994693426</c:v>
                </c:pt>
                <c:pt idx="2357">
                  <c:v>0.53783331955813674</c:v>
                </c:pt>
                <c:pt idx="2358">
                  <c:v>0.50774512597139165</c:v>
                </c:pt>
                <c:pt idx="2359">
                  <c:v>0.51810248131380554</c:v>
                </c:pt>
                <c:pt idx="2360">
                  <c:v>0.53623462098942021</c:v>
                </c:pt>
                <c:pt idx="2361">
                  <c:v>0.53457003025589789</c:v>
                </c:pt>
                <c:pt idx="2362">
                  <c:v>0.51723153767605834</c:v>
                </c:pt>
                <c:pt idx="2363">
                  <c:v>0.51056726052674639</c:v>
                </c:pt>
                <c:pt idx="2364">
                  <c:v>0.5039152355558949</c:v>
                </c:pt>
                <c:pt idx="2365">
                  <c:v>0.54683152127972989</c:v>
                </c:pt>
                <c:pt idx="2366">
                  <c:v>0.54395846423336802</c:v>
                </c:pt>
                <c:pt idx="2367">
                  <c:v>0.56839898980612402</c:v>
                </c:pt>
                <c:pt idx="2368">
                  <c:v>0.51714692155542175</c:v>
                </c:pt>
                <c:pt idx="2369">
                  <c:v>0.54868527643165799</c:v>
                </c:pt>
                <c:pt idx="2370">
                  <c:v>0.5675804735795924</c:v>
                </c:pt>
                <c:pt idx="2371">
                  <c:v>0.54488139827058291</c:v>
                </c:pt>
                <c:pt idx="2372">
                  <c:v>0.52841555921190342</c:v>
                </c:pt>
                <c:pt idx="2373">
                  <c:v>0.51904345620648662</c:v>
                </c:pt>
                <c:pt idx="2374">
                  <c:v>0.49949160611603488</c:v>
                </c:pt>
                <c:pt idx="2375">
                  <c:v>0.50932324748332181</c:v>
                </c:pt>
                <c:pt idx="2376">
                  <c:v>0.54262055092954031</c:v>
                </c:pt>
                <c:pt idx="2377">
                  <c:v>0.52750835873299262</c:v>
                </c:pt>
                <c:pt idx="2378">
                  <c:v>0.53326987722542962</c:v>
                </c:pt>
                <c:pt idx="2379">
                  <c:v>0.54490542488780958</c:v>
                </c:pt>
                <c:pt idx="2380">
                  <c:v>0.5292253508221253</c:v>
                </c:pt>
                <c:pt idx="2381">
                  <c:v>0.51768773175646676</c:v>
                </c:pt>
                <c:pt idx="2382">
                  <c:v>0.54319249328755337</c:v>
                </c:pt>
                <c:pt idx="2383">
                  <c:v>0.55555354181309347</c:v>
                </c:pt>
                <c:pt idx="2384">
                  <c:v>0.57007044607240642</c:v>
                </c:pt>
                <c:pt idx="2385">
                  <c:v>0.52533899050352639</c:v>
                </c:pt>
                <c:pt idx="2386">
                  <c:v>0.49250057250278612</c:v>
                </c:pt>
                <c:pt idx="2387">
                  <c:v>0.51874326576941232</c:v>
                </c:pt>
                <c:pt idx="2388">
                  <c:v>0.52424354044069921</c:v>
                </c:pt>
                <c:pt idx="2389">
                  <c:v>0.53789663174581559</c:v>
                </c:pt>
                <c:pt idx="2390">
                  <c:v>0.52004797184523888</c:v>
                </c:pt>
                <c:pt idx="2391">
                  <c:v>0.52268153081448154</c:v>
                </c:pt>
                <c:pt idx="2392">
                  <c:v>0.49901271569336086</c:v>
                </c:pt>
                <c:pt idx="2393">
                  <c:v>0.50875468583506112</c:v>
                </c:pt>
                <c:pt idx="2394">
                  <c:v>0.50286638193079614</c:v>
                </c:pt>
                <c:pt idx="2395">
                  <c:v>0.48943096222081423</c:v>
                </c:pt>
                <c:pt idx="2396">
                  <c:v>0.50583941615075678</c:v>
                </c:pt>
                <c:pt idx="2397">
                  <c:v>0.47935443607487765</c:v>
                </c:pt>
                <c:pt idx="2398">
                  <c:v>0.48943096222081423</c:v>
                </c:pt>
                <c:pt idx="2399">
                  <c:v>0.47499918259477192</c:v>
                </c:pt>
                <c:pt idx="2400">
                  <c:v>0.46849325247564633</c:v>
                </c:pt>
                <c:pt idx="2401">
                  <c:v>0.49101524085618248</c:v>
                </c:pt>
                <c:pt idx="2402">
                  <c:v>0.50011786494126265</c:v>
                </c:pt>
                <c:pt idx="2403">
                  <c:v>0.49023049587549083</c:v>
                </c:pt>
                <c:pt idx="2404">
                  <c:v>0.47194559470578407</c:v>
                </c:pt>
                <c:pt idx="2405">
                  <c:v>0.46835929550346689</c:v>
                </c:pt>
                <c:pt idx="2406">
                  <c:v>0.48116418946697526</c:v>
                </c:pt>
                <c:pt idx="2407">
                  <c:v>0.46916934798611926</c:v>
                </c:pt>
                <c:pt idx="2408">
                  <c:v>0.48241433160588237</c:v>
                </c:pt>
                <c:pt idx="2409">
                  <c:v>0.47069737752238738</c:v>
                </c:pt>
                <c:pt idx="2410">
                  <c:v>0.47161848272370066</c:v>
                </c:pt>
                <c:pt idx="2411">
                  <c:v>0.47233511095585673</c:v>
                </c:pt>
                <c:pt idx="2412">
                  <c:v>0.46182614994437532</c:v>
                </c:pt>
                <c:pt idx="2413">
                  <c:v>0.45155080906161027</c:v>
                </c:pt>
                <c:pt idx="2414">
                  <c:v>0.46177516257897699</c:v>
                </c:pt>
                <c:pt idx="2415">
                  <c:v>0.46068034051041495</c:v>
                </c:pt>
                <c:pt idx="2416">
                  <c:v>0.4494162204287413</c:v>
                </c:pt>
                <c:pt idx="2417">
                  <c:v>0.46113581300018591</c:v>
                </c:pt>
                <c:pt idx="2418">
                  <c:v>0.4744201014611833</c:v>
                </c:pt>
                <c:pt idx="2419">
                  <c:v>0.45828906495089117</c:v>
                </c:pt>
                <c:pt idx="2420">
                  <c:v>0.46969332797252938</c:v>
                </c:pt>
                <c:pt idx="2421">
                  <c:v>0.46790128485285498</c:v>
                </c:pt>
                <c:pt idx="2422">
                  <c:v>0.47292370090829911</c:v>
                </c:pt>
                <c:pt idx="2423">
                  <c:v>0.46449565791732533</c:v>
                </c:pt>
                <c:pt idx="2424">
                  <c:v>0.47892042398169832</c:v>
                </c:pt>
                <c:pt idx="2425">
                  <c:v>0.47713862615151226</c:v>
                </c:pt>
                <c:pt idx="2426">
                  <c:v>0.47466213425127823</c:v>
                </c:pt>
                <c:pt idx="2427">
                  <c:v>0.50303634360016281</c:v>
                </c:pt>
                <c:pt idx="2428">
                  <c:v>0.517963089524898</c:v>
                </c:pt>
                <c:pt idx="2429">
                  <c:v>0.51341685022659078</c:v>
                </c:pt>
                <c:pt idx="2430">
                  <c:v>0.506830293199792</c:v>
                </c:pt>
                <c:pt idx="2431">
                  <c:v>0.49169541195561378</c:v>
                </c:pt>
                <c:pt idx="2432">
                  <c:v>0.4821068917937838</c:v>
                </c:pt>
                <c:pt idx="2433">
                  <c:v>0.46362128340689635</c:v>
                </c:pt>
                <c:pt idx="2434">
                  <c:v>0.46058350419520871</c:v>
                </c:pt>
                <c:pt idx="2435">
                  <c:v>0.46592686599122518</c:v>
                </c:pt>
                <c:pt idx="2436">
                  <c:v>0.48493842328239406</c:v>
                </c:pt>
                <c:pt idx="2437">
                  <c:v>0.47061685678340137</c:v>
                </c:pt>
                <c:pt idx="2438">
                  <c:v>0.47449758993322338</c:v>
                </c:pt>
                <c:pt idx="2439">
                  <c:v>0.47959718988940836</c:v>
                </c:pt>
                <c:pt idx="2440">
                  <c:v>0.46787747696838766</c:v>
                </c:pt>
                <c:pt idx="2441">
                  <c:v>0.4593516199320527</c:v>
                </c:pt>
                <c:pt idx="2442">
                  <c:v>0.50624451288687544</c:v>
                </c:pt>
                <c:pt idx="2443">
                  <c:v>0.47329247937873309</c:v>
                </c:pt>
                <c:pt idx="2444">
                  <c:v>0.49045278774564827</c:v>
                </c:pt>
                <c:pt idx="2445">
                  <c:v>0.46125339787647812</c:v>
                </c:pt>
                <c:pt idx="2446">
                  <c:v>0.47780328505849456</c:v>
                </c:pt>
                <c:pt idx="2447">
                  <c:v>0.48469607684150634</c:v>
                </c:pt>
                <c:pt idx="2448">
                  <c:v>0.49058852220850629</c:v>
                </c:pt>
                <c:pt idx="2449">
                  <c:v>0.47440232959942202</c:v>
                </c:pt>
                <c:pt idx="2450">
                  <c:v>0.48633496607473092</c:v>
                </c:pt>
                <c:pt idx="2451">
                  <c:v>0.47870166855208179</c:v>
                </c:pt>
                <c:pt idx="2452">
                  <c:v>0.49837272927883863</c:v>
                </c:pt>
                <c:pt idx="2453">
                  <c:v>0.49486155638835311</c:v>
                </c:pt>
                <c:pt idx="2454">
                  <c:v>0.46957668072719488</c:v>
                </c:pt>
                <c:pt idx="2455">
                  <c:v>0.50781904951575074</c:v>
                </c:pt>
                <c:pt idx="2456">
                  <c:v>0.52636086232322232</c:v>
                </c:pt>
                <c:pt idx="2457">
                  <c:v>0.50866772862020182</c:v>
                </c:pt>
                <c:pt idx="2458">
                  <c:v>0.49850973208516602</c:v>
                </c:pt>
                <c:pt idx="2459">
                  <c:v>0.48759944474919259</c:v>
                </c:pt>
                <c:pt idx="2460">
                  <c:v>0.50363654242951006</c:v>
                </c:pt>
                <c:pt idx="2461">
                  <c:v>0.51930613336156184</c:v>
                </c:pt>
                <c:pt idx="2462">
                  <c:v>0.54262839425773912</c:v>
                </c:pt>
                <c:pt idx="2463">
                  <c:v>0.50350073897197933</c:v>
                </c:pt>
                <c:pt idx="2464">
                  <c:v>0.51842615087847921</c:v>
                </c:pt>
                <c:pt idx="2465">
                  <c:v>0.54609827138238065</c:v>
                </c:pt>
                <c:pt idx="2466">
                  <c:v>0.52639188070817011</c:v>
                </c:pt>
                <c:pt idx="2467">
                  <c:v>0.52945294119948916</c:v>
                </c:pt>
                <c:pt idx="2468">
                  <c:v>0.52419730085987515</c:v>
                </c:pt>
                <c:pt idx="2469">
                  <c:v>0.49722815749436905</c:v>
                </c:pt>
                <c:pt idx="2470">
                  <c:v>0.49563104903358957</c:v>
                </c:pt>
                <c:pt idx="2471">
                  <c:v>0.50926463679009404</c:v>
                </c:pt>
                <c:pt idx="2472">
                  <c:v>0.53190482765662039</c:v>
                </c:pt>
                <c:pt idx="2473">
                  <c:v>0.51975070609845675</c:v>
                </c:pt>
                <c:pt idx="2474">
                  <c:v>0.52985071322346355</c:v>
                </c:pt>
                <c:pt idx="2475">
                  <c:v>0.48677055482282905</c:v>
                </c:pt>
                <c:pt idx="2476">
                  <c:v>0.52323893000999167</c:v>
                </c:pt>
                <c:pt idx="2477">
                  <c:v>0.5266398189003928</c:v>
                </c:pt>
                <c:pt idx="2478">
                  <c:v>0.52110367889288178</c:v>
                </c:pt>
                <c:pt idx="2479">
                  <c:v>0.53015998214247062</c:v>
                </c:pt>
                <c:pt idx="2480">
                  <c:v>0.53322153549398965</c:v>
                </c:pt>
                <c:pt idx="2481">
                  <c:v>0.56628130666789644</c:v>
                </c:pt>
                <c:pt idx="2482">
                  <c:v>0.52672505936476866</c:v>
                </c:pt>
                <c:pt idx="2483">
                  <c:v>0.51811038498980311</c:v>
                </c:pt>
                <c:pt idx="2484">
                  <c:v>0.52781298763240114</c:v>
                </c:pt>
                <c:pt idx="2485">
                  <c:v>0.50271000210155381</c:v>
                </c:pt>
                <c:pt idx="2486">
                  <c:v>0.54452468199592763</c:v>
                </c:pt>
                <c:pt idx="2487">
                  <c:v>0.51383569660436024</c:v>
                </c:pt>
                <c:pt idx="2488">
                  <c:v>0.49699603196480269</c:v>
                </c:pt>
                <c:pt idx="2489">
                  <c:v>0.51197715845720249</c:v>
                </c:pt>
                <c:pt idx="2490">
                  <c:v>0.53363493792645189</c:v>
                </c:pt>
                <c:pt idx="2491">
                  <c:v>0.53316084628191529</c:v>
                </c:pt>
                <c:pt idx="2492">
                  <c:v>0.48540580965678837</c:v>
                </c:pt>
                <c:pt idx="2493">
                  <c:v>0.47123316539055932</c:v>
                </c:pt>
                <c:pt idx="2494">
                  <c:v>0.48656846764020667</c:v>
                </c:pt>
                <c:pt idx="2495">
                  <c:v>0.50382376441761001</c:v>
                </c:pt>
                <c:pt idx="2496">
                  <c:v>0.50144351814351051</c:v>
                </c:pt>
                <c:pt idx="2497">
                  <c:v>0.51726928619635126</c:v>
                </c:pt>
                <c:pt idx="2498">
                  <c:v>0.50200204091161438</c:v>
                </c:pt>
                <c:pt idx="2499">
                  <c:v>0.46875691030833988</c:v>
                </c:pt>
                <c:pt idx="2500">
                  <c:v>0.47524438238445232</c:v>
                </c:pt>
                <c:pt idx="2501">
                  <c:v>0.48861472791750576</c:v>
                </c:pt>
                <c:pt idx="2502">
                  <c:v>0.45691205042505778</c:v>
                </c:pt>
                <c:pt idx="2503">
                  <c:v>0.52105344035680623</c:v>
                </c:pt>
                <c:pt idx="2504">
                  <c:v>0.50407118208666957</c:v>
                </c:pt>
                <c:pt idx="2505">
                  <c:v>0.51848143237735522</c:v>
                </c:pt>
                <c:pt idx="2506">
                  <c:v>0.51524074252852836</c:v>
                </c:pt>
                <c:pt idx="2507">
                  <c:v>0.53229156427722701</c:v>
                </c:pt>
                <c:pt idx="2508">
                  <c:v>0.52558494077405793</c:v>
                </c:pt>
                <c:pt idx="2509">
                  <c:v>0.51998174091840177</c:v>
                </c:pt>
                <c:pt idx="2510">
                  <c:v>0.5270280441639047</c:v>
                </c:pt>
                <c:pt idx="2511">
                  <c:v>0.50187228912185533</c:v>
                </c:pt>
                <c:pt idx="2512">
                  <c:v>0.52395589188102865</c:v>
                </c:pt>
                <c:pt idx="2513">
                  <c:v>0.51740098435887394</c:v>
                </c:pt>
                <c:pt idx="2514">
                  <c:v>0.49582036674741531</c:v>
                </c:pt>
                <c:pt idx="2515">
                  <c:v>0.53361307598377594</c:v>
                </c:pt>
                <c:pt idx="2516">
                  <c:v>0.51378141709451275</c:v>
                </c:pt>
                <c:pt idx="2517">
                  <c:v>0.50659472321796262</c:v>
                </c:pt>
                <c:pt idx="2518">
                  <c:v>0.51059902557461712</c:v>
                </c:pt>
                <c:pt idx="2519">
                  <c:v>0.53603166741520092</c:v>
                </c:pt>
                <c:pt idx="2520">
                  <c:v>0.51906343523899257</c:v>
                </c:pt>
                <c:pt idx="2521">
                  <c:v>0.51738000506140824</c:v>
                </c:pt>
                <c:pt idx="2522">
                  <c:v>0.50846561372142285</c:v>
                </c:pt>
                <c:pt idx="2523">
                  <c:v>0.49411436423685201</c:v>
                </c:pt>
                <c:pt idx="2524">
                  <c:v>0.5177197713378594</c:v>
                </c:pt>
                <c:pt idx="2525">
                  <c:v>0.51611661001773024</c:v>
                </c:pt>
                <c:pt idx="2526">
                  <c:v>0.50847611901146983</c:v>
                </c:pt>
                <c:pt idx="2527">
                  <c:v>0.52393574674565679</c:v>
                </c:pt>
                <c:pt idx="2528">
                  <c:v>0.52837683749474029</c:v>
                </c:pt>
                <c:pt idx="2529">
                  <c:v>0.49767615859676972</c:v>
                </c:pt>
                <c:pt idx="2530">
                  <c:v>0.51369838824930614</c:v>
                </c:pt>
                <c:pt idx="2531">
                  <c:v>0.51575651539163259</c:v>
                </c:pt>
                <c:pt idx="2532">
                  <c:v>0.50172539996227128</c:v>
                </c:pt>
                <c:pt idx="2533">
                  <c:v>0.50604397560611247</c:v>
                </c:pt>
                <c:pt idx="2534">
                  <c:v>0.50750735218654375</c:v>
                </c:pt>
                <c:pt idx="2535">
                  <c:v>0.46803050488581033</c:v>
                </c:pt>
                <c:pt idx="2536">
                  <c:v>0.4900713251087791</c:v>
                </c:pt>
                <c:pt idx="2537">
                  <c:v>0.46297268329822816</c:v>
                </c:pt>
                <c:pt idx="2538">
                  <c:v>0.49160483067217609</c:v>
                </c:pt>
                <c:pt idx="2539">
                  <c:v>0.50087564151103448</c:v>
                </c:pt>
                <c:pt idx="2540">
                  <c:v>0.49609123185552123</c:v>
                </c:pt>
                <c:pt idx="2541">
                  <c:v>0.48598717312153339</c:v>
                </c:pt>
                <c:pt idx="2542">
                  <c:v>0.48654254496045235</c:v>
                </c:pt>
                <c:pt idx="2543">
                  <c:v>0.47321725879996024</c:v>
                </c:pt>
                <c:pt idx="2544">
                  <c:v>0.48205221939637294</c:v>
                </c:pt>
                <c:pt idx="2545">
                  <c:v>0.46518291098472686</c:v>
                </c:pt>
                <c:pt idx="2546">
                  <c:v>0.48392347761995358</c:v>
                </c:pt>
                <c:pt idx="2547">
                  <c:v>0.48280972048139537</c:v>
                </c:pt>
                <c:pt idx="2548">
                  <c:v>0.46463915503902459</c:v>
                </c:pt>
                <c:pt idx="2549">
                  <c:v>0.4644393189837111</c:v>
                </c:pt>
                <c:pt idx="2550">
                  <c:v>0.47592994492560498</c:v>
                </c:pt>
                <c:pt idx="2551">
                  <c:v>0.48172318096576261</c:v>
                </c:pt>
                <c:pt idx="2552">
                  <c:v>0.4893805818261065</c:v>
                </c:pt>
                <c:pt idx="2553">
                  <c:v>0.46598093293178389</c:v>
                </c:pt>
                <c:pt idx="2554">
                  <c:v>0.47098554293051675</c:v>
                </c:pt>
                <c:pt idx="2555">
                  <c:v>0.47752582867460486</c:v>
                </c:pt>
                <c:pt idx="2556">
                  <c:v>0.46202794119025276</c:v>
                </c:pt>
                <c:pt idx="2557">
                  <c:v>0.48110064823685056</c:v>
                </c:pt>
                <c:pt idx="2558">
                  <c:v>0.47202308648673585</c:v>
                </c:pt>
                <c:pt idx="2559">
                  <c:v>0.479346370748717</c:v>
                </c:pt>
                <c:pt idx="2560">
                  <c:v>0.50018966622913508</c:v>
                </c:pt>
                <c:pt idx="2561">
                  <c:v>0.46831881966850963</c:v>
                </c:pt>
                <c:pt idx="2562">
                  <c:v>0.45673396458155285</c:v>
                </c:pt>
                <c:pt idx="2563">
                  <c:v>0.46946265427728784</c:v>
                </c:pt>
                <c:pt idx="2564">
                  <c:v>0.44944214218434392</c:v>
                </c:pt>
                <c:pt idx="2565">
                  <c:v>0.44535834481105435</c:v>
                </c:pt>
                <c:pt idx="2566">
                  <c:v>0.47505504098601348</c:v>
                </c:pt>
                <c:pt idx="2567">
                  <c:v>0.44322386006717318</c:v>
                </c:pt>
                <c:pt idx="2568">
                  <c:v>0.46398297264345084</c:v>
                </c:pt>
                <c:pt idx="2569">
                  <c:v>0.46406383756919878</c:v>
                </c:pt>
                <c:pt idx="2570">
                  <c:v>0.46196768349014161</c:v>
                </c:pt>
                <c:pt idx="2571">
                  <c:v>0.47644699607812069</c:v>
                </c:pt>
                <c:pt idx="2572">
                  <c:v>0.47430981677023015</c:v>
                </c:pt>
                <c:pt idx="2573">
                  <c:v>0.46603558717305238</c:v>
                </c:pt>
                <c:pt idx="2574">
                  <c:v>0.46470664040620152</c:v>
                </c:pt>
                <c:pt idx="2575">
                  <c:v>0.48247939681700852</c:v>
                </c:pt>
                <c:pt idx="2576">
                  <c:v>0.4926940528100669</c:v>
                </c:pt>
                <c:pt idx="2577">
                  <c:v>0.44657817148377449</c:v>
                </c:pt>
                <c:pt idx="2578">
                  <c:v>0.46376074036045001</c:v>
                </c:pt>
                <c:pt idx="2579">
                  <c:v>0.48300442368233226</c:v>
                </c:pt>
                <c:pt idx="2580">
                  <c:v>0.49047117824933023</c:v>
                </c:pt>
                <c:pt idx="2581">
                  <c:v>0.50989106576559928</c:v>
                </c:pt>
                <c:pt idx="2582">
                  <c:v>0.5045556741677607</c:v>
                </c:pt>
                <c:pt idx="2583">
                  <c:v>0.49403514661114806</c:v>
                </c:pt>
                <c:pt idx="2584">
                  <c:v>0.48780006413540966</c:v>
                </c:pt>
                <c:pt idx="2585">
                  <c:v>0.49952460410308747</c:v>
                </c:pt>
                <c:pt idx="2586">
                  <c:v>0.47210583654284966</c:v>
                </c:pt>
                <c:pt idx="2587">
                  <c:v>0.5039574255703716</c:v>
                </c:pt>
                <c:pt idx="2588">
                  <c:v>0.47961086415118132</c:v>
                </c:pt>
                <c:pt idx="2589">
                  <c:v>0.48869479940246158</c:v>
                </c:pt>
                <c:pt idx="2590">
                  <c:v>0.4556051998779686</c:v>
                </c:pt>
                <c:pt idx="2591">
                  <c:v>0.48119430734412927</c:v>
                </c:pt>
                <c:pt idx="2592">
                  <c:v>0.49622632401601985</c:v>
                </c:pt>
                <c:pt idx="2593">
                  <c:v>0.48728702869792567</c:v>
                </c:pt>
                <c:pt idx="2594">
                  <c:v>0.48758163883342426</c:v>
                </c:pt>
                <c:pt idx="2595">
                  <c:v>0.47430777689525494</c:v>
                </c:pt>
                <c:pt idx="2596">
                  <c:v>0.51120104975476144</c:v>
                </c:pt>
                <c:pt idx="2597">
                  <c:v>0.49652448645160518</c:v>
                </c:pt>
                <c:pt idx="2598">
                  <c:v>0.50753313304864378</c:v>
                </c:pt>
                <c:pt idx="2599">
                  <c:v>0.48001442081100343</c:v>
                </c:pt>
                <c:pt idx="2600">
                  <c:v>0.50511781219367347</c:v>
                </c:pt>
                <c:pt idx="2601">
                  <c:v>0.48549627301412063</c:v>
                </c:pt>
                <c:pt idx="2602">
                  <c:v>0.50149292910322807</c:v>
                </c:pt>
                <c:pt idx="2603">
                  <c:v>0.50212779068796642</c:v>
                </c:pt>
                <c:pt idx="2604">
                  <c:v>0.53012077498481081</c:v>
                </c:pt>
                <c:pt idx="2605">
                  <c:v>0.51648354631731752</c:v>
                </c:pt>
                <c:pt idx="2606">
                  <c:v>0.52577380957562758</c:v>
                </c:pt>
                <c:pt idx="2607">
                  <c:v>0.49352538581824446</c:v>
                </c:pt>
                <c:pt idx="2608">
                  <c:v>0.49432215481687142</c:v>
                </c:pt>
                <c:pt idx="2609">
                  <c:v>0.49895379812382196</c:v>
                </c:pt>
                <c:pt idx="2610">
                  <c:v>0.48179164378753164</c:v>
                </c:pt>
                <c:pt idx="2611">
                  <c:v>0.50686719930470336</c:v>
                </c:pt>
                <c:pt idx="2612">
                  <c:v>0.51867196799383808</c:v>
                </c:pt>
                <c:pt idx="2613">
                  <c:v>0.49569000295728965</c:v>
                </c:pt>
                <c:pt idx="2614">
                  <c:v>0.49491880847825687</c:v>
                </c:pt>
                <c:pt idx="2615">
                  <c:v>0.48328439754354252</c:v>
                </c:pt>
                <c:pt idx="2616">
                  <c:v>0.50151031056959472</c:v>
                </c:pt>
                <c:pt idx="2617">
                  <c:v>0.5163059370677705</c:v>
                </c:pt>
                <c:pt idx="2618">
                  <c:v>0.50886948038193192</c:v>
                </c:pt>
                <c:pt idx="2619">
                  <c:v>0.50689842509788385</c:v>
                </c:pt>
                <c:pt idx="2620">
                  <c:v>0.50324549883823377</c:v>
                </c:pt>
                <c:pt idx="2621">
                  <c:v>0.51441877328275842</c:v>
                </c:pt>
                <c:pt idx="2622">
                  <c:v>0.51428257943224587</c:v>
                </c:pt>
                <c:pt idx="2623">
                  <c:v>0.49747010509547901</c:v>
                </c:pt>
                <c:pt idx="2624">
                  <c:v>0.50263684176771473</c:v>
                </c:pt>
                <c:pt idx="2625">
                  <c:v>0.48118857076665061</c:v>
                </c:pt>
                <c:pt idx="2626">
                  <c:v>0.53913220199931244</c:v>
                </c:pt>
                <c:pt idx="2627">
                  <c:v>0.49674053666436446</c:v>
                </c:pt>
                <c:pt idx="2628">
                  <c:v>0.5186121056563856</c:v>
                </c:pt>
                <c:pt idx="2629">
                  <c:v>0.49770998511699555</c:v>
                </c:pt>
                <c:pt idx="2630">
                  <c:v>0.49805679654321849</c:v>
                </c:pt>
                <c:pt idx="2631">
                  <c:v>0.47041357836648667</c:v>
                </c:pt>
                <c:pt idx="2632">
                  <c:v>0.4981390080613608</c:v>
                </c:pt>
                <c:pt idx="2633">
                  <c:v>0.49785023351462643</c:v>
                </c:pt>
                <c:pt idx="2634">
                  <c:v>0.5310597483811289</c:v>
                </c:pt>
                <c:pt idx="2635">
                  <c:v>0.46551936503675145</c:v>
                </c:pt>
                <c:pt idx="2636">
                  <c:v>0.52658763314790424</c:v>
                </c:pt>
                <c:pt idx="2637">
                  <c:v>0.50010111417601077</c:v>
                </c:pt>
                <c:pt idx="2638">
                  <c:v>0.49921418641085186</c:v>
                </c:pt>
                <c:pt idx="2639">
                  <c:v>0.53441210099797642</c:v>
                </c:pt>
                <c:pt idx="2640">
                  <c:v>0.52691162592842944</c:v>
                </c:pt>
                <c:pt idx="2641">
                  <c:v>0.55615348807124498</c:v>
                </c:pt>
                <c:pt idx="2642">
                  <c:v>0.5473660549215118</c:v>
                </c:pt>
                <c:pt idx="2643">
                  <c:v>0.49660172878806702</c:v>
                </c:pt>
                <c:pt idx="2644">
                  <c:v>0.51746022231266597</c:v>
                </c:pt>
                <c:pt idx="2645">
                  <c:v>0.50712680526989784</c:v>
                </c:pt>
                <c:pt idx="2646">
                  <c:v>0.48050178540473076</c:v>
                </c:pt>
                <c:pt idx="2647">
                  <c:v>0.55405913495162107</c:v>
                </c:pt>
                <c:pt idx="2648">
                  <c:v>0.54101816755672338</c:v>
                </c:pt>
                <c:pt idx="2649">
                  <c:v>0.5400569226896933</c:v>
                </c:pt>
                <c:pt idx="2650">
                  <c:v>0.54627731733829032</c:v>
                </c:pt>
                <c:pt idx="2651">
                  <c:v>0.5425336423530388</c:v>
                </c:pt>
                <c:pt idx="2652">
                  <c:v>0.54358794572077596</c:v>
                </c:pt>
                <c:pt idx="2653">
                  <c:v>0.56701141863917559</c:v>
                </c:pt>
                <c:pt idx="2654">
                  <c:v>0.54329766757850695</c:v>
                </c:pt>
                <c:pt idx="2655">
                  <c:v>0.52067240648884705</c:v>
                </c:pt>
                <c:pt idx="2656">
                  <c:v>0.5464137131618062</c:v>
                </c:pt>
                <c:pt idx="2657">
                  <c:v>0.54872517547164013</c:v>
                </c:pt>
                <c:pt idx="2658">
                  <c:v>0.52030296495319328</c:v>
                </c:pt>
                <c:pt idx="2659">
                  <c:v>0.55068699490586281</c:v>
                </c:pt>
                <c:pt idx="2660">
                  <c:v>0.53098481770632655</c:v>
                </c:pt>
                <c:pt idx="2661">
                  <c:v>0.51827224697987706</c:v>
                </c:pt>
                <c:pt idx="2662">
                  <c:v>0.53979873563247394</c:v>
                </c:pt>
                <c:pt idx="2663">
                  <c:v>0.54827047764400538</c:v>
                </c:pt>
                <c:pt idx="2664">
                  <c:v>0.53573958147082146</c:v>
                </c:pt>
                <c:pt idx="2665">
                  <c:v>0.53406369249003305</c:v>
                </c:pt>
                <c:pt idx="2666">
                  <c:v>0.52033127371948518</c:v>
                </c:pt>
                <c:pt idx="2667">
                  <c:v>0.51585716012759608</c:v>
                </c:pt>
                <c:pt idx="2668">
                  <c:v>0.52786335194358969</c:v>
                </c:pt>
                <c:pt idx="2669">
                  <c:v>0.52838725796413599</c:v>
                </c:pt>
                <c:pt idx="2670">
                  <c:v>0.52796573707556682</c:v>
                </c:pt>
                <c:pt idx="2671">
                  <c:v>0.53626292080195548</c:v>
                </c:pt>
                <c:pt idx="2672">
                  <c:v>0.53190674177937303</c:v>
                </c:pt>
                <c:pt idx="2673">
                  <c:v>0.50856607698736411</c:v>
                </c:pt>
                <c:pt idx="2674">
                  <c:v>0.52557989106330572</c:v>
                </c:pt>
                <c:pt idx="2675">
                  <c:v>0.5259552223252365</c:v>
                </c:pt>
                <c:pt idx="2676">
                  <c:v>0.51189311579152963</c:v>
                </c:pt>
                <c:pt idx="2677">
                  <c:v>0.52071797536985143</c:v>
                </c:pt>
                <c:pt idx="2678">
                  <c:v>0.51544304302482724</c:v>
                </c:pt>
                <c:pt idx="2679">
                  <c:v>0.49221948836124196</c:v>
                </c:pt>
                <c:pt idx="2680">
                  <c:v>0.49745048900940059</c:v>
                </c:pt>
                <c:pt idx="2681">
                  <c:v>0.48084409384804999</c:v>
                </c:pt>
                <c:pt idx="2682">
                  <c:v>0.5081516846223384</c:v>
                </c:pt>
                <c:pt idx="2683">
                  <c:v>0.5100612531652482</c:v>
                </c:pt>
                <c:pt idx="2684">
                  <c:v>0.52019036691910847</c:v>
                </c:pt>
                <c:pt idx="2685">
                  <c:v>0.4877528845300807</c:v>
                </c:pt>
                <c:pt idx="2686">
                  <c:v>0.49558609995983843</c:v>
                </c:pt>
                <c:pt idx="2687">
                  <c:v>0.49129065986332832</c:v>
                </c:pt>
                <c:pt idx="2688">
                  <c:v>0.48386518503857717</c:v>
                </c:pt>
                <c:pt idx="2689">
                  <c:v>0.48505684508761482</c:v>
                </c:pt>
                <c:pt idx="2690">
                  <c:v>0.49603468850831728</c:v>
                </c:pt>
                <c:pt idx="2691">
                  <c:v>0.48693277962722709</c:v>
                </c:pt>
                <c:pt idx="2692">
                  <c:v>0.46914074370778447</c:v>
                </c:pt>
                <c:pt idx="2693">
                  <c:v>0.48221206670887334</c:v>
                </c:pt>
                <c:pt idx="2694">
                  <c:v>0.48340769440064274</c:v>
                </c:pt>
                <c:pt idx="2695">
                  <c:v>0.48931626092951047</c:v>
                </c:pt>
                <c:pt idx="2696">
                  <c:v>0.4993778813437546</c:v>
                </c:pt>
                <c:pt idx="2697">
                  <c:v>0.4697043724894388</c:v>
                </c:pt>
                <c:pt idx="2698">
                  <c:v>0.47737307249906752</c:v>
                </c:pt>
                <c:pt idx="2699">
                  <c:v>0.47529831939471212</c:v>
                </c:pt>
                <c:pt idx="2700">
                  <c:v>0.47903127375290139</c:v>
                </c:pt>
                <c:pt idx="2701">
                  <c:v>0.48730131143741706</c:v>
                </c:pt>
                <c:pt idx="2702">
                  <c:v>0.4773406627654192</c:v>
                </c:pt>
                <c:pt idx="2703">
                  <c:v>0.49035941935949434</c:v>
                </c:pt>
                <c:pt idx="2704">
                  <c:v>0.50658146691894013</c:v>
                </c:pt>
                <c:pt idx="2705">
                  <c:v>0.47107920691186245</c:v>
                </c:pt>
                <c:pt idx="2706">
                  <c:v>0.46205971551601505</c:v>
                </c:pt>
                <c:pt idx="2707">
                  <c:v>0.47609757522965962</c:v>
                </c:pt>
                <c:pt idx="2708">
                  <c:v>0.46022107864468154</c:v>
                </c:pt>
                <c:pt idx="2709">
                  <c:v>0.45875550800836173</c:v>
                </c:pt>
                <c:pt idx="2710">
                  <c:v>0.48640922411824988</c:v>
                </c:pt>
                <c:pt idx="2711">
                  <c:v>0.45331558746765477</c:v>
                </c:pt>
                <c:pt idx="2712">
                  <c:v>0.47317664887815797</c:v>
                </c:pt>
                <c:pt idx="2713">
                  <c:v>0.47785112438976091</c:v>
                </c:pt>
                <c:pt idx="2714">
                  <c:v>0.47594649313255827</c:v>
                </c:pt>
                <c:pt idx="2715">
                  <c:v>0.48825182470845385</c:v>
                </c:pt>
                <c:pt idx="2716">
                  <c:v>0.48731219994306607</c:v>
                </c:pt>
                <c:pt idx="2717">
                  <c:v>0.47096616165344612</c:v>
                </c:pt>
                <c:pt idx="2718">
                  <c:v>0.47662920996938063</c:v>
                </c:pt>
                <c:pt idx="2719">
                  <c:v>0.48761654339387295</c:v>
                </c:pt>
                <c:pt idx="2720">
                  <c:v>0.50706060089522575</c:v>
                </c:pt>
                <c:pt idx="2721">
                  <c:v>0.44904203421204586</c:v>
                </c:pt>
                <c:pt idx="2722">
                  <c:v>0.4750339494689686</c:v>
                </c:pt>
                <c:pt idx="2723">
                  <c:v>0.49339126349828721</c:v>
                </c:pt>
                <c:pt idx="2724">
                  <c:v>0.51745837537155592</c:v>
                </c:pt>
                <c:pt idx="2725">
                  <c:v>0.50643927443048076</c:v>
                </c:pt>
                <c:pt idx="2726">
                  <c:v>0.5142019059582621</c:v>
                </c:pt>
                <c:pt idx="2727">
                  <c:v>0.50639678353045736</c:v>
                </c:pt>
                <c:pt idx="2728">
                  <c:v>0.49823085688685465</c:v>
                </c:pt>
                <c:pt idx="2729">
                  <c:v>0.50322559661380317</c:v>
                </c:pt>
                <c:pt idx="2730">
                  <c:v>0.47353047032479578</c:v>
                </c:pt>
                <c:pt idx="2731">
                  <c:v>0.5095645971568693</c:v>
                </c:pt>
                <c:pt idx="2732">
                  <c:v>0.48504703706494567</c:v>
                </c:pt>
                <c:pt idx="2733">
                  <c:v>0.50193641787560694</c:v>
                </c:pt>
                <c:pt idx="2734">
                  <c:v>0.4751456501266848</c:v>
                </c:pt>
                <c:pt idx="2735">
                  <c:v>0.49500633955804912</c:v>
                </c:pt>
                <c:pt idx="2736">
                  <c:v>0.49350112975581428</c:v>
                </c:pt>
                <c:pt idx="2737">
                  <c:v>0.50680203695578574</c:v>
                </c:pt>
                <c:pt idx="2738">
                  <c:v>0.49814121486749507</c:v>
                </c:pt>
                <c:pt idx="2739">
                  <c:v>0.49393293591906912</c:v>
                </c:pt>
                <c:pt idx="2740">
                  <c:v>0.52185982525602048</c:v>
                </c:pt>
                <c:pt idx="2741">
                  <c:v>0.50586705762751927</c:v>
                </c:pt>
                <c:pt idx="2742">
                  <c:v>0.48650882899646636</c:v>
                </c:pt>
                <c:pt idx="2743">
                  <c:v>0.49784761117468462</c:v>
                </c:pt>
                <c:pt idx="2744">
                  <c:v>0.51689072858457097</c:v>
                </c:pt>
                <c:pt idx="2745">
                  <c:v>0.49788970471873306</c:v>
                </c:pt>
                <c:pt idx="2746">
                  <c:v>0.50605968612284657</c:v>
                </c:pt>
                <c:pt idx="2747">
                  <c:v>0.52462327206032766</c:v>
                </c:pt>
                <c:pt idx="2748">
                  <c:v>0.5338156381195025</c:v>
                </c:pt>
                <c:pt idx="2749">
                  <c:v>0.54644913203865075</c:v>
                </c:pt>
                <c:pt idx="2750">
                  <c:v>0.52970221665986561</c:v>
                </c:pt>
                <c:pt idx="2751">
                  <c:v>0.51395341193488908</c:v>
                </c:pt>
                <c:pt idx="2752">
                  <c:v>0.52445181728661483</c:v>
                </c:pt>
                <c:pt idx="2753">
                  <c:v>0.534911443148261</c:v>
                </c:pt>
                <c:pt idx="2754">
                  <c:v>0.51788138355990554</c:v>
                </c:pt>
                <c:pt idx="2755">
                  <c:v>0.53960872417936523</c:v>
                </c:pt>
                <c:pt idx="2756">
                  <c:v>0.55202176780828727</c:v>
                </c:pt>
                <c:pt idx="2757">
                  <c:v>0.53495465527497188</c:v>
                </c:pt>
                <c:pt idx="2758">
                  <c:v>0.52896423878766663</c:v>
                </c:pt>
                <c:pt idx="2759">
                  <c:v>0.52417041209830162</c:v>
                </c:pt>
                <c:pt idx="2760">
                  <c:v>0.53761423600428537</c:v>
                </c:pt>
                <c:pt idx="2761">
                  <c:v>0.55343139251591555</c:v>
                </c:pt>
                <c:pt idx="2762">
                  <c:v>0.5336790397753618</c:v>
                </c:pt>
                <c:pt idx="2763">
                  <c:v>0.54945351705746914</c:v>
                </c:pt>
                <c:pt idx="2764">
                  <c:v>0.53589766102435588</c:v>
                </c:pt>
                <c:pt idx="2765">
                  <c:v>0.57341482715150804</c:v>
                </c:pt>
                <c:pt idx="2766">
                  <c:v>0.55898069911929804</c:v>
                </c:pt>
                <c:pt idx="2767">
                  <c:v>0.53414202943195688</c:v>
                </c:pt>
                <c:pt idx="2768">
                  <c:v>0.54654574794503208</c:v>
                </c:pt>
                <c:pt idx="2769">
                  <c:v>0.51980503198009698</c:v>
                </c:pt>
                <c:pt idx="2770">
                  <c:v>0.56779470510799235</c:v>
                </c:pt>
                <c:pt idx="2771">
                  <c:v>0.54278908905255407</c:v>
                </c:pt>
                <c:pt idx="2772">
                  <c:v>0.56649299820038657</c:v>
                </c:pt>
                <c:pt idx="2773">
                  <c:v>0.53375681079762349</c:v>
                </c:pt>
                <c:pt idx="2774">
                  <c:v>0.54204710638427256</c:v>
                </c:pt>
                <c:pt idx="2775">
                  <c:v>0.51171201471241934</c:v>
                </c:pt>
                <c:pt idx="2776">
                  <c:v>0.52910900646370551</c:v>
                </c:pt>
                <c:pt idx="2777">
                  <c:v>0.52280169460465087</c:v>
                </c:pt>
                <c:pt idx="2778">
                  <c:v>0.56674521956067492</c:v>
                </c:pt>
                <c:pt idx="2779">
                  <c:v>0.52834325872577181</c:v>
                </c:pt>
                <c:pt idx="2780">
                  <c:v>0.49411283292586738</c:v>
                </c:pt>
                <c:pt idx="2781">
                  <c:v>0.50718367892824134</c:v>
                </c:pt>
                <c:pt idx="2782">
                  <c:v>0.52160679024387724</c:v>
                </c:pt>
                <c:pt idx="2783">
                  <c:v>0.48854408922888887</c:v>
                </c:pt>
                <c:pt idx="2784">
                  <c:v>0.54505091852608667</c:v>
                </c:pt>
                <c:pt idx="2785">
                  <c:v>0.50319928610911024</c:v>
                </c:pt>
                <c:pt idx="2786">
                  <c:v>0.49211223428349704</c:v>
                </c:pt>
                <c:pt idx="2787">
                  <c:v>0.47699992484785636</c:v>
                </c:pt>
                <c:pt idx="2788">
                  <c:v>0.45926625258098974</c:v>
                </c:pt>
                <c:pt idx="2789">
                  <c:v>0.48255102877525263</c:v>
                </c:pt>
                <c:pt idx="2790">
                  <c:v>0.4974765975485318</c:v>
                </c:pt>
                <c:pt idx="2791">
                  <c:v>0.58452243017905359</c:v>
                </c:pt>
                <c:pt idx="2792">
                  <c:v>0.56350635917392267</c:v>
                </c:pt>
                <c:pt idx="2793">
                  <c:v>0.48765822735111491</c:v>
                </c:pt>
                <c:pt idx="2794">
                  <c:v>0.52014487375270246</c:v>
                </c:pt>
                <c:pt idx="2795">
                  <c:v>0.4979120609422466</c:v>
                </c:pt>
                <c:pt idx="2796">
                  <c:v>0.49780730795859901</c:v>
                </c:pt>
                <c:pt idx="2797">
                  <c:v>0.57670142340161867</c:v>
                </c:pt>
                <c:pt idx="2798">
                  <c:v>0.52955841642168888</c:v>
                </c:pt>
                <c:pt idx="2799">
                  <c:v>0.53384612862816083</c:v>
                </c:pt>
                <c:pt idx="2800">
                  <c:v>0.53389274955854948</c:v>
                </c:pt>
                <c:pt idx="2801">
                  <c:v>0.53027796664501492</c:v>
                </c:pt>
                <c:pt idx="2802">
                  <c:v>0.51975726755608753</c:v>
                </c:pt>
                <c:pt idx="2803">
                  <c:v>0.52008836119497404</c:v>
                </c:pt>
                <c:pt idx="2804">
                  <c:v>0.54461986803507101</c:v>
                </c:pt>
                <c:pt idx="2805">
                  <c:v>0.53555664323412466</c:v>
                </c:pt>
                <c:pt idx="2806">
                  <c:v>0.54646579148706353</c:v>
                </c:pt>
                <c:pt idx="2807">
                  <c:v>0.5268018905975228</c:v>
                </c:pt>
                <c:pt idx="2808">
                  <c:v>0.50844473707028026</c:v>
                </c:pt>
                <c:pt idx="2809">
                  <c:v>0.55500310406088149</c:v>
                </c:pt>
                <c:pt idx="2810">
                  <c:v>0.52853093203175561</c:v>
                </c:pt>
                <c:pt idx="2811">
                  <c:v>0.51351897045180284</c:v>
                </c:pt>
                <c:pt idx="2812">
                  <c:v>0.518401666823468</c:v>
                </c:pt>
                <c:pt idx="2813">
                  <c:v>0.55092694383709218</c:v>
                </c:pt>
                <c:pt idx="2814">
                  <c:v>0.52952505719901</c:v>
                </c:pt>
                <c:pt idx="2815">
                  <c:v>0.55526232719687807</c:v>
                </c:pt>
                <c:pt idx="2816">
                  <c:v>0.52792787670724217</c:v>
                </c:pt>
                <c:pt idx="2817">
                  <c:v>0.5481279027332574</c:v>
                </c:pt>
                <c:pt idx="2818">
                  <c:v>0.51856881544080857</c:v>
                </c:pt>
                <c:pt idx="2819">
                  <c:v>0.56009226718153182</c:v>
                </c:pt>
                <c:pt idx="2820">
                  <c:v>0.51012096400972484</c:v>
                </c:pt>
                <c:pt idx="2821">
                  <c:v>0.52518051906102681</c:v>
                </c:pt>
                <c:pt idx="2822">
                  <c:v>0.50949822592959859</c:v>
                </c:pt>
                <c:pt idx="2823">
                  <c:v>0.51674130095768733</c:v>
                </c:pt>
                <c:pt idx="2824">
                  <c:v>0.49186224486966018</c:v>
                </c:pt>
                <c:pt idx="2825">
                  <c:v>0.54441298531520543</c:v>
                </c:pt>
                <c:pt idx="2826">
                  <c:v>0.54222434085026405</c:v>
                </c:pt>
                <c:pt idx="2827">
                  <c:v>0.55982047543780644</c:v>
                </c:pt>
                <c:pt idx="2828">
                  <c:v>0.5489024056648576</c:v>
                </c:pt>
                <c:pt idx="2829">
                  <c:v>0.51478608437645279</c:v>
                </c:pt>
                <c:pt idx="2830">
                  <c:v>0.50522895844676452</c:v>
                </c:pt>
                <c:pt idx="2831">
                  <c:v>0.50936572184971807</c:v>
                </c:pt>
                <c:pt idx="2832">
                  <c:v>0.50821489288665589</c:v>
                </c:pt>
                <c:pt idx="2833">
                  <c:v>0.5295853585387319</c:v>
                </c:pt>
                <c:pt idx="2834">
                  <c:v>0.52327030233731731</c:v>
                </c:pt>
                <c:pt idx="2835">
                  <c:v>0.50656672219266319</c:v>
                </c:pt>
                <c:pt idx="2836">
                  <c:v>0.51838336869831225</c:v>
                </c:pt>
                <c:pt idx="2837">
                  <c:v>0.51273467863166766</c:v>
                </c:pt>
                <c:pt idx="2838">
                  <c:v>0.52582661083291193</c:v>
                </c:pt>
                <c:pt idx="2839">
                  <c:v>0.51983507888469926</c:v>
                </c:pt>
                <c:pt idx="2840">
                  <c:v>0.51982563204703902</c:v>
                </c:pt>
                <c:pt idx="2841">
                  <c:v>0.51902939146788252</c:v>
                </c:pt>
                <c:pt idx="2842">
                  <c:v>0.51329792379669059</c:v>
                </c:pt>
                <c:pt idx="2843">
                  <c:v>0.51474971239377276</c:v>
                </c:pt>
                <c:pt idx="2844">
                  <c:v>0.50442845044598672</c:v>
                </c:pt>
                <c:pt idx="2845">
                  <c:v>0.55683298101767953</c:v>
                </c:pt>
                <c:pt idx="2846">
                  <c:v>0.4978930168244648</c:v>
                </c:pt>
                <c:pt idx="2847">
                  <c:v>0.51076344292197084</c:v>
                </c:pt>
                <c:pt idx="2848">
                  <c:v>0.507134641038127</c:v>
                </c:pt>
                <c:pt idx="2849">
                  <c:v>0.51087355567687953</c:v>
                </c:pt>
                <c:pt idx="2850">
                  <c:v>0.53364726655998151</c:v>
                </c:pt>
                <c:pt idx="2851">
                  <c:v>0.53265884917243222</c:v>
                </c:pt>
                <c:pt idx="2852">
                  <c:v>0.49937306766746853</c:v>
                </c:pt>
                <c:pt idx="2853">
                  <c:v>0.5158302796717551</c:v>
                </c:pt>
                <c:pt idx="2854">
                  <c:v>0.51169329885663073</c:v>
                </c:pt>
                <c:pt idx="2855">
                  <c:v>0.5096560760888974</c:v>
                </c:pt>
                <c:pt idx="2856">
                  <c:v>0.54446976701808236</c:v>
                </c:pt>
                <c:pt idx="2857">
                  <c:v>0.53190801785652131</c:v>
                </c:pt>
                <c:pt idx="2858">
                  <c:v>0.50568993200033285</c:v>
                </c:pt>
                <c:pt idx="2859">
                  <c:v>0.51376265715702851</c:v>
                </c:pt>
                <c:pt idx="2860">
                  <c:v>0.52944819292881007</c:v>
                </c:pt>
                <c:pt idx="2861">
                  <c:v>0.53138847218584984</c:v>
                </c:pt>
                <c:pt idx="2862">
                  <c:v>0.52012953348390967</c:v>
                </c:pt>
                <c:pt idx="2863">
                  <c:v>0.51098497958032729</c:v>
                </c:pt>
                <c:pt idx="2864">
                  <c:v>0.53697927701020831</c:v>
                </c:pt>
                <c:pt idx="2865">
                  <c:v>0.53591650026957172</c:v>
                </c:pt>
                <c:pt idx="2866">
                  <c:v>0.52810697605812995</c:v>
                </c:pt>
                <c:pt idx="2867">
                  <c:v>0.51957429696140978</c:v>
                </c:pt>
                <c:pt idx="2868">
                  <c:v>0.50714896121477926</c:v>
                </c:pt>
                <c:pt idx="2869">
                  <c:v>0.53674259993077367</c:v>
                </c:pt>
                <c:pt idx="2870">
                  <c:v>0.50551870062587634</c:v>
                </c:pt>
                <c:pt idx="2871">
                  <c:v>0.51649531383576641</c:v>
                </c:pt>
                <c:pt idx="2872">
                  <c:v>0.52870322677507797</c:v>
                </c:pt>
                <c:pt idx="2873">
                  <c:v>0.50790334477114796</c:v>
                </c:pt>
                <c:pt idx="2874">
                  <c:v>0.52956149560537391</c:v>
                </c:pt>
                <c:pt idx="2875">
                  <c:v>0.52054077985402647</c:v>
                </c:pt>
                <c:pt idx="2876">
                  <c:v>0.49461634313657132</c:v>
                </c:pt>
                <c:pt idx="2877">
                  <c:v>0.51865670717057</c:v>
                </c:pt>
                <c:pt idx="2878">
                  <c:v>0.52329607541677181</c:v>
                </c:pt>
                <c:pt idx="2879">
                  <c:v>0.52438417721840025</c:v>
                </c:pt>
                <c:pt idx="2880">
                  <c:v>0.51624839355068641</c:v>
                </c:pt>
                <c:pt idx="2881">
                  <c:v>0.53969772406224648</c:v>
                </c:pt>
                <c:pt idx="2882">
                  <c:v>0.51982235184701064</c:v>
                </c:pt>
                <c:pt idx="2883">
                  <c:v>0.52351547515329022</c:v>
                </c:pt>
                <c:pt idx="2884">
                  <c:v>0.53283295244005091</c:v>
                </c:pt>
                <c:pt idx="2885">
                  <c:v>0.50596798827518896</c:v>
                </c:pt>
                <c:pt idx="2886">
                  <c:v>0.53164072545675689</c:v>
                </c:pt>
                <c:pt idx="2887">
                  <c:v>0.5008648136873578</c:v>
                </c:pt>
                <c:pt idx="2888">
                  <c:v>0.50849537804991896</c:v>
                </c:pt>
                <c:pt idx="2889">
                  <c:v>0.51455040888752646</c:v>
                </c:pt>
                <c:pt idx="2890">
                  <c:v>0.51788191074443302</c:v>
                </c:pt>
                <c:pt idx="2891">
                  <c:v>0.52553884380012361</c:v>
                </c:pt>
                <c:pt idx="2892">
                  <c:v>0.53037888777408426</c:v>
                </c:pt>
                <c:pt idx="2893">
                  <c:v>0.52513023148972271</c:v>
                </c:pt>
                <c:pt idx="2894">
                  <c:v>0.5118637170611271</c:v>
                </c:pt>
                <c:pt idx="2895">
                  <c:v>0.51631704804109158</c:v>
                </c:pt>
                <c:pt idx="2896">
                  <c:v>0.53621857518722449</c:v>
                </c:pt>
                <c:pt idx="2897">
                  <c:v>0.52613035217917115</c:v>
                </c:pt>
                <c:pt idx="2898">
                  <c:v>0.51488376922284596</c:v>
                </c:pt>
                <c:pt idx="2899">
                  <c:v>0.52867250160129398</c:v>
                </c:pt>
                <c:pt idx="2900">
                  <c:v>0.49137752428009213</c:v>
                </c:pt>
                <c:pt idx="2901">
                  <c:v>0.52153975110836626</c:v>
                </c:pt>
                <c:pt idx="2902">
                  <c:v>0.51494494378643352</c:v>
                </c:pt>
                <c:pt idx="2903">
                  <c:v>0.53600196201834749</c:v>
                </c:pt>
                <c:pt idx="2904">
                  <c:v>0.52554920309689479</c:v>
                </c:pt>
                <c:pt idx="2905">
                  <c:v>0.52702662461727778</c:v>
                </c:pt>
                <c:pt idx="2906">
                  <c:v>0.51605229148486287</c:v>
                </c:pt>
                <c:pt idx="2907">
                  <c:v>0.53826134666128578</c:v>
                </c:pt>
                <c:pt idx="2908">
                  <c:v>0.5172287658022533</c:v>
                </c:pt>
                <c:pt idx="2909">
                  <c:v>0.51692256284083959</c:v>
                </c:pt>
                <c:pt idx="2910">
                  <c:v>0.51294574790192038</c:v>
                </c:pt>
                <c:pt idx="2911">
                  <c:v>0.51741391449025054</c:v>
                </c:pt>
                <c:pt idx="2912">
                  <c:v>0.50685854760549875</c:v>
                </c:pt>
                <c:pt idx="2913">
                  <c:v>0.53509693344518849</c:v>
                </c:pt>
                <c:pt idx="2914">
                  <c:v>0.51857750014616899</c:v>
                </c:pt>
                <c:pt idx="2915">
                  <c:v>0.53147457407572118</c:v>
                </c:pt>
                <c:pt idx="2916">
                  <c:v>0.51410486528859367</c:v>
                </c:pt>
                <c:pt idx="2917">
                  <c:v>0.51397708415909604</c:v>
                </c:pt>
                <c:pt idx="2918">
                  <c:v>0.50810369949882728</c:v>
                </c:pt>
                <c:pt idx="2919">
                  <c:v>0.50391496334894614</c:v>
                </c:pt>
                <c:pt idx="2920">
                  <c:v>0.50782188210198487</c:v>
                </c:pt>
                <c:pt idx="2921">
                  <c:v>0.55257794160278828</c:v>
                </c:pt>
                <c:pt idx="2922">
                  <c:v>0.51633569796442846</c:v>
                </c:pt>
                <c:pt idx="2923">
                  <c:v>0.41830129131974547</c:v>
                </c:pt>
                <c:pt idx="2924">
                  <c:v>0.54620842425229144</c:v>
                </c:pt>
                <c:pt idx="2925">
                  <c:v>0.53512720746854869</c:v>
                </c:pt>
                <c:pt idx="2926">
                  <c:v>0.53336438248827645</c:v>
                </c:pt>
                <c:pt idx="2927">
                  <c:v>0.54710761895645477</c:v>
                </c:pt>
                <c:pt idx="2928">
                  <c:v>0.53232305437108962</c:v>
                </c:pt>
                <c:pt idx="2929">
                  <c:v>0.55286779972535605</c:v>
                </c:pt>
                <c:pt idx="2930">
                  <c:v>0.54304028113080371</c:v>
                </c:pt>
                <c:pt idx="2931">
                  <c:v>0.54599797339527578</c:v>
                </c:pt>
                <c:pt idx="2932">
                  <c:v>0.50045274464138145</c:v>
                </c:pt>
                <c:pt idx="2933">
                  <c:v>0.50358887303367339</c:v>
                </c:pt>
                <c:pt idx="2934">
                  <c:v>0.49830641763198164</c:v>
                </c:pt>
                <c:pt idx="2935">
                  <c:v>0.51576883238155113</c:v>
                </c:pt>
                <c:pt idx="2936">
                  <c:v>0.61107286602731359</c:v>
                </c:pt>
                <c:pt idx="2937">
                  <c:v>0.60328027144879104</c:v>
                </c:pt>
                <c:pt idx="2938">
                  <c:v>0.54496511413199655</c:v>
                </c:pt>
                <c:pt idx="2939">
                  <c:v>0.5450221951331593</c:v>
                </c:pt>
                <c:pt idx="2940">
                  <c:v>0.52906019932986736</c:v>
                </c:pt>
                <c:pt idx="2941">
                  <c:v>0.52433262867299801</c:v>
                </c:pt>
                <c:pt idx="2942">
                  <c:v>0.58860433306069848</c:v>
                </c:pt>
                <c:pt idx="2943">
                  <c:v>0.57882950155351309</c:v>
                </c:pt>
                <c:pt idx="2944">
                  <c:v>0.54428650156375602</c:v>
                </c:pt>
                <c:pt idx="2945">
                  <c:v>0.56309942682464853</c:v>
                </c:pt>
                <c:pt idx="2946">
                  <c:v>0.5807524774985513</c:v>
                </c:pt>
                <c:pt idx="2947">
                  <c:v>0.5649227782898113</c:v>
                </c:pt>
                <c:pt idx="2948">
                  <c:v>0.53799428811462213</c:v>
                </c:pt>
                <c:pt idx="2949">
                  <c:v>0.56673108678699935</c:v>
                </c:pt>
                <c:pt idx="2950">
                  <c:v>0.56993251413491075</c:v>
                </c:pt>
                <c:pt idx="2951">
                  <c:v>0.56597867737539931</c:v>
                </c:pt>
                <c:pt idx="2952">
                  <c:v>0.55475546984704283</c:v>
                </c:pt>
                <c:pt idx="2953">
                  <c:v>0.52095464711917894</c:v>
                </c:pt>
                <c:pt idx="2954">
                  <c:v>0.55635557796042412</c:v>
                </c:pt>
                <c:pt idx="2955">
                  <c:v>0.55722114705884596</c:v>
                </c:pt>
                <c:pt idx="2956">
                  <c:v>0.53532197477222565</c:v>
                </c:pt>
                <c:pt idx="2957">
                  <c:v>0.54469595228643863</c:v>
                </c:pt>
                <c:pt idx="2958">
                  <c:v>0.57451173689158652</c:v>
                </c:pt>
                <c:pt idx="2959">
                  <c:v>0.54223642804895344</c:v>
                </c:pt>
                <c:pt idx="2960">
                  <c:v>0.57597198527059101</c:v>
                </c:pt>
                <c:pt idx="2961">
                  <c:v>0.54881772713002341</c:v>
                </c:pt>
                <c:pt idx="2962">
                  <c:v>0.55435188429425608</c:v>
                </c:pt>
                <c:pt idx="2963">
                  <c:v>0.54458739805893253</c:v>
                </c:pt>
                <c:pt idx="2964">
                  <c:v>0.6018425725261749</c:v>
                </c:pt>
                <c:pt idx="2965">
                  <c:v>0.53773902644918858</c:v>
                </c:pt>
                <c:pt idx="2966">
                  <c:v>0.55530344030822343</c:v>
                </c:pt>
                <c:pt idx="2967">
                  <c:v>0.54627410750891803</c:v>
                </c:pt>
                <c:pt idx="2968">
                  <c:v>0.56825935229488622</c:v>
                </c:pt>
                <c:pt idx="2969">
                  <c:v>0.53662181464243486</c:v>
                </c:pt>
                <c:pt idx="2970">
                  <c:v>0.58241497632910411</c:v>
                </c:pt>
                <c:pt idx="2971">
                  <c:v>0.57123515767518052</c:v>
                </c:pt>
                <c:pt idx="2972">
                  <c:v>0.59007931207886333</c:v>
                </c:pt>
                <c:pt idx="2973">
                  <c:v>0.60122697613918941</c:v>
                </c:pt>
                <c:pt idx="2974">
                  <c:v>0.55307033013424445</c:v>
                </c:pt>
                <c:pt idx="2975">
                  <c:v>0.53377777609186772</c:v>
                </c:pt>
                <c:pt idx="2976">
                  <c:v>0.54114448232811718</c:v>
                </c:pt>
                <c:pt idx="2977">
                  <c:v>0.53675029774981298</c:v>
                </c:pt>
                <c:pt idx="2978">
                  <c:v>0.56118179227101572</c:v>
                </c:pt>
                <c:pt idx="2979">
                  <c:v>0.53170226579140489</c:v>
                </c:pt>
                <c:pt idx="2980">
                  <c:v>0.53746522123141416</c:v>
                </c:pt>
                <c:pt idx="2981">
                  <c:v>0.54552470411292153</c:v>
                </c:pt>
                <c:pt idx="2982">
                  <c:v>0.5220576306874215</c:v>
                </c:pt>
                <c:pt idx="2983">
                  <c:v>0.55065338658504148</c:v>
                </c:pt>
                <c:pt idx="2984">
                  <c:v>0.55570010276863124</c:v>
                </c:pt>
                <c:pt idx="2985">
                  <c:v>0.54115447599385025</c:v>
                </c:pt>
                <c:pt idx="2986">
                  <c:v>0.52705127244954997</c:v>
                </c:pt>
                <c:pt idx="2987">
                  <c:v>0.53611141951500318</c:v>
                </c:pt>
                <c:pt idx="2988">
                  <c:v>0.54008209429191778</c:v>
                </c:pt>
                <c:pt idx="2989">
                  <c:v>0.50869720987449341</c:v>
                </c:pt>
                <c:pt idx="2990">
                  <c:v>0.55351711894939237</c:v>
                </c:pt>
                <c:pt idx="2991">
                  <c:v>0.51807811074062593</c:v>
                </c:pt>
                <c:pt idx="2992">
                  <c:v>0.52026298878408295</c:v>
                </c:pt>
                <c:pt idx="2993">
                  <c:v>0.5272481467969693</c:v>
                </c:pt>
                <c:pt idx="2994">
                  <c:v>0.51830384846589306</c:v>
                </c:pt>
                <c:pt idx="2995">
                  <c:v>0.54313094332520984</c:v>
                </c:pt>
                <c:pt idx="2996">
                  <c:v>0.55467688970170337</c:v>
                </c:pt>
                <c:pt idx="2997">
                  <c:v>0.51131131923749529</c:v>
                </c:pt>
                <c:pt idx="2998">
                  <c:v>0.5410571528894339</c:v>
                </c:pt>
                <c:pt idx="2999">
                  <c:v>0.52519736668732353</c:v>
                </c:pt>
                <c:pt idx="3000">
                  <c:v>0.51167190831949061</c:v>
                </c:pt>
                <c:pt idx="3001">
                  <c:v>0.56362060678144221</c:v>
                </c:pt>
                <c:pt idx="3002">
                  <c:v>0.54227767152444395</c:v>
                </c:pt>
                <c:pt idx="3003">
                  <c:v>0.53003273817613616</c:v>
                </c:pt>
                <c:pt idx="3004">
                  <c:v>0.5281307903217265</c:v>
                </c:pt>
                <c:pt idx="3005">
                  <c:v>0.5359586011321521</c:v>
                </c:pt>
                <c:pt idx="3006">
                  <c:v>0.53714031020623743</c:v>
                </c:pt>
                <c:pt idx="3007">
                  <c:v>0.52187092563641124</c:v>
                </c:pt>
                <c:pt idx="3008">
                  <c:v>0.52610668661394488</c:v>
                </c:pt>
                <c:pt idx="3009">
                  <c:v>0.54077968108312691</c:v>
                </c:pt>
                <c:pt idx="3010">
                  <c:v>0.55027508307391482</c:v>
                </c:pt>
                <c:pt idx="3011">
                  <c:v>0.54401530538968568</c:v>
                </c:pt>
                <c:pt idx="3012">
                  <c:v>0.53977442482069293</c:v>
                </c:pt>
                <c:pt idx="3013">
                  <c:v>0.51930836655314694</c:v>
                </c:pt>
                <c:pt idx="3014">
                  <c:v>0.53026336443813615</c:v>
                </c:pt>
                <c:pt idx="3015">
                  <c:v>0.50885064162312199</c:v>
                </c:pt>
                <c:pt idx="3016">
                  <c:v>0.52051366374103714</c:v>
                </c:pt>
                <c:pt idx="3017">
                  <c:v>0.53168056168954791</c:v>
                </c:pt>
                <c:pt idx="3018">
                  <c:v>0.5260215833789178</c:v>
                </c:pt>
                <c:pt idx="3019">
                  <c:v>0.53499064097895088</c:v>
                </c:pt>
                <c:pt idx="3020">
                  <c:v>0.53237774226579715</c:v>
                </c:pt>
                <c:pt idx="3021">
                  <c:v>0.4995262539366277</c:v>
                </c:pt>
                <c:pt idx="3022">
                  <c:v>0.52674455899829564</c:v>
                </c:pt>
                <c:pt idx="3023">
                  <c:v>0.53732346489236127</c:v>
                </c:pt>
                <c:pt idx="3024">
                  <c:v>0.55387914466467525</c:v>
                </c:pt>
                <c:pt idx="3025">
                  <c:v>0.51828962808174661</c:v>
                </c:pt>
                <c:pt idx="3026">
                  <c:v>0.53249882149102834</c:v>
                </c:pt>
                <c:pt idx="3027">
                  <c:v>0.54106727350939454</c:v>
                </c:pt>
                <c:pt idx="3028">
                  <c:v>0.53141606752859349</c:v>
                </c:pt>
                <c:pt idx="3029">
                  <c:v>0.53946440532649775</c:v>
                </c:pt>
                <c:pt idx="3030">
                  <c:v>0.52049362030843505</c:v>
                </c:pt>
                <c:pt idx="3031">
                  <c:v>0.53722124561432483</c:v>
                </c:pt>
                <c:pt idx="3032">
                  <c:v>0.52240106275004705</c:v>
                </c:pt>
                <c:pt idx="3033">
                  <c:v>0.51406777141428073</c:v>
                </c:pt>
                <c:pt idx="3034">
                  <c:v>0.5313012031502643</c:v>
                </c:pt>
                <c:pt idx="3035">
                  <c:v>0.53317064364699518</c:v>
                </c:pt>
                <c:pt idx="3036">
                  <c:v>0.53981151705984964</c:v>
                </c:pt>
                <c:pt idx="3037">
                  <c:v>0.53933872987222742</c:v>
                </c:pt>
                <c:pt idx="3038">
                  <c:v>0.55801314287151449</c:v>
                </c:pt>
                <c:pt idx="3039">
                  <c:v>0.53942853759806986</c:v>
                </c:pt>
                <c:pt idx="3040">
                  <c:v>0.54425016167446438</c:v>
                </c:pt>
                <c:pt idx="3041">
                  <c:v>0.54886375012107369</c:v>
                </c:pt>
                <c:pt idx="3042">
                  <c:v>0.55404118778621958</c:v>
                </c:pt>
                <c:pt idx="3043">
                  <c:v>0.54740090367652949</c:v>
                </c:pt>
                <c:pt idx="3044">
                  <c:v>0.56256168686500019</c:v>
                </c:pt>
                <c:pt idx="3045">
                  <c:v>0.5583681998537886</c:v>
                </c:pt>
                <c:pt idx="3046">
                  <c:v>0.52406387986865266</c:v>
                </c:pt>
                <c:pt idx="3047">
                  <c:v>0.55249020405288185</c:v>
                </c:pt>
                <c:pt idx="3048">
                  <c:v>0.58618950681808657</c:v>
                </c:pt>
                <c:pt idx="3049">
                  <c:v>0.57669762501885125</c:v>
                </c:pt>
                <c:pt idx="3050">
                  <c:v>0.56398497800118019</c:v>
                </c:pt>
                <c:pt idx="3051">
                  <c:v>0.58603080381433204</c:v>
                </c:pt>
                <c:pt idx="3052">
                  <c:v>0.58768672465041649</c:v>
                </c:pt>
                <c:pt idx="3053">
                  <c:v>0.54058659611485638</c:v>
                </c:pt>
                <c:pt idx="3054">
                  <c:v>0.5598304074435545</c:v>
                </c:pt>
                <c:pt idx="3055">
                  <c:v>0.62748547595602544</c:v>
                </c:pt>
                <c:pt idx="3056">
                  <c:v>0.82045302773964823</c:v>
                </c:pt>
                <c:pt idx="3057">
                  <c:v>0.82011623479380236</c:v>
                </c:pt>
                <c:pt idx="3058">
                  <c:v>0.81650610572605831</c:v>
                </c:pt>
                <c:pt idx="3059">
                  <c:v>0.83913550474812293</c:v>
                </c:pt>
                <c:pt idx="3060">
                  <c:v>0.87698526276648747</c:v>
                </c:pt>
                <c:pt idx="3061">
                  <c:v>0.858111175576735</c:v>
                </c:pt>
                <c:pt idx="3062">
                  <c:v>0.87230256745433699</c:v>
                </c:pt>
                <c:pt idx="3063">
                  <c:v>0.85171790712397999</c:v>
                </c:pt>
                <c:pt idx="3064">
                  <c:v>0.84937180464946571</c:v>
                </c:pt>
                <c:pt idx="3065">
                  <c:v>0.82651166464983294</c:v>
                </c:pt>
                <c:pt idx="3066">
                  <c:v>0.86080254298993542</c:v>
                </c:pt>
                <c:pt idx="3067">
                  <c:v>0.87934456665611416</c:v>
                </c:pt>
                <c:pt idx="3068">
                  <c:v>0.49300762909665791</c:v>
                </c:pt>
                <c:pt idx="3069">
                  <c:v>0.50010468406540143</c:v>
                </c:pt>
                <c:pt idx="3070">
                  <c:v>0.50736978339391925</c:v>
                </c:pt>
                <c:pt idx="3071">
                  <c:v>0.49190156443664307</c:v>
                </c:pt>
                <c:pt idx="3072">
                  <c:v>0.50270781838943801</c:v>
                </c:pt>
                <c:pt idx="3073">
                  <c:v>0.50512283406652025</c:v>
                </c:pt>
                <c:pt idx="3074">
                  <c:v>0.52213790223944478</c:v>
                </c:pt>
                <c:pt idx="3075">
                  <c:v>0.52242154004860242</c:v>
                </c:pt>
                <c:pt idx="3076">
                  <c:v>0.49597467244198151</c:v>
                </c:pt>
                <c:pt idx="3077">
                  <c:v>0.50117487602086386</c:v>
                </c:pt>
                <c:pt idx="3078">
                  <c:v>0.5103286133113687</c:v>
                </c:pt>
                <c:pt idx="3079">
                  <c:v>0.49953574035785675</c:v>
                </c:pt>
                <c:pt idx="3080">
                  <c:v>0.50324849772448987</c:v>
                </c:pt>
                <c:pt idx="3081">
                  <c:v>0.51123490974687469</c:v>
                </c:pt>
                <c:pt idx="3082">
                  <c:v>0.51082573641357676</c:v>
                </c:pt>
                <c:pt idx="3083">
                  <c:v>0.4899265737715246</c:v>
                </c:pt>
                <c:pt idx="3084">
                  <c:v>0.49363702987743996</c:v>
                </c:pt>
                <c:pt idx="3085">
                  <c:v>0.5087702985995376</c:v>
                </c:pt>
                <c:pt idx="3086">
                  <c:v>0.5108877530998861</c:v>
                </c:pt>
                <c:pt idx="3087">
                  <c:v>0.5245376180303537</c:v>
                </c:pt>
                <c:pt idx="3088">
                  <c:v>0.46734478560745146</c:v>
                </c:pt>
                <c:pt idx="3089">
                  <c:v>0.5003330959716179</c:v>
                </c:pt>
                <c:pt idx="3090">
                  <c:v>0.53040078507493327</c:v>
                </c:pt>
                <c:pt idx="3091">
                  <c:v>0.49840967191686308</c:v>
                </c:pt>
                <c:pt idx="3092">
                  <c:v>0.49109473083545541</c:v>
                </c:pt>
                <c:pt idx="3093">
                  <c:v>0.53580459074897635</c:v>
                </c:pt>
                <c:pt idx="3094">
                  <c:v>0.51145888130155048</c:v>
                </c:pt>
                <c:pt idx="3095">
                  <c:v>0.51173433899985077</c:v>
                </c:pt>
                <c:pt idx="3096">
                  <c:v>0.5113226925305866</c:v>
                </c:pt>
                <c:pt idx="3097">
                  <c:v>0.52564851031532811</c:v>
                </c:pt>
                <c:pt idx="3098">
                  <c:v>0.50900200141086527</c:v>
                </c:pt>
                <c:pt idx="3099">
                  <c:v>0.52912891306186172</c:v>
                </c:pt>
                <c:pt idx="3100">
                  <c:v>0.49806493562583504</c:v>
                </c:pt>
                <c:pt idx="3101">
                  <c:v>0.52472071542098964</c:v>
                </c:pt>
                <c:pt idx="3102">
                  <c:v>0.50959334591658612</c:v>
                </c:pt>
                <c:pt idx="3103">
                  <c:v>0.53062699255776902</c:v>
                </c:pt>
                <c:pt idx="3104">
                  <c:v>0.51628278829364815</c:v>
                </c:pt>
                <c:pt idx="3105">
                  <c:v>0.53488330860236766</c:v>
                </c:pt>
                <c:pt idx="3106">
                  <c:v>0.4848084491074684</c:v>
                </c:pt>
                <c:pt idx="3107">
                  <c:v>0.53036236802701353</c:v>
                </c:pt>
                <c:pt idx="3108">
                  <c:v>0.49964048966681779</c:v>
                </c:pt>
                <c:pt idx="3109">
                  <c:v>0.50981709130091168</c:v>
                </c:pt>
                <c:pt idx="3110">
                  <c:v>0.52207368618481065</c:v>
                </c:pt>
                <c:pt idx="3111">
                  <c:v>0.52182848147391481</c:v>
                </c:pt>
                <c:pt idx="3112">
                  <c:v>0.48857369965870384</c:v>
                </c:pt>
                <c:pt idx="3113">
                  <c:v>0.52893545933829267</c:v>
                </c:pt>
                <c:pt idx="3114">
                  <c:v>0.520682227772574</c:v>
                </c:pt>
                <c:pt idx="3115">
                  <c:v>0.48723371174873525</c:v>
                </c:pt>
                <c:pt idx="3116">
                  <c:v>0.51201883972364282</c:v>
                </c:pt>
                <c:pt idx="3117">
                  <c:v>0.51297707287908612</c:v>
                </c:pt>
                <c:pt idx="3118">
                  <c:v>0.48878500310896911</c:v>
                </c:pt>
                <c:pt idx="3119">
                  <c:v>0.51517563104115927</c:v>
                </c:pt>
                <c:pt idx="3120">
                  <c:v>0.51230355469639255</c:v>
                </c:pt>
                <c:pt idx="3121">
                  <c:v>0.50596758189008462</c:v>
                </c:pt>
                <c:pt idx="3122">
                  <c:v>0.49765558526130121</c:v>
                </c:pt>
                <c:pt idx="3123">
                  <c:v>0.5394230192230719</c:v>
                </c:pt>
                <c:pt idx="3124">
                  <c:v>0.51336291786343591</c:v>
                </c:pt>
                <c:pt idx="3125">
                  <c:v>0.50778020075463115</c:v>
                </c:pt>
                <c:pt idx="3126">
                  <c:v>0.51900888505150544</c:v>
                </c:pt>
                <c:pt idx="3127">
                  <c:v>0.49758681630188506</c:v>
                </c:pt>
                <c:pt idx="3128">
                  <c:v>0.51259128502387852</c:v>
                </c:pt>
                <c:pt idx="3129">
                  <c:v>0.52954738250086986</c:v>
                </c:pt>
                <c:pt idx="3130">
                  <c:v>0.51716566788987162</c:v>
                </c:pt>
                <c:pt idx="3131">
                  <c:v>0.49836376883713074</c:v>
                </c:pt>
                <c:pt idx="3132">
                  <c:v>0.52652032493572265</c:v>
                </c:pt>
                <c:pt idx="3133">
                  <c:v>0.52482306579238203</c:v>
                </c:pt>
                <c:pt idx="3134">
                  <c:v>0.53954666417301467</c:v>
                </c:pt>
                <c:pt idx="3135">
                  <c:v>0.5153818060311014</c:v>
                </c:pt>
                <c:pt idx="3136">
                  <c:v>0.5162196850834565</c:v>
                </c:pt>
                <c:pt idx="3137">
                  <c:v>0.51557079111805648</c:v>
                </c:pt>
                <c:pt idx="3138">
                  <c:v>0.54087031637097405</c:v>
                </c:pt>
                <c:pt idx="3139">
                  <c:v>0.51437599308383763</c:v>
                </c:pt>
                <c:pt idx="3140">
                  <c:v>0.47492309307173119</c:v>
                </c:pt>
                <c:pt idx="3141">
                  <c:v>0.5349094154941868</c:v>
                </c:pt>
                <c:pt idx="3142">
                  <c:v>0.50451952249897081</c:v>
                </c:pt>
                <c:pt idx="3143">
                  <c:v>0.52017778139023996</c:v>
                </c:pt>
                <c:pt idx="3144">
                  <c:v>0.52581496404858685</c:v>
                </c:pt>
                <c:pt idx="3145">
                  <c:v>0.53352676140287369</c:v>
                </c:pt>
                <c:pt idx="3146">
                  <c:v>0.55408532678091316</c:v>
                </c:pt>
                <c:pt idx="3147">
                  <c:v>0.52635078087109011</c:v>
                </c:pt>
                <c:pt idx="3148">
                  <c:v>0.47188889536220774</c:v>
                </c:pt>
                <c:pt idx="3149">
                  <c:v>0.49575824080051362</c:v>
                </c:pt>
                <c:pt idx="3150">
                  <c:v>0.4702916832772589</c:v>
                </c:pt>
                <c:pt idx="3151">
                  <c:v>0.49669390327388258</c:v>
                </c:pt>
                <c:pt idx="3152">
                  <c:v>0.52863920282888965</c:v>
                </c:pt>
                <c:pt idx="3153">
                  <c:v>0.51647151403056535</c:v>
                </c:pt>
                <c:pt idx="3154">
                  <c:v>0.49626275706512307</c:v>
                </c:pt>
                <c:pt idx="3155">
                  <c:v>0.50441580759175098</c:v>
                </c:pt>
                <c:pt idx="3156">
                  <c:v>0.54237434782472738</c:v>
                </c:pt>
                <c:pt idx="3157">
                  <c:v>0.51549711526904851</c:v>
                </c:pt>
                <c:pt idx="3158">
                  <c:v>0.51252590850465496</c:v>
                </c:pt>
                <c:pt idx="3159">
                  <c:v>0.53660073372495587</c:v>
                </c:pt>
                <c:pt idx="3160">
                  <c:v>0.52217157271727577</c:v>
                </c:pt>
                <c:pt idx="3161">
                  <c:v>0.5517047662574931</c:v>
                </c:pt>
                <c:pt idx="3162">
                  <c:v>0.52345510573361287</c:v>
                </c:pt>
                <c:pt idx="3163">
                  <c:v>0.50727485036916553</c:v>
                </c:pt>
                <c:pt idx="3164">
                  <c:v>0.53573515441510589</c:v>
                </c:pt>
                <c:pt idx="3165">
                  <c:v>0.55902877463447387</c:v>
                </c:pt>
                <c:pt idx="3166">
                  <c:v>0.53903567991106738</c:v>
                </c:pt>
                <c:pt idx="3167">
                  <c:v>0.48959852645489316</c:v>
                </c:pt>
                <c:pt idx="3168">
                  <c:v>0.50081862107811281</c:v>
                </c:pt>
                <c:pt idx="3169">
                  <c:v>0.52784261440514701</c:v>
                </c:pt>
                <c:pt idx="3170">
                  <c:v>0.53077517330676904</c:v>
                </c:pt>
                <c:pt idx="3171">
                  <c:v>0.49756471954558446</c:v>
                </c:pt>
                <c:pt idx="3172">
                  <c:v>0.51726321497744299</c:v>
                </c:pt>
                <c:pt idx="3173">
                  <c:v>0.52085229717946135</c:v>
                </c:pt>
                <c:pt idx="3174">
                  <c:v>0.5056503500653069</c:v>
                </c:pt>
                <c:pt idx="3175">
                  <c:v>0.5192656711957595</c:v>
                </c:pt>
                <c:pt idx="3176">
                  <c:v>0.52501434053442642</c:v>
                </c:pt>
                <c:pt idx="3177">
                  <c:v>0.52799355075330812</c:v>
                </c:pt>
                <c:pt idx="3178">
                  <c:v>0.51230462269382737</c:v>
                </c:pt>
                <c:pt idx="3179">
                  <c:v>0.5297447959962498</c:v>
                </c:pt>
                <c:pt idx="3180">
                  <c:v>0.52614793886778455</c:v>
                </c:pt>
                <c:pt idx="3181">
                  <c:v>0.53273629362578212</c:v>
                </c:pt>
                <c:pt idx="3182">
                  <c:v>0.52895434606705394</c:v>
                </c:pt>
                <c:pt idx="3183">
                  <c:v>0.53421095933157747</c:v>
                </c:pt>
                <c:pt idx="3184">
                  <c:v>0.47964727876938684</c:v>
                </c:pt>
                <c:pt idx="3185">
                  <c:v>0.48648686971324606</c:v>
                </c:pt>
                <c:pt idx="3186">
                  <c:v>0.52455500976080238</c:v>
                </c:pt>
                <c:pt idx="3187">
                  <c:v>0.51225015147574882</c:v>
                </c:pt>
                <c:pt idx="3188">
                  <c:v>0.50066328466736953</c:v>
                </c:pt>
                <c:pt idx="3189">
                  <c:v>0.49963292986707991</c:v>
                </c:pt>
                <c:pt idx="3190">
                  <c:v>0.48712536059411715</c:v>
                </c:pt>
                <c:pt idx="3191">
                  <c:v>0.49071551552644233</c:v>
                </c:pt>
                <c:pt idx="3192">
                  <c:v>0.53274559112668141</c:v>
                </c:pt>
                <c:pt idx="3193">
                  <c:v>0.50799557875138268</c:v>
                </c:pt>
                <c:pt idx="3194">
                  <c:v>0.49240736386172645</c:v>
                </c:pt>
                <c:pt idx="3195">
                  <c:v>0.50509188754804446</c:v>
                </c:pt>
                <c:pt idx="3196">
                  <c:v>0.51787677066799276</c:v>
                </c:pt>
                <c:pt idx="3197">
                  <c:v>0.49839933380869683</c:v>
                </c:pt>
                <c:pt idx="3198">
                  <c:v>0.48678513771584542</c:v>
                </c:pt>
                <c:pt idx="3199">
                  <c:v>0.5221882764816953</c:v>
                </c:pt>
                <c:pt idx="3200">
                  <c:v>0.5387636960914679</c:v>
                </c:pt>
                <c:pt idx="3201">
                  <c:v>0.51184433953704933</c:v>
                </c:pt>
                <c:pt idx="3202">
                  <c:v>0.50552724345832722</c:v>
                </c:pt>
                <c:pt idx="3203">
                  <c:v>0.49688497153403033</c:v>
                </c:pt>
                <c:pt idx="3204">
                  <c:v>0.49552699317128285</c:v>
                </c:pt>
                <c:pt idx="3205">
                  <c:v>0.51061148970554082</c:v>
                </c:pt>
                <c:pt idx="3206">
                  <c:v>0.50305434527438764</c:v>
                </c:pt>
                <c:pt idx="3207">
                  <c:v>0.50147664190106034</c:v>
                </c:pt>
                <c:pt idx="3208">
                  <c:v>0.49286161951068158</c:v>
                </c:pt>
                <c:pt idx="3209">
                  <c:v>0.49584102720246526</c:v>
                </c:pt>
                <c:pt idx="3210">
                  <c:v>0.50549320673005171</c:v>
                </c:pt>
                <c:pt idx="3211">
                  <c:v>0.46134828352888269</c:v>
                </c:pt>
                <c:pt idx="3212">
                  <c:v>0.82378080066134385</c:v>
                </c:pt>
                <c:pt idx="3213">
                  <c:v>0.84221007937664871</c:v>
                </c:pt>
                <c:pt idx="3214">
                  <c:v>0.89595111316048659</c:v>
                </c:pt>
                <c:pt idx="3215">
                  <c:v>0.87903167719527431</c:v>
                </c:pt>
                <c:pt idx="3216">
                  <c:v>0.89705272827669635</c:v>
                </c:pt>
                <c:pt idx="3217">
                  <c:v>0.92307094008028767</c:v>
                </c:pt>
                <c:pt idx="3218">
                  <c:v>0.83827348956904479</c:v>
                </c:pt>
                <c:pt idx="3219">
                  <c:v>0.80431679552343682</c:v>
                </c:pt>
                <c:pt idx="3220">
                  <c:v>0.80208412029832532</c:v>
                </c:pt>
                <c:pt idx="3221">
                  <c:v>0.79287572805267759</c:v>
                </c:pt>
                <c:pt idx="3222">
                  <c:v>0.902554117143748</c:v>
                </c:pt>
                <c:pt idx="3223">
                  <c:v>0.82485076728525042</c:v>
                </c:pt>
                <c:pt idx="3224">
                  <c:v>0.79588522884658908</c:v>
                </c:pt>
                <c:pt idx="3225">
                  <c:v>0.77974219353396645</c:v>
                </c:pt>
                <c:pt idx="3226">
                  <c:v>0.82983688779006903</c:v>
                </c:pt>
                <c:pt idx="3227">
                  <c:v>0.88019954599946859</c:v>
                </c:pt>
                <c:pt idx="3228">
                  <c:v>0.83346535036028968</c:v>
                </c:pt>
                <c:pt idx="3229">
                  <c:v>0.89088843023786313</c:v>
                </c:pt>
                <c:pt idx="3230">
                  <c:v>0.87842424062588098</c:v>
                </c:pt>
                <c:pt idx="3231">
                  <c:v>0.87072026310841999</c:v>
                </c:pt>
                <c:pt idx="3232">
                  <c:v>0.85294996063122797</c:v>
                </c:pt>
                <c:pt idx="3233">
                  <c:v>0.83258439674562379</c:v>
                </c:pt>
                <c:pt idx="3234">
                  <c:v>0.88850933131125043</c:v>
                </c:pt>
                <c:pt idx="3235">
                  <c:v>0.8842841018013784</c:v>
                </c:pt>
                <c:pt idx="3236">
                  <c:v>0.91640788457113564</c:v>
                </c:pt>
                <c:pt idx="3237">
                  <c:v>0.83582223469148975</c:v>
                </c:pt>
                <c:pt idx="3238">
                  <c:v>0.84310795501858982</c:v>
                </c:pt>
                <c:pt idx="3239">
                  <c:v>0.80805343662091988</c:v>
                </c:pt>
                <c:pt idx="3240">
                  <c:v>0.86043198371853757</c:v>
                </c:pt>
                <c:pt idx="3241">
                  <c:v>0.80764656383884592</c:v>
                </c:pt>
                <c:pt idx="3242">
                  <c:v>0.80263814953989798</c:v>
                </c:pt>
                <c:pt idx="3243">
                  <c:v>0.81106749639081821</c:v>
                </c:pt>
                <c:pt idx="3244">
                  <c:v>0.80065151685685931</c:v>
                </c:pt>
                <c:pt idx="3245">
                  <c:v>0.80298234170857752</c:v>
                </c:pt>
                <c:pt idx="3246">
                  <c:v>0.8254539662520235</c:v>
                </c:pt>
                <c:pt idx="3247">
                  <c:v>0.82657583201652929</c:v>
                </c:pt>
                <c:pt idx="3248">
                  <c:v>0.83254448507677314</c:v>
                </c:pt>
                <c:pt idx="3249">
                  <c:v>0.83274541106002609</c:v>
                </c:pt>
                <c:pt idx="3250">
                  <c:v>0.84100669761947311</c:v>
                </c:pt>
                <c:pt idx="3251">
                  <c:v>0.87982662317263871</c:v>
                </c:pt>
                <c:pt idx="3252">
                  <c:v>0.87132232670520338</c:v>
                </c:pt>
                <c:pt idx="3253">
                  <c:v>0.85299711823535163</c:v>
                </c:pt>
                <c:pt idx="3254">
                  <c:v>0.80528610455908911</c:v>
                </c:pt>
                <c:pt idx="3255">
                  <c:v>0.8131490143766259</c:v>
                </c:pt>
                <c:pt idx="3256">
                  <c:v>0.80383013455020047</c:v>
                </c:pt>
                <c:pt idx="3257">
                  <c:v>0.82801848436021863</c:v>
                </c:pt>
                <c:pt idx="3258">
                  <c:v>0.82235934919452036</c:v>
                </c:pt>
                <c:pt idx="3259">
                  <c:v>0.84318080919279093</c:v>
                </c:pt>
                <c:pt idx="3260">
                  <c:v>0.79088340246820155</c:v>
                </c:pt>
                <c:pt idx="3261">
                  <c:v>0.78412959644281321</c:v>
                </c:pt>
                <c:pt idx="3262">
                  <c:v>0.78782808767505752</c:v>
                </c:pt>
                <c:pt idx="3263">
                  <c:v>0.77835546553413293</c:v>
                </c:pt>
                <c:pt idx="3264">
                  <c:v>0.81891447642382131</c:v>
                </c:pt>
                <c:pt idx="3265">
                  <c:v>0.79798557615255195</c:v>
                </c:pt>
                <c:pt idx="3266">
                  <c:v>0.79675529778732901</c:v>
                </c:pt>
                <c:pt idx="3267">
                  <c:v>0.77220291974172961</c:v>
                </c:pt>
                <c:pt idx="3268">
                  <c:v>0.7672329929027788</c:v>
                </c:pt>
                <c:pt idx="3269">
                  <c:v>0.81174487025678943</c:v>
                </c:pt>
                <c:pt idx="3270">
                  <c:v>0.87335478589911641</c:v>
                </c:pt>
                <c:pt idx="3271">
                  <c:v>0.82772632052941753</c:v>
                </c:pt>
                <c:pt idx="3272">
                  <c:v>0.78379920748248699</c:v>
                </c:pt>
                <c:pt idx="3273">
                  <c:v>0.80323834275222761</c:v>
                </c:pt>
                <c:pt idx="3274">
                  <c:v>0.7967808861551825</c:v>
                </c:pt>
                <c:pt idx="3275">
                  <c:v>0.77558205230054922</c:v>
                </c:pt>
                <c:pt idx="3276">
                  <c:v>0.8116442998011919</c:v>
                </c:pt>
                <c:pt idx="3277">
                  <c:v>0.80125329321314254</c:v>
                </c:pt>
                <c:pt idx="3278">
                  <c:v>0.76525290818252523</c:v>
                </c:pt>
                <c:pt idx="3279">
                  <c:v>0.78128033416509846</c:v>
                </c:pt>
                <c:pt idx="3280">
                  <c:v>0.74879158695387993</c:v>
                </c:pt>
                <c:pt idx="3281">
                  <c:v>0.77957643533527243</c:v>
                </c:pt>
                <c:pt idx="3282">
                  <c:v>0.79588001734407521</c:v>
                </c:pt>
                <c:pt idx="3283">
                  <c:v>0.81478646585542125</c:v>
                </c:pt>
                <c:pt idx="3284">
                  <c:v>0.76576709788349895</c:v>
                </c:pt>
                <c:pt idx="3285">
                  <c:v>0.79400936191795912</c:v>
                </c:pt>
                <c:pt idx="3286">
                  <c:v>0.78378134531967758</c:v>
                </c:pt>
                <c:pt idx="3287">
                  <c:v>0.79413544884401799</c:v>
                </c:pt>
                <c:pt idx="3288">
                  <c:v>0.80140412167069741</c:v>
                </c:pt>
                <c:pt idx="3289">
                  <c:v>0.82123176790360197</c:v>
                </c:pt>
                <c:pt idx="3290">
                  <c:v>0.80639109835025991</c:v>
                </c:pt>
                <c:pt idx="3291">
                  <c:v>0.81430061372377038</c:v>
                </c:pt>
                <c:pt idx="3292">
                  <c:v>0.8413476429656932</c:v>
                </c:pt>
                <c:pt idx="3293">
                  <c:v>0.82971387483201187</c:v>
                </c:pt>
                <c:pt idx="3294">
                  <c:v>0.84622444078461423</c:v>
                </c:pt>
                <c:pt idx="3295">
                  <c:v>0.84017399473079368</c:v>
                </c:pt>
                <c:pt idx="3296">
                  <c:v>0.79404823157507609</c:v>
                </c:pt>
                <c:pt idx="3297">
                  <c:v>0.74429212235798525</c:v>
                </c:pt>
                <c:pt idx="3298">
                  <c:v>0.81458304522752278</c:v>
                </c:pt>
                <c:pt idx="3299">
                  <c:v>0.81214444283627074</c:v>
                </c:pt>
                <c:pt idx="3300">
                  <c:v>0.84035373486834242</c:v>
                </c:pt>
                <c:pt idx="3301">
                  <c:v>0.78716614560709985</c:v>
                </c:pt>
                <c:pt idx="3302">
                  <c:v>0.76797409254447202</c:v>
                </c:pt>
                <c:pt idx="3303">
                  <c:v>0.84297898126716486</c:v>
                </c:pt>
                <c:pt idx="3304">
                  <c:v>0.86053073064998076</c:v>
                </c:pt>
                <c:pt idx="3305">
                  <c:v>0.81568332084712214</c:v>
                </c:pt>
                <c:pt idx="3306">
                  <c:v>0.8117937735210885</c:v>
                </c:pt>
                <c:pt idx="3307">
                  <c:v>0.82117939272583285</c:v>
                </c:pt>
                <c:pt idx="3308">
                  <c:v>0.81930599544064364</c:v>
                </c:pt>
                <c:pt idx="3309">
                  <c:v>0.81965802156056156</c:v>
                </c:pt>
                <c:pt idx="3310">
                  <c:v>0.86300457819181864</c:v>
                </c:pt>
                <c:pt idx="3311">
                  <c:v>0.8027702372435469</c:v>
                </c:pt>
                <c:pt idx="3312">
                  <c:v>0.83589987001142485</c:v>
                </c:pt>
                <c:pt idx="3313">
                  <c:v>0.82554210888975232</c:v>
                </c:pt>
                <c:pt idx="3314">
                  <c:v>0.83181834667553034</c:v>
                </c:pt>
                <c:pt idx="3315">
                  <c:v>0.83756962681712055</c:v>
                </c:pt>
                <c:pt idx="3316">
                  <c:v>0.85094940042730571</c:v>
                </c:pt>
                <c:pt idx="3317">
                  <c:v>0.80312525892267006</c:v>
                </c:pt>
                <c:pt idx="3318">
                  <c:v>0.82498614747613408</c:v>
                </c:pt>
                <c:pt idx="3319">
                  <c:v>0.81571996643939704</c:v>
                </c:pt>
                <c:pt idx="3320">
                  <c:v>0.79810809451742104</c:v>
                </c:pt>
                <c:pt idx="3321">
                  <c:v>0.81938071543266677</c:v>
                </c:pt>
                <c:pt idx="3322">
                  <c:v>0.88141718483684117</c:v>
                </c:pt>
                <c:pt idx="3323">
                  <c:v>0.84145645623090271</c:v>
                </c:pt>
                <c:pt idx="3324">
                  <c:v>0.85188016782277887</c:v>
                </c:pt>
                <c:pt idx="3325">
                  <c:v>0.82126054206507881</c:v>
                </c:pt>
                <c:pt idx="3326">
                  <c:v>0.8049013356448782</c:v>
                </c:pt>
                <c:pt idx="3327">
                  <c:v>0.85190252279071743</c:v>
                </c:pt>
                <c:pt idx="3328">
                  <c:v>0.90515475557437042</c:v>
                </c:pt>
                <c:pt idx="3329">
                  <c:v>0.87118545845800044</c:v>
                </c:pt>
                <c:pt idx="3330">
                  <c:v>0.89725530806205278</c:v>
                </c:pt>
                <c:pt idx="3331">
                  <c:v>0.87595094470081125</c:v>
                </c:pt>
                <c:pt idx="3332">
                  <c:v>0.82533015989641334</c:v>
                </c:pt>
                <c:pt idx="3333">
                  <c:v>0.89465411575062548</c:v>
                </c:pt>
                <c:pt idx="3334">
                  <c:v>0.86256039108248117</c:v>
                </c:pt>
                <c:pt idx="3335">
                  <c:v>0.8626220099410532</c:v>
                </c:pt>
                <c:pt idx="3336">
                  <c:v>0.89010303462885298</c:v>
                </c:pt>
                <c:pt idx="3337">
                  <c:v>0.90232560786802307</c:v>
                </c:pt>
                <c:pt idx="3338">
                  <c:v>0.86705780861765902</c:v>
                </c:pt>
                <c:pt idx="3339">
                  <c:v>0.87268421703877397</c:v>
                </c:pt>
                <c:pt idx="3340">
                  <c:v>0.84773758569776003</c:v>
                </c:pt>
                <c:pt idx="3341">
                  <c:v>0.90370570561595087</c:v>
                </c:pt>
                <c:pt idx="3342">
                  <c:v>0.89907910797503809</c:v>
                </c:pt>
                <c:pt idx="3343">
                  <c:v>0.89343922164887046</c:v>
                </c:pt>
                <c:pt idx="3344">
                  <c:v>0.88354362034468426</c:v>
                </c:pt>
                <c:pt idx="3345">
                  <c:v>0.86561605716088574</c:v>
                </c:pt>
                <c:pt idx="3346">
                  <c:v>0.88585201204496244</c:v>
                </c:pt>
                <c:pt idx="3347">
                  <c:v>0.85013648237238393</c:v>
                </c:pt>
                <c:pt idx="3348">
                  <c:v>0.86522387787371791</c:v>
                </c:pt>
                <c:pt idx="3349">
                  <c:v>0.90281102607427355</c:v>
                </c:pt>
                <c:pt idx="3350">
                  <c:v>0.8616063293270555</c:v>
                </c:pt>
                <c:pt idx="3351">
                  <c:v>0.86607995088983514</c:v>
                </c:pt>
                <c:pt idx="3352">
                  <c:v>0.97903602393263345</c:v>
                </c:pt>
                <c:pt idx="3353">
                  <c:v>0.86482938767217854</c:v>
                </c:pt>
                <c:pt idx="3354">
                  <c:v>0.89309011100209357</c:v>
                </c:pt>
                <c:pt idx="3355">
                  <c:v>0.84254658686454698</c:v>
                </c:pt>
                <c:pt idx="3356">
                  <c:v>0.51023177631436178</c:v>
                </c:pt>
                <c:pt idx="3357">
                  <c:v>0.51098431005089862</c:v>
                </c:pt>
                <c:pt idx="3358">
                  <c:v>0.47319914549102898</c:v>
                </c:pt>
                <c:pt idx="3359">
                  <c:v>0.5183164884164716</c:v>
                </c:pt>
                <c:pt idx="3360">
                  <c:v>0.54214308620607821</c:v>
                </c:pt>
                <c:pt idx="3361">
                  <c:v>0.5228465194341867</c:v>
                </c:pt>
                <c:pt idx="3362">
                  <c:v>0.55004383045830529</c:v>
                </c:pt>
                <c:pt idx="3363">
                  <c:v>0.53399194529288507</c:v>
                </c:pt>
                <c:pt idx="3364">
                  <c:v>0.51538962682077594</c:v>
                </c:pt>
                <c:pt idx="3365">
                  <c:v>0.5104665888452381</c:v>
                </c:pt>
                <c:pt idx="3366">
                  <c:v>0.49508121325883303</c:v>
                </c:pt>
                <c:pt idx="3367">
                  <c:v>0.47547898138335004</c:v>
                </c:pt>
                <c:pt idx="3368">
                  <c:v>0.51708024669658692</c:v>
                </c:pt>
                <c:pt idx="3369">
                  <c:v>0.49752010829278553</c:v>
                </c:pt>
                <c:pt idx="3370">
                  <c:v>0.5003041393328167</c:v>
                </c:pt>
                <c:pt idx="3371">
                  <c:v>0.53571668678163598</c:v>
                </c:pt>
                <c:pt idx="3372">
                  <c:v>0.50838681594508128</c:v>
                </c:pt>
                <c:pt idx="3373">
                  <c:v>0.5099744229748806</c:v>
                </c:pt>
                <c:pt idx="3374">
                  <c:v>0.50623733793065473</c:v>
                </c:pt>
                <c:pt idx="3375">
                  <c:v>0.51078661982389528</c:v>
                </c:pt>
                <c:pt idx="3376">
                  <c:v>0.54002686513410136</c:v>
                </c:pt>
                <c:pt idx="3377">
                  <c:v>0.51338648912754925</c:v>
                </c:pt>
                <c:pt idx="3378">
                  <c:v>0.53330892832652366</c:v>
                </c:pt>
                <c:pt idx="3379">
                  <c:v>0.53977693115286551</c:v>
                </c:pt>
                <c:pt idx="3380">
                  <c:v>0.53776999813935389</c:v>
                </c:pt>
                <c:pt idx="3381">
                  <c:v>0.55208937948719961</c:v>
                </c:pt>
                <c:pt idx="3382">
                  <c:v>0.52847254203827032</c:v>
                </c:pt>
                <c:pt idx="3383">
                  <c:v>0.54418169054962828</c:v>
                </c:pt>
                <c:pt idx="3384">
                  <c:v>0.52548354687393339</c:v>
                </c:pt>
                <c:pt idx="3385">
                  <c:v>0.52773697927644625</c:v>
                </c:pt>
                <c:pt idx="3386">
                  <c:v>0.55101927174571419</c:v>
                </c:pt>
                <c:pt idx="3387">
                  <c:v>0.54811253626352741</c:v>
                </c:pt>
                <c:pt idx="3388">
                  <c:v>0.5283292346398939</c:v>
                </c:pt>
                <c:pt idx="3389">
                  <c:v>0.56145511796678815</c:v>
                </c:pt>
                <c:pt idx="3390">
                  <c:v>0.5462163265231208</c:v>
                </c:pt>
                <c:pt idx="3391">
                  <c:v>0.54106752339826181</c:v>
                </c:pt>
                <c:pt idx="3392">
                  <c:v>0.55031569251451296</c:v>
                </c:pt>
                <c:pt idx="3393">
                  <c:v>0.53782979495043903</c:v>
                </c:pt>
                <c:pt idx="3394">
                  <c:v>0.5249454913316205</c:v>
                </c:pt>
                <c:pt idx="3395">
                  <c:v>0.55535397991781021</c:v>
                </c:pt>
                <c:pt idx="3396">
                  <c:v>0.54517977898998038</c:v>
                </c:pt>
                <c:pt idx="3397">
                  <c:v>0.52041199599352583</c:v>
                </c:pt>
                <c:pt idx="3398">
                  <c:v>0.53176622274843166</c:v>
                </c:pt>
                <c:pt idx="3399">
                  <c:v>0.54039317498683481</c:v>
                </c:pt>
                <c:pt idx="3400">
                  <c:v>0.51911863568235606</c:v>
                </c:pt>
                <c:pt idx="3401">
                  <c:v>0.55263646401037902</c:v>
                </c:pt>
                <c:pt idx="3402">
                  <c:v>0.53516431876859627</c:v>
                </c:pt>
                <c:pt idx="3403">
                  <c:v>0.52859278599448123</c:v>
                </c:pt>
                <c:pt idx="3404">
                  <c:v>0.52432081189753554</c:v>
                </c:pt>
                <c:pt idx="3405">
                  <c:v>0.51853275889769412</c:v>
                </c:pt>
                <c:pt idx="3406">
                  <c:v>0.49588165194222489</c:v>
                </c:pt>
                <c:pt idx="3407">
                  <c:v>0.5282358149532157</c:v>
                </c:pt>
                <c:pt idx="3408">
                  <c:v>0.49736717984310574</c:v>
                </c:pt>
                <c:pt idx="3409">
                  <c:v>0.51694501713680241</c:v>
                </c:pt>
                <c:pt idx="3410">
                  <c:v>0.49340172150899547</c:v>
                </c:pt>
                <c:pt idx="3411">
                  <c:v>0.49008073930143808</c:v>
                </c:pt>
                <c:pt idx="3412">
                  <c:v>0.47726787673642751</c:v>
                </c:pt>
                <c:pt idx="3413">
                  <c:v>0.49952226682817663</c:v>
                </c:pt>
                <c:pt idx="3414">
                  <c:v>0.4998106190779687</c:v>
                </c:pt>
                <c:pt idx="3415">
                  <c:v>0.51124815859042427</c:v>
                </c:pt>
                <c:pt idx="3416">
                  <c:v>0.50520833272031318</c:v>
                </c:pt>
                <c:pt idx="3417">
                  <c:v>0.50612279333395793</c:v>
                </c:pt>
                <c:pt idx="3418">
                  <c:v>0.49579859594269327</c:v>
                </c:pt>
                <c:pt idx="3419">
                  <c:v>0.50818497455639444</c:v>
                </c:pt>
                <c:pt idx="3420">
                  <c:v>0.50628241634877247</c:v>
                </c:pt>
                <c:pt idx="3421">
                  <c:v>0.53269222331111443</c:v>
                </c:pt>
                <c:pt idx="3422">
                  <c:v>0.50150305697135833</c:v>
                </c:pt>
                <c:pt idx="3423">
                  <c:v>0.52640893987562021</c:v>
                </c:pt>
                <c:pt idx="3424">
                  <c:v>0.50898706959056927</c:v>
                </c:pt>
                <c:pt idx="3425">
                  <c:v>0.49873058222156669</c:v>
                </c:pt>
                <c:pt idx="3426">
                  <c:v>0.47970470115307073</c:v>
                </c:pt>
                <c:pt idx="3427">
                  <c:v>0.47964195350199723</c:v>
                </c:pt>
                <c:pt idx="3428">
                  <c:v>0.50682637258678587</c:v>
                </c:pt>
                <c:pt idx="3429">
                  <c:v>0.49797001616278808</c:v>
                </c:pt>
                <c:pt idx="3430">
                  <c:v>0.49421722812886598</c:v>
                </c:pt>
                <c:pt idx="3431">
                  <c:v>0.48168249919848166</c:v>
                </c:pt>
                <c:pt idx="3432">
                  <c:v>0.50244569318775656</c:v>
                </c:pt>
                <c:pt idx="3433">
                  <c:v>0.49979399385895906</c:v>
                </c:pt>
                <c:pt idx="3434">
                  <c:v>0.53511986082835183</c:v>
                </c:pt>
                <c:pt idx="3435">
                  <c:v>0.47359191796548855</c:v>
                </c:pt>
                <c:pt idx="3436">
                  <c:v>0.51731099053662111</c:v>
                </c:pt>
                <c:pt idx="3437">
                  <c:v>0.52437794497383461</c:v>
                </c:pt>
                <c:pt idx="3438">
                  <c:v>0.50764366295800534</c:v>
                </c:pt>
                <c:pt idx="3439">
                  <c:v>0.49650565828002868</c:v>
                </c:pt>
                <c:pt idx="3440">
                  <c:v>0.52563905962818536</c:v>
                </c:pt>
                <c:pt idx="3441">
                  <c:v>0.49400005791346285</c:v>
                </c:pt>
                <c:pt idx="3442">
                  <c:v>0.5016288144685318</c:v>
                </c:pt>
                <c:pt idx="3443">
                  <c:v>0.51567412826177028</c:v>
                </c:pt>
                <c:pt idx="3444">
                  <c:v>0.50244528349330952</c:v>
                </c:pt>
                <c:pt idx="3445">
                  <c:v>0.52412702285657309</c:v>
                </c:pt>
                <c:pt idx="3446">
                  <c:v>0.53040373024168919</c:v>
                </c:pt>
                <c:pt idx="3447">
                  <c:v>0.5082886017798256</c:v>
                </c:pt>
                <c:pt idx="3448">
                  <c:v>0.48530509907817215</c:v>
                </c:pt>
                <c:pt idx="3449">
                  <c:v>0.48808868041392578</c:v>
                </c:pt>
                <c:pt idx="3450">
                  <c:v>0.49558970715596296</c:v>
                </c:pt>
                <c:pt idx="3451">
                  <c:v>0.50891173005512613</c:v>
                </c:pt>
                <c:pt idx="3452">
                  <c:v>0.52261309297318026</c:v>
                </c:pt>
                <c:pt idx="3453">
                  <c:v>0.50281030454111875</c:v>
                </c:pt>
                <c:pt idx="3454">
                  <c:v>0.50781985882798852</c:v>
                </c:pt>
                <c:pt idx="3455">
                  <c:v>0.50759103317614074</c:v>
                </c:pt>
                <c:pt idx="3456">
                  <c:v>0.50117350636922942</c:v>
                </c:pt>
                <c:pt idx="3457">
                  <c:v>0.48602305702810622</c:v>
                </c:pt>
                <c:pt idx="3458">
                  <c:v>0.50931168728472243</c:v>
                </c:pt>
                <c:pt idx="3459">
                  <c:v>0.5007007185570902</c:v>
                </c:pt>
                <c:pt idx="3460">
                  <c:v>0.48198623123755796</c:v>
                </c:pt>
                <c:pt idx="3461">
                  <c:v>0.51156213154971986</c:v>
                </c:pt>
                <c:pt idx="3462">
                  <c:v>0.5080590793601768</c:v>
                </c:pt>
                <c:pt idx="3463">
                  <c:v>0.48935454497399961</c:v>
                </c:pt>
                <c:pt idx="3464">
                  <c:v>0.5147878099787746</c:v>
                </c:pt>
                <c:pt idx="3465">
                  <c:v>0.53812425280028919</c:v>
                </c:pt>
                <c:pt idx="3466">
                  <c:v>0.48336931058995369</c:v>
                </c:pt>
                <c:pt idx="3467">
                  <c:v>0.5109735974396622</c:v>
                </c:pt>
                <c:pt idx="3468">
                  <c:v>0.50124280532202037</c:v>
                </c:pt>
                <c:pt idx="3469">
                  <c:v>0.53731754162050005</c:v>
                </c:pt>
                <c:pt idx="3470">
                  <c:v>0.53418519123889607</c:v>
                </c:pt>
                <c:pt idx="3471">
                  <c:v>0.5146415076480243</c:v>
                </c:pt>
                <c:pt idx="3472">
                  <c:v>0.49635306460164386</c:v>
                </c:pt>
                <c:pt idx="3473">
                  <c:v>0.49182740000068226</c:v>
                </c:pt>
                <c:pt idx="3474">
                  <c:v>0.5000522312001876</c:v>
                </c:pt>
                <c:pt idx="3475">
                  <c:v>0.49865316657382747</c:v>
                </c:pt>
                <c:pt idx="3476">
                  <c:v>0.52322057419499868</c:v>
                </c:pt>
                <c:pt idx="3477">
                  <c:v>0.50184439220950061</c:v>
                </c:pt>
                <c:pt idx="3478">
                  <c:v>0.50344883094738213</c:v>
                </c:pt>
                <c:pt idx="3479">
                  <c:v>0.51750982293589021</c:v>
                </c:pt>
                <c:pt idx="3480">
                  <c:v>0.50603395308299437</c:v>
                </c:pt>
                <c:pt idx="3481">
                  <c:v>0.49028442930944477</c:v>
                </c:pt>
                <c:pt idx="3482">
                  <c:v>0.49770335808790406</c:v>
                </c:pt>
                <c:pt idx="3483">
                  <c:v>0.50737734473404872</c:v>
                </c:pt>
                <c:pt idx="3484">
                  <c:v>0.48279128843660424</c:v>
                </c:pt>
                <c:pt idx="3485">
                  <c:v>0.5409406863147983</c:v>
                </c:pt>
                <c:pt idx="3486">
                  <c:v>0.51701976836783725</c:v>
                </c:pt>
                <c:pt idx="3487">
                  <c:v>0.52292677559400869</c:v>
                </c:pt>
                <c:pt idx="3488">
                  <c:v>0.48739746023054448</c:v>
                </c:pt>
                <c:pt idx="3489">
                  <c:v>0.50030317865294294</c:v>
                </c:pt>
                <c:pt idx="3490">
                  <c:v>0.48876640012803968</c:v>
                </c:pt>
                <c:pt idx="3491">
                  <c:v>0.51245892072032773</c:v>
                </c:pt>
                <c:pt idx="3492">
                  <c:v>0.53367204986742145</c:v>
                </c:pt>
                <c:pt idx="3493">
                  <c:v>0.49531519717532002</c:v>
                </c:pt>
                <c:pt idx="3494">
                  <c:v>0.53127257815398465</c:v>
                </c:pt>
                <c:pt idx="3495">
                  <c:v>0.49115850856989757</c:v>
                </c:pt>
                <c:pt idx="3496">
                  <c:v>0.48367243601405724</c:v>
                </c:pt>
                <c:pt idx="3497">
                  <c:v>0.53299718488198344</c:v>
                </c:pt>
                <c:pt idx="3498">
                  <c:v>0.5092587215100689</c:v>
                </c:pt>
                <c:pt idx="3499">
                  <c:v>0.52335985070468094</c:v>
                </c:pt>
                <c:pt idx="3500">
                  <c:v>0.1590995637057622</c:v>
                </c:pt>
                <c:pt idx="3501">
                  <c:v>0.86376828914712789</c:v>
                </c:pt>
                <c:pt idx="3502">
                  <c:v>0.90628320356361647</c:v>
                </c:pt>
                <c:pt idx="3503">
                  <c:v>0.89707870955954583</c:v>
                </c:pt>
                <c:pt idx="3504">
                  <c:v>0.92706095920413079</c:v>
                </c:pt>
                <c:pt idx="3505">
                  <c:v>0.91778390441982671</c:v>
                </c:pt>
                <c:pt idx="3506">
                  <c:v>0.90056855087727461</c:v>
                </c:pt>
                <c:pt idx="3507">
                  <c:v>0.83528721948269535</c:v>
                </c:pt>
                <c:pt idx="3508">
                  <c:v>0.82555203841920766</c:v>
                </c:pt>
                <c:pt idx="3509">
                  <c:v>0.79924568366355975</c:v>
                </c:pt>
                <c:pt idx="3510">
                  <c:v>0.880291725471255</c:v>
                </c:pt>
                <c:pt idx="3511">
                  <c:v>0.9322608777708038</c:v>
                </c:pt>
                <c:pt idx="3512">
                  <c:v>0.88780447916897054</c:v>
                </c:pt>
                <c:pt idx="3513">
                  <c:v>0.92522434689834143</c:v>
                </c:pt>
                <c:pt idx="3514">
                  <c:v>0.91659653165698263</c:v>
                </c:pt>
                <c:pt idx="3515">
                  <c:v>0.93725297183815703</c:v>
                </c:pt>
                <c:pt idx="3516">
                  <c:v>0.92148280343379962</c:v>
                </c:pt>
                <c:pt idx="3517">
                  <c:v>0.94922274666650241</c:v>
                </c:pt>
                <c:pt idx="3518">
                  <c:v>0.91023453868524284</c:v>
                </c:pt>
                <c:pt idx="3519">
                  <c:v>0.89999670053600467</c:v>
                </c:pt>
                <c:pt idx="3520">
                  <c:v>0.90056374579492393</c:v>
                </c:pt>
                <c:pt idx="3521">
                  <c:v>0.92376263375169076</c:v>
                </c:pt>
                <c:pt idx="3522">
                  <c:v>0.95404852951105235</c:v>
                </c:pt>
                <c:pt idx="3523">
                  <c:v>0.92467803345358845</c:v>
                </c:pt>
                <c:pt idx="3524">
                  <c:v>0.93534651689111215</c:v>
                </c:pt>
                <c:pt idx="3525">
                  <c:v>0.93144902197592638</c:v>
                </c:pt>
                <c:pt idx="3526">
                  <c:v>0.89128020557300536</c:v>
                </c:pt>
                <c:pt idx="3527">
                  <c:v>0.90468514900965469</c:v>
                </c:pt>
                <c:pt idx="3528">
                  <c:v>0.94328231270112362</c:v>
                </c:pt>
                <c:pt idx="3529">
                  <c:v>0.97496325311353749</c:v>
                </c:pt>
                <c:pt idx="3530">
                  <c:v>0.91417898287952271</c:v>
                </c:pt>
                <c:pt idx="3531">
                  <c:v>0.92896359758388369</c:v>
                </c:pt>
                <c:pt idx="3532">
                  <c:v>0.91575245734247046</c:v>
                </c:pt>
                <c:pt idx="3533">
                  <c:v>0.90024600096556884</c:v>
                </c:pt>
                <c:pt idx="3534">
                  <c:v>0.91640509425319483</c:v>
                </c:pt>
                <c:pt idx="3535">
                  <c:v>0.87645432808039947</c:v>
                </c:pt>
                <c:pt idx="3536">
                  <c:v>0.90878382861938711</c:v>
                </c:pt>
                <c:pt idx="3537">
                  <c:v>0.86419366907037776</c:v>
                </c:pt>
                <c:pt idx="3538">
                  <c:v>0.91478283617357914</c:v>
                </c:pt>
                <c:pt idx="3539">
                  <c:v>0.90738943049953291</c:v>
                </c:pt>
                <c:pt idx="3540">
                  <c:v>0.88027702155362741</c:v>
                </c:pt>
                <c:pt idx="3541">
                  <c:v>0.91353411903740422</c:v>
                </c:pt>
                <c:pt idx="3542">
                  <c:v>0.89797449783587313</c:v>
                </c:pt>
                <c:pt idx="3543">
                  <c:v>0.85634703871831008</c:v>
                </c:pt>
                <c:pt idx="3544">
                  <c:v>0.88721235139434951</c:v>
                </c:pt>
                <c:pt idx="3545">
                  <c:v>0.88286535097520924</c:v>
                </c:pt>
                <c:pt idx="3546">
                  <c:v>0.86421807078047386</c:v>
                </c:pt>
                <c:pt idx="3547">
                  <c:v>0.88162667568224151</c:v>
                </c:pt>
                <c:pt idx="3548">
                  <c:v>0.88120530919677897</c:v>
                </c:pt>
                <c:pt idx="3549">
                  <c:v>0.82596893862165022</c:v>
                </c:pt>
                <c:pt idx="3550">
                  <c:v>0.85372655556112353</c:v>
                </c:pt>
                <c:pt idx="3551">
                  <c:v>0.83746564431254333</c:v>
                </c:pt>
                <c:pt idx="3552">
                  <c:v>0.81707520623447694</c:v>
                </c:pt>
                <c:pt idx="3553">
                  <c:v>0.7984934700689289</c:v>
                </c:pt>
                <c:pt idx="3554">
                  <c:v>0.83132352464691839</c:v>
                </c:pt>
                <c:pt idx="3555">
                  <c:v>0.80157101495038763</c:v>
                </c:pt>
                <c:pt idx="3556">
                  <c:v>0.83894525428828526</c:v>
                </c:pt>
                <c:pt idx="3557">
                  <c:v>0.80058436455039306</c:v>
                </c:pt>
                <c:pt idx="3558">
                  <c:v>0.84610127941036783</c:v>
                </c:pt>
                <c:pt idx="3559">
                  <c:v>0.81803781262312691</c:v>
                </c:pt>
                <c:pt idx="3560">
                  <c:v>0.79190661998135259</c:v>
                </c:pt>
                <c:pt idx="3561">
                  <c:v>0.79743533863864269</c:v>
                </c:pt>
                <c:pt idx="3562">
                  <c:v>0.78793368969968591</c:v>
                </c:pt>
                <c:pt idx="3563">
                  <c:v>0.83746052977650476</c:v>
                </c:pt>
                <c:pt idx="3564">
                  <c:v>0.84280444105655217</c:v>
                </c:pt>
                <c:pt idx="3565">
                  <c:v>0.79922734239226101</c:v>
                </c:pt>
                <c:pt idx="3566">
                  <c:v>0.81849364798929891</c:v>
                </c:pt>
                <c:pt idx="3567">
                  <c:v>0.8163298737723248</c:v>
                </c:pt>
                <c:pt idx="3568">
                  <c:v>0.79286306339397894</c:v>
                </c:pt>
                <c:pt idx="3569">
                  <c:v>0.76828104879289072</c:v>
                </c:pt>
                <c:pt idx="3570">
                  <c:v>0.77587414813435662</c:v>
                </c:pt>
                <c:pt idx="3571">
                  <c:v>0.79503799055478708</c:v>
                </c:pt>
                <c:pt idx="3572">
                  <c:v>0.78964028256528407</c:v>
                </c:pt>
                <c:pt idx="3573">
                  <c:v>0.7842405267620941</c:v>
                </c:pt>
                <c:pt idx="3574">
                  <c:v>0.76028568927929285</c:v>
                </c:pt>
                <c:pt idx="3575">
                  <c:v>0.79089471920268561</c:v>
                </c:pt>
                <c:pt idx="3576">
                  <c:v>0.81762036349158451</c:v>
                </c:pt>
                <c:pt idx="3577">
                  <c:v>0.80671924992181054</c:v>
                </c:pt>
                <c:pt idx="3578">
                  <c:v>0.80448127909861866</c:v>
                </c:pt>
                <c:pt idx="3579">
                  <c:v>0.83724294836293212</c:v>
                </c:pt>
                <c:pt idx="3580">
                  <c:v>0.85537582089533903</c:v>
                </c:pt>
                <c:pt idx="3581">
                  <c:v>0.84452290162720522</c:v>
                </c:pt>
                <c:pt idx="3582">
                  <c:v>0.86561972624872541</c:v>
                </c:pt>
                <c:pt idx="3583">
                  <c:v>0.85822730634434752</c:v>
                </c:pt>
                <c:pt idx="3584">
                  <c:v>0.80668075241134618</c:v>
                </c:pt>
                <c:pt idx="3585">
                  <c:v>0.83908901935721203</c:v>
                </c:pt>
                <c:pt idx="3586">
                  <c:v>0.82878275743066843</c:v>
                </c:pt>
                <c:pt idx="3587">
                  <c:v>0.82369718801431124</c:v>
                </c:pt>
                <c:pt idx="3588">
                  <c:v>0.80623290039873119</c:v>
                </c:pt>
                <c:pt idx="3589">
                  <c:v>0.78338997962236923</c:v>
                </c:pt>
                <c:pt idx="3590">
                  <c:v>0.79089064240064155</c:v>
                </c:pt>
                <c:pt idx="3591">
                  <c:v>0.80111724191433431</c:v>
                </c:pt>
                <c:pt idx="3592">
                  <c:v>0.80407008967447491</c:v>
                </c:pt>
                <c:pt idx="3593">
                  <c:v>0.79767885214006251</c:v>
                </c:pt>
                <c:pt idx="3594">
                  <c:v>0.82458781547789872</c:v>
                </c:pt>
                <c:pt idx="3595">
                  <c:v>0.84485458075104702</c:v>
                </c:pt>
                <c:pt idx="3596">
                  <c:v>0.79188081292836898</c:v>
                </c:pt>
                <c:pt idx="3597">
                  <c:v>0.82403121643164579</c:v>
                </c:pt>
                <c:pt idx="3598">
                  <c:v>0.83180664028771534</c:v>
                </c:pt>
                <c:pt idx="3599">
                  <c:v>0.80589935625146436</c:v>
                </c:pt>
                <c:pt idx="3600">
                  <c:v>0.78970604725716664</c:v>
                </c:pt>
                <c:pt idx="3601">
                  <c:v>0.81921769736433392</c:v>
                </c:pt>
                <c:pt idx="3602">
                  <c:v>0.76632954977203416</c:v>
                </c:pt>
                <c:pt idx="3603">
                  <c:v>0.82029231673872227</c:v>
                </c:pt>
                <c:pt idx="3604">
                  <c:v>0.82070786292471165</c:v>
                </c:pt>
                <c:pt idx="3605">
                  <c:v>0.85146125752069013</c:v>
                </c:pt>
                <c:pt idx="3606">
                  <c:v>0.84115973668087562</c:v>
                </c:pt>
                <c:pt idx="3607">
                  <c:v>0.83816148022523107</c:v>
                </c:pt>
                <c:pt idx="3608">
                  <c:v>0.84220820569232402</c:v>
                </c:pt>
                <c:pt idx="3609">
                  <c:v>0.84188531163837232</c:v>
                </c:pt>
                <c:pt idx="3610">
                  <c:v>0.87920217397789979</c:v>
                </c:pt>
                <c:pt idx="3611">
                  <c:v>0.88269304339455867</c:v>
                </c:pt>
                <c:pt idx="3612">
                  <c:v>0.87004836408435537</c:v>
                </c:pt>
                <c:pt idx="3613">
                  <c:v>0.88917027351684885</c:v>
                </c:pt>
                <c:pt idx="3614">
                  <c:v>0.8558645761472915</c:v>
                </c:pt>
                <c:pt idx="3615">
                  <c:v>0.87041215796637694</c:v>
                </c:pt>
                <c:pt idx="3616">
                  <c:v>0.86745134146826308</c:v>
                </c:pt>
                <c:pt idx="3617">
                  <c:v>0.87839947497630133</c:v>
                </c:pt>
                <c:pt idx="3618">
                  <c:v>0.86973608866818963</c:v>
                </c:pt>
                <c:pt idx="3619">
                  <c:v>0.88849984349143163</c:v>
                </c:pt>
                <c:pt idx="3620">
                  <c:v>0.84739878316802153</c:v>
                </c:pt>
                <c:pt idx="3621">
                  <c:v>0.88300649099226136</c:v>
                </c:pt>
                <c:pt idx="3622">
                  <c:v>0.87676930996494484</c:v>
                </c:pt>
                <c:pt idx="3623">
                  <c:v>0.88195821998696033</c:v>
                </c:pt>
                <c:pt idx="3624">
                  <c:v>0.86878716207116302</c:v>
                </c:pt>
                <c:pt idx="3625">
                  <c:v>0.87928223617866319</c:v>
                </c:pt>
                <c:pt idx="3626">
                  <c:v>0.83603584097387984</c:v>
                </c:pt>
                <c:pt idx="3627">
                  <c:v>0.87134031556788605</c:v>
                </c:pt>
                <c:pt idx="3628">
                  <c:v>0.90809912965001716</c:v>
                </c:pt>
                <c:pt idx="3629">
                  <c:v>0.86318076903980023</c:v>
                </c:pt>
                <c:pt idx="3630">
                  <c:v>0.90191586046600769</c:v>
                </c:pt>
                <c:pt idx="3631">
                  <c:v>0.84863624086365108</c:v>
                </c:pt>
                <c:pt idx="3632">
                  <c:v>0.82616418038243045</c:v>
                </c:pt>
                <c:pt idx="3633">
                  <c:v>0.88596124008826749</c:v>
                </c:pt>
                <c:pt idx="3634">
                  <c:v>0.8892635389531417</c:v>
                </c:pt>
                <c:pt idx="3635">
                  <c:v>0.90096816944633085</c:v>
                </c:pt>
                <c:pt idx="3636">
                  <c:v>0.87485860326187981</c:v>
                </c:pt>
                <c:pt idx="3637">
                  <c:v>0.87829551279497975</c:v>
                </c:pt>
                <c:pt idx="3638">
                  <c:v>0.86681750458484907</c:v>
                </c:pt>
                <c:pt idx="3639">
                  <c:v>0.86060449175383169</c:v>
                </c:pt>
                <c:pt idx="3640">
                  <c:v>0.89949290773677548</c:v>
                </c:pt>
                <c:pt idx="3641">
                  <c:v>0.89645831233316309</c:v>
                </c:pt>
                <c:pt idx="3642">
                  <c:v>0.89755363983540626</c:v>
                </c:pt>
                <c:pt idx="3643">
                  <c:v>0.89451167272126109</c:v>
                </c:pt>
                <c:pt idx="3644">
                  <c:v>0.50540274556676068</c:v>
                </c:pt>
                <c:pt idx="3645">
                  <c:v>0.50675214464873808</c:v>
                </c:pt>
                <c:pt idx="3646">
                  <c:v>0.47528886999819658</c:v>
                </c:pt>
                <c:pt idx="3647">
                  <c:v>0.52207616624936892</c:v>
                </c:pt>
                <c:pt idx="3648">
                  <c:v>0.52375218801855172</c:v>
                </c:pt>
                <c:pt idx="3649">
                  <c:v>0.50811300040047758</c:v>
                </c:pt>
                <c:pt idx="3650">
                  <c:v>0.54091181476875372</c:v>
                </c:pt>
                <c:pt idx="3651">
                  <c:v>0.51185903980688863</c:v>
                </c:pt>
                <c:pt idx="3652">
                  <c:v>0.46277566983473117</c:v>
                </c:pt>
                <c:pt idx="3653">
                  <c:v>0.48595398141428603</c:v>
                </c:pt>
                <c:pt idx="3654">
                  <c:v>0.46029617627426084</c:v>
                </c:pt>
                <c:pt idx="3655">
                  <c:v>0.46639853658763036</c:v>
                </c:pt>
                <c:pt idx="3656">
                  <c:v>0.48504064040908523</c:v>
                </c:pt>
                <c:pt idx="3657">
                  <c:v>0.47812606221877241</c:v>
                </c:pt>
                <c:pt idx="3658">
                  <c:v>0.47192816081203276</c:v>
                </c:pt>
                <c:pt idx="3659">
                  <c:v>0.48183074009722898</c:v>
                </c:pt>
                <c:pt idx="3660">
                  <c:v>0.47226279863424547</c:v>
                </c:pt>
                <c:pt idx="3661">
                  <c:v>0.502140227002422</c:v>
                </c:pt>
                <c:pt idx="3662">
                  <c:v>0.52315677844982655</c:v>
                </c:pt>
                <c:pt idx="3663">
                  <c:v>0.51351018399719772</c:v>
                </c:pt>
                <c:pt idx="3664">
                  <c:v>0.48239531070287128</c:v>
                </c:pt>
                <c:pt idx="3665">
                  <c:v>0.50809615079453152</c:v>
                </c:pt>
                <c:pt idx="3666">
                  <c:v>0.50730186045420156</c:v>
                </c:pt>
                <c:pt idx="3667">
                  <c:v>0.50039004297005629</c:v>
                </c:pt>
                <c:pt idx="3668">
                  <c:v>0.54417846519419011</c:v>
                </c:pt>
                <c:pt idx="3669">
                  <c:v>0.5321833076320287</c:v>
                </c:pt>
                <c:pt idx="3670">
                  <c:v>0.51294134889441678</c:v>
                </c:pt>
                <c:pt idx="3671">
                  <c:v>0.51391949723041663</c:v>
                </c:pt>
                <c:pt idx="3672">
                  <c:v>0.52410428724165203</c:v>
                </c:pt>
                <c:pt idx="3673">
                  <c:v>0.53290425477208037</c:v>
                </c:pt>
                <c:pt idx="3674">
                  <c:v>0.52669238583083922</c:v>
                </c:pt>
                <c:pt idx="3675">
                  <c:v>0.50408941301618848</c:v>
                </c:pt>
                <c:pt idx="3676">
                  <c:v>0.47037902774447038</c:v>
                </c:pt>
                <c:pt idx="3677">
                  <c:v>0.48520607028105872</c:v>
                </c:pt>
                <c:pt idx="3678">
                  <c:v>0.51627987807473419</c:v>
                </c:pt>
                <c:pt idx="3679">
                  <c:v>0.5155034762669588</c:v>
                </c:pt>
                <c:pt idx="3680">
                  <c:v>0.51449621863680695</c:v>
                </c:pt>
                <c:pt idx="3681">
                  <c:v>0.50738517598325816</c:v>
                </c:pt>
                <c:pt idx="3682">
                  <c:v>0.48172532954470537</c:v>
                </c:pt>
                <c:pt idx="3683">
                  <c:v>0.48022662313822323</c:v>
                </c:pt>
                <c:pt idx="3684">
                  <c:v>0.50822998603687408</c:v>
                </c:pt>
                <c:pt idx="3685">
                  <c:v>0.49004814003282965</c:v>
                </c:pt>
                <c:pt idx="3686">
                  <c:v>0.5109269945057201</c:v>
                </c:pt>
                <c:pt idx="3687">
                  <c:v>0.51174222574923522</c:v>
                </c:pt>
                <c:pt idx="3688">
                  <c:v>0.4952965941655581</c:v>
                </c:pt>
                <c:pt idx="3689">
                  <c:v>0.4920039744969501</c:v>
                </c:pt>
                <c:pt idx="3690">
                  <c:v>0.52097964196913005</c:v>
                </c:pt>
                <c:pt idx="3691">
                  <c:v>0.48516656612494352</c:v>
                </c:pt>
                <c:pt idx="3692">
                  <c:v>0.5094034882877525</c:v>
                </c:pt>
                <c:pt idx="3693">
                  <c:v>0.49004828055216954</c:v>
                </c:pt>
                <c:pt idx="3694">
                  <c:v>0.47892835305827702</c:v>
                </c:pt>
                <c:pt idx="3695">
                  <c:v>0.48805960155298489</c:v>
                </c:pt>
                <c:pt idx="3696">
                  <c:v>0.47152640140882884</c:v>
                </c:pt>
                <c:pt idx="3697">
                  <c:v>0.51157403317398842</c:v>
                </c:pt>
                <c:pt idx="3698">
                  <c:v>0.49614485808114472</c:v>
                </c:pt>
                <c:pt idx="3699">
                  <c:v>0.48614160885597407</c:v>
                </c:pt>
                <c:pt idx="3700">
                  <c:v>0.44206157894688769</c:v>
                </c:pt>
                <c:pt idx="3701">
                  <c:v>0.45471561912377095</c:v>
                </c:pt>
                <c:pt idx="3702">
                  <c:v>0.47906081930608657</c:v>
                </c:pt>
                <c:pt idx="3703">
                  <c:v>0.47168386619815966</c:v>
                </c:pt>
                <c:pt idx="3704">
                  <c:v>0.48447494574991362</c:v>
                </c:pt>
                <c:pt idx="3705">
                  <c:v>0.4608653821635102</c:v>
                </c:pt>
                <c:pt idx="3706">
                  <c:v>0.45252380289720173</c:v>
                </c:pt>
                <c:pt idx="3707">
                  <c:v>0.47882713833857238</c:v>
                </c:pt>
                <c:pt idx="3708">
                  <c:v>0.46509704519953204</c:v>
                </c:pt>
                <c:pt idx="3709">
                  <c:v>0.47669963972074841</c:v>
                </c:pt>
                <c:pt idx="3710">
                  <c:v>0.47827422240924344</c:v>
                </c:pt>
                <c:pt idx="3711">
                  <c:v>0.4857769161202829</c:v>
                </c:pt>
                <c:pt idx="3712">
                  <c:v>0.45129385356359497</c:v>
                </c:pt>
                <c:pt idx="3713">
                  <c:v>0.45404074744591089</c:v>
                </c:pt>
                <c:pt idx="3714">
                  <c:v>0.4795291000505113</c:v>
                </c:pt>
                <c:pt idx="3715">
                  <c:v>0.48739604643190965</c:v>
                </c:pt>
                <c:pt idx="3716">
                  <c:v>0.48557791528219735</c:v>
                </c:pt>
                <c:pt idx="3717">
                  <c:v>0.47472487765505789</c:v>
                </c:pt>
                <c:pt idx="3718">
                  <c:v>0.45558009976907415</c:v>
                </c:pt>
                <c:pt idx="3719">
                  <c:v>0.46642109030250473</c:v>
                </c:pt>
                <c:pt idx="3720">
                  <c:v>0.44685810950602711</c:v>
                </c:pt>
                <c:pt idx="3721">
                  <c:v>0.4665437797990542</c:v>
                </c:pt>
                <c:pt idx="3722">
                  <c:v>0.47707072885595631</c:v>
                </c:pt>
                <c:pt idx="3723">
                  <c:v>0.45001172153929375</c:v>
                </c:pt>
                <c:pt idx="3724">
                  <c:v>0.46510448658068082</c:v>
                </c:pt>
                <c:pt idx="3725">
                  <c:v>0.45194892026846989</c:v>
                </c:pt>
                <c:pt idx="3726">
                  <c:v>0.44778916079292519</c:v>
                </c:pt>
                <c:pt idx="3727">
                  <c:v>0.47387569033402432</c:v>
                </c:pt>
                <c:pt idx="3728">
                  <c:v>0.46552471763651698</c:v>
                </c:pt>
                <c:pt idx="3729">
                  <c:v>0.45500072089865418</c:v>
                </c:pt>
                <c:pt idx="3730">
                  <c:v>0.47506231368542851</c:v>
                </c:pt>
                <c:pt idx="3731">
                  <c:v>0.45552046217742098</c:v>
                </c:pt>
                <c:pt idx="3732">
                  <c:v>0.46689741223015491</c:v>
                </c:pt>
                <c:pt idx="3733">
                  <c:v>0.47658152573201362</c:v>
                </c:pt>
                <c:pt idx="3734">
                  <c:v>0.50605332072334464</c:v>
                </c:pt>
                <c:pt idx="3735">
                  <c:v>0.48307968171709664</c:v>
                </c:pt>
                <c:pt idx="3736">
                  <c:v>0.46794579174492307</c:v>
                </c:pt>
                <c:pt idx="3737">
                  <c:v>0.46236879435711187</c:v>
                </c:pt>
                <c:pt idx="3738">
                  <c:v>0.45448218701482024</c:v>
                </c:pt>
                <c:pt idx="3739">
                  <c:v>0.49733291206499919</c:v>
                </c:pt>
                <c:pt idx="3740">
                  <c:v>0.48722069972242071</c:v>
                </c:pt>
                <c:pt idx="3741">
                  <c:v>0.4771709062170702</c:v>
                </c:pt>
                <c:pt idx="3742">
                  <c:v>0.4874705473507559</c:v>
                </c:pt>
                <c:pt idx="3743">
                  <c:v>0.47948821222684079</c:v>
                </c:pt>
                <c:pt idx="3744">
                  <c:v>0.4948358460768576</c:v>
                </c:pt>
                <c:pt idx="3745">
                  <c:v>0.48010055065235219</c:v>
                </c:pt>
                <c:pt idx="3746">
                  <c:v>0.49692314743836952</c:v>
                </c:pt>
                <c:pt idx="3747">
                  <c:v>0.50335630756189165</c:v>
                </c:pt>
                <c:pt idx="3748">
                  <c:v>0.48208055830445962</c:v>
                </c:pt>
                <c:pt idx="3749">
                  <c:v>0.48674577694004867</c:v>
                </c:pt>
                <c:pt idx="3750">
                  <c:v>0.49630528151140668</c:v>
                </c:pt>
                <c:pt idx="3751">
                  <c:v>0.49584213646084047</c:v>
                </c:pt>
                <c:pt idx="3752">
                  <c:v>0.51531021937805732</c:v>
                </c:pt>
                <c:pt idx="3753">
                  <c:v>0.50125293902471868</c:v>
                </c:pt>
                <c:pt idx="3754">
                  <c:v>0.47996437425949712</c:v>
                </c:pt>
                <c:pt idx="3755">
                  <c:v>0.46305089544565109</c:v>
                </c:pt>
                <c:pt idx="3756">
                  <c:v>0.48112445935804365</c:v>
                </c:pt>
                <c:pt idx="3757">
                  <c:v>0.50983588818473446</c:v>
                </c:pt>
                <c:pt idx="3758">
                  <c:v>0.47288525628754602</c:v>
                </c:pt>
                <c:pt idx="3759">
                  <c:v>0.49656712370519596</c:v>
                </c:pt>
                <c:pt idx="3760">
                  <c:v>0.48256461034902609</c:v>
                </c:pt>
                <c:pt idx="3761">
                  <c:v>0.51832860135724546</c:v>
                </c:pt>
                <c:pt idx="3762">
                  <c:v>0.5096684329989124</c:v>
                </c:pt>
                <c:pt idx="3763">
                  <c:v>0.49390215659780778</c:v>
                </c:pt>
                <c:pt idx="3764">
                  <c:v>0.5186663110270715</c:v>
                </c:pt>
                <c:pt idx="3765">
                  <c:v>0.49734562462074289</c:v>
                </c:pt>
                <c:pt idx="3766">
                  <c:v>0.45876396493575194</c:v>
                </c:pt>
                <c:pt idx="3767">
                  <c:v>0.51754530501233331</c:v>
                </c:pt>
                <c:pt idx="3768">
                  <c:v>0.47275878894448292</c:v>
                </c:pt>
                <c:pt idx="3769">
                  <c:v>0.50749304382258931</c:v>
                </c:pt>
                <c:pt idx="3770">
                  <c:v>0.51879022119527274</c:v>
                </c:pt>
                <c:pt idx="3771">
                  <c:v>0.47763125117162492</c:v>
                </c:pt>
                <c:pt idx="3772">
                  <c:v>0.48658036605707145</c:v>
                </c:pt>
                <c:pt idx="3773">
                  <c:v>0.52049139320326587</c:v>
                </c:pt>
                <c:pt idx="3774">
                  <c:v>0.50339364632239691</c:v>
                </c:pt>
                <c:pt idx="3775">
                  <c:v>0.51642245587277658</c:v>
                </c:pt>
                <c:pt idx="3776">
                  <c:v>0.49135202717209453</c:v>
                </c:pt>
                <c:pt idx="3777">
                  <c:v>0.51910864755061503</c:v>
                </c:pt>
                <c:pt idx="3778">
                  <c:v>0.5045722540017552</c:v>
                </c:pt>
                <c:pt idx="3779">
                  <c:v>0.50365302120359257</c:v>
                </c:pt>
                <c:pt idx="3780">
                  <c:v>0.52575193658621266</c:v>
                </c:pt>
                <c:pt idx="3781">
                  <c:v>0.50767645213584511</c:v>
                </c:pt>
                <c:pt idx="3782">
                  <c:v>0.5244250741042461</c:v>
                </c:pt>
                <c:pt idx="3783">
                  <c:v>0.47628095107076479</c:v>
                </c:pt>
                <c:pt idx="3784">
                  <c:v>0.47910693517671638</c:v>
                </c:pt>
                <c:pt idx="3785">
                  <c:v>0.4610538001043667</c:v>
                </c:pt>
                <c:pt idx="3786">
                  <c:v>0.49327509292482619</c:v>
                </c:pt>
                <c:pt idx="3787">
                  <c:v>0.8456284858389076</c:v>
                </c:pt>
                <c:pt idx="3788">
                  <c:v>0.88739340095366503</c:v>
                </c:pt>
                <c:pt idx="3789">
                  <c:v>0.91858255709439884</c:v>
                </c:pt>
                <c:pt idx="3790">
                  <c:v>0.91721033058119517</c:v>
                </c:pt>
                <c:pt idx="3791">
                  <c:v>0.89022009016969772</c:v>
                </c:pt>
                <c:pt idx="3792">
                  <c:v>0.8840315914689284</c:v>
                </c:pt>
                <c:pt idx="3793">
                  <c:v>0.83315399934775214</c:v>
                </c:pt>
                <c:pt idx="3794">
                  <c:v>0.83590842489162775</c:v>
                </c:pt>
                <c:pt idx="3795">
                  <c:v>0.78501090306552301</c:v>
                </c:pt>
                <c:pt idx="3796">
                  <c:v>0.80174511101185286</c:v>
                </c:pt>
                <c:pt idx="3797">
                  <c:v>0.8149482293542345</c:v>
                </c:pt>
                <c:pt idx="3798">
                  <c:v>0.82394823823133589</c:v>
                </c:pt>
                <c:pt idx="3799">
                  <c:v>0.81482125807520223</c:v>
                </c:pt>
                <c:pt idx="3800">
                  <c:v>0.79442788259829089</c:v>
                </c:pt>
                <c:pt idx="3801">
                  <c:v>0.84978788561338525</c:v>
                </c:pt>
                <c:pt idx="3802">
                  <c:v>0.89627642634062132</c:v>
                </c:pt>
                <c:pt idx="3803">
                  <c:v>0.86270524706929685</c:v>
                </c:pt>
                <c:pt idx="3804">
                  <c:v>0.84145019973760993</c:v>
                </c:pt>
                <c:pt idx="3805">
                  <c:v>0.8402390610949354</c:v>
                </c:pt>
                <c:pt idx="3806">
                  <c:v>0.90112765221491775</c:v>
                </c:pt>
                <c:pt idx="3807">
                  <c:v>0.90070787514415029</c:v>
                </c:pt>
                <c:pt idx="3808">
                  <c:v>0.88847581423946409</c:v>
                </c:pt>
                <c:pt idx="3809">
                  <c:v>0.91577217673792299</c:v>
                </c:pt>
                <c:pt idx="3810">
                  <c:v>0.90601275764939015</c:v>
                </c:pt>
                <c:pt idx="3811">
                  <c:v>0.88749768411469909</c:v>
                </c:pt>
                <c:pt idx="3812">
                  <c:v>0.88734865225468851</c:v>
                </c:pt>
                <c:pt idx="3813">
                  <c:v>0.8969509349307484</c:v>
                </c:pt>
                <c:pt idx="3814">
                  <c:v>0.87645871481522164</c:v>
                </c:pt>
                <c:pt idx="3815">
                  <c:v>0.90255139944347906</c:v>
                </c:pt>
                <c:pt idx="3816">
                  <c:v>0.85141069207426756</c:v>
                </c:pt>
                <c:pt idx="3817">
                  <c:v>0.81412208514287487</c:v>
                </c:pt>
                <c:pt idx="3818">
                  <c:v>0.82142292630492353</c:v>
                </c:pt>
                <c:pt idx="3819">
                  <c:v>0.86177687900649158</c:v>
                </c:pt>
                <c:pt idx="3820">
                  <c:v>0.88898951471782484</c:v>
                </c:pt>
                <c:pt idx="3821">
                  <c:v>0.87180187213631388</c:v>
                </c:pt>
                <c:pt idx="3822">
                  <c:v>0.86431940335910185</c:v>
                </c:pt>
                <c:pt idx="3823">
                  <c:v>0.8337797260249753</c:v>
                </c:pt>
                <c:pt idx="3824">
                  <c:v>0.85014310557853334</c:v>
                </c:pt>
                <c:pt idx="3825">
                  <c:v>0.84434804869231206</c:v>
                </c:pt>
                <c:pt idx="3826">
                  <c:v>0.79962164690679949</c:v>
                </c:pt>
                <c:pt idx="3827">
                  <c:v>0.81668988340839277</c:v>
                </c:pt>
                <c:pt idx="3828">
                  <c:v>0.84903070912081047</c:v>
                </c:pt>
                <c:pt idx="3829">
                  <c:v>0.8322502388688251</c:v>
                </c:pt>
                <c:pt idx="3830">
                  <c:v>0.81712940206907003</c:v>
                </c:pt>
                <c:pt idx="3831">
                  <c:v>0.80924091303540169</c:v>
                </c:pt>
                <c:pt idx="3832">
                  <c:v>0.81928867963421581</c:v>
                </c:pt>
                <c:pt idx="3833">
                  <c:v>0.84516361353034841</c:v>
                </c:pt>
                <c:pt idx="3834">
                  <c:v>0.86979974567573393</c:v>
                </c:pt>
                <c:pt idx="3835">
                  <c:v>0.7873930934265998</c:v>
                </c:pt>
                <c:pt idx="3836">
                  <c:v>0.79178612718156582</c:v>
                </c:pt>
                <c:pt idx="3837">
                  <c:v>0.79430648337783094</c:v>
                </c:pt>
                <c:pt idx="3838">
                  <c:v>0.85732025156700653</c:v>
                </c:pt>
                <c:pt idx="3839">
                  <c:v>0.83670898579740116</c:v>
                </c:pt>
                <c:pt idx="3840">
                  <c:v>0.79912245129526949</c:v>
                </c:pt>
                <c:pt idx="3841">
                  <c:v>0.78889778323730209</c:v>
                </c:pt>
                <c:pt idx="3842">
                  <c:v>0.75299663368028558</c:v>
                </c:pt>
                <c:pt idx="3843">
                  <c:v>0.78432716690311188</c:v>
                </c:pt>
                <c:pt idx="3844">
                  <c:v>0.78456344818943791</c:v>
                </c:pt>
                <c:pt idx="3845">
                  <c:v>0.77761521747391149</c:v>
                </c:pt>
                <c:pt idx="3846">
                  <c:v>0.75592894863381577</c:v>
                </c:pt>
                <c:pt idx="3847">
                  <c:v>0.75897324918285736</c:v>
                </c:pt>
                <c:pt idx="3848">
                  <c:v>0.7826195857639372</c:v>
                </c:pt>
                <c:pt idx="3849">
                  <c:v>0.76386102379121779</c:v>
                </c:pt>
                <c:pt idx="3850">
                  <c:v>0.76372979821523479</c:v>
                </c:pt>
                <c:pt idx="3851">
                  <c:v>0.77941970752768763</c:v>
                </c:pt>
                <c:pt idx="3852">
                  <c:v>0.77744871781958724</c:v>
                </c:pt>
                <c:pt idx="3853">
                  <c:v>0.7868738163320409</c:v>
                </c:pt>
                <c:pt idx="3854">
                  <c:v>0.74976027065382722</c:v>
                </c:pt>
                <c:pt idx="3855">
                  <c:v>0.77032479686503907</c:v>
                </c:pt>
                <c:pt idx="3856">
                  <c:v>0.75272626352191574</c:v>
                </c:pt>
                <c:pt idx="3857">
                  <c:v>0.7906600299166342</c:v>
                </c:pt>
                <c:pt idx="3858">
                  <c:v>0.78357745027027847</c:v>
                </c:pt>
                <c:pt idx="3859">
                  <c:v>0.7842916993468122</c:v>
                </c:pt>
                <c:pt idx="3860">
                  <c:v>0.76666457570493163</c:v>
                </c:pt>
                <c:pt idx="3861">
                  <c:v>0.76553332882272596</c:v>
                </c:pt>
                <c:pt idx="3862">
                  <c:v>0.79545830380945504</c:v>
                </c:pt>
                <c:pt idx="3863">
                  <c:v>0.78819857265514559</c:v>
                </c:pt>
                <c:pt idx="3864">
                  <c:v>0.76738638927704217</c:v>
                </c:pt>
                <c:pt idx="3865">
                  <c:v>0.77742805494285327</c:v>
                </c:pt>
                <c:pt idx="3866">
                  <c:v>0.76967746163968731</c:v>
                </c:pt>
                <c:pt idx="3867">
                  <c:v>0.73183831208725936</c:v>
                </c:pt>
                <c:pt idx="3868">
                  <c:v>0.75543340342929477</c:v>
                </c:pt>
                <c:pt idx="3869">
                  <c:v>0.7717004121561728</c:v>
                </c:pt>
                <c:pt idx="3870">
                  <c:v>0.72579071506364523</c:v>
                </c:pt>
                <c:pt idx="3871">
                  <c:v>0.74147148747290026</c:v>
                </c:pt>
                <c:pt idx="3872">
                  <c:v>0.70768963322789236</c:v>
                </c:pt>
                <c:pt idx="3873">
                  <c:v>0.76788931542989824</c:v>
                </c:pt>
                <c:pt idx="3874">
                  <c:v>0.75918017929161352</c:v>
                </c:pt>
                <c:pt idx="3875">
                  <c:v>0.81112942446169956</c:v>
                </c:pt>
                <c:pt idx="3876">
                  <c:v>0.7506227003088155</c:v>
                </c:pt>
                <c:pt idx="3877">
                  <c:v>0.78950519758173887</c:v>
                </c:pt>
                <c:pt idx="3878">
                  <c:v>0.75822737725204359</c:v>
                </c:pt>
                <c:pt idx="3879">
                  <c:v>0.76317520554611229</c:v>
                </c:pt>
                <c:pt idx="3880">
                  <c:v>0.80521286418907556</c:v>
                </c:pt>
                <c:pt idx="3881">
                  <c:v>0.81664967626466511</c:v>
                </c:pt>
                <c:pt idx="3882">
                  <c:v>0.78403220567726584</c:v>
                </c:pt>
                <c:pt idx="3883">
                  <c:v>0.77141512510112298</c:v>
                </c:pt>
                <c:pt idx="3884">
                  <c:v>0.79555240102117286</c:v>
                </c:pt>
                <c:pt idx="3885">
                  <c:v>0.80766015720477669</c:v>
                </c:pt>
                <c:pt idx="3886">
                  <c:v>0.81805504631759351</c:v>
                </c:pt>
                <c:pt idx="3887">
                  <c:v>0.82122639301975775</c:v>
                </c:pt>
                <c:pt idx="3888">
                  <c:v>0.81545009745688024</c:v>
                </c:pt>
                <c:pt idx="3889">
                  <c:v>0.79844974641855682</c:v>
                </c:pt>
                <c:pt idx="3890">
                  <c:v>0.82771947562672621</c:v>
                </c:pt>
                <c:pt idx="3891">
                  <c:v>0.80685552266355887</c:v>
                </c:pt>
                <c:pt idx="3892">
                  <c:v>0.86026180366789784</c:v>
                </c:pt>
                <c:pt idx="3893">
                  <c:v>0.84484079946980717</c:v>
                </c:pt>
                <c:pt idx="3894">
                  <c:v>0.83642052344496776</c:v>
                </c:pt>
                <c:pt idx="3895">
                  <c:v>0.83947603616499433</c:v>
                </c:pt>
                <c:pt idx="3896">
                  <c:v>0.82161465549571944</c:v>
                </c:pt>
                <c:pt idx="3897">
                  <c:v>0.81871891411376241</c:v>
                </c:pt>
                <c:pt idx="3898">
                  <c:v>0.86268308383764902</c:v>
                </c:pt>
                <c:pt idx="3899">
                  <c:v>0.82252145388752917</c:v>
                </c:pt>
                <c:pt idx="3900">
                  <c:v>0.84926010231860594</c:v>
                </c:pt>
                <c:pt idx="3901">
                  <c:v>0.84346911453628493</c:v>
                </c:pt>
                <c:pt idx="3902">
                  <c:v>0.88739402008571455</c:v>
                </c:pt>
                <c:pt idx="3903">
                  <c:v>0.88339799682570563</c:v>
                </c:pt>
                <c:pt idx="3904">
                  <c:v>0.84977953843859699</c:v>
                </c:pt>
                <c:pt idx="3905">
                  <c:v>0.91866280254058008</c:v>
                </c:pt>
                <c:pt idx="3906">
                  <c:v>0.86833914962355541</c:v>
                </c:pt>
                <c:pt idx="3907">
                  <c:v>0.86803564701227387</c:v>
                </c:pt>
                <c:pt idx="3908">
                  <c:v>0.89656325219112332</c:v>
                </c:pt>
                <c:pt idx="3909">
                  <c:v>0.8352870925635465</c:v>
                </c:pt>
                <c:pt idx="3910">
                  <c:v>0.91207233999948656</c:v>
                </c:pt>
                <c:pt idx="3911">
                  <c:v>0.91669171890083745</c:v>
                </c:pt>
                <c:pt idx="3912">
                  <c:v>0.8743393875043538</c:v>
                </c:pt>
                <c:pt idx="3913">
                  <c:v>0.86511392834329048</c:v>
                </c:pt>
                <c:pt idx="3914">
                  <c:v>0.95197974125017826</c:v>
                </c:pt>
                <c:pt idx="3915">
                  <c:v>0.90386353616185722</c:v>
                </c:pt>
                <c:pt idx="3916">
                  <c:v>0.90437538602115441</c:v>
                </c:pt>
                <c:pt idx="3917">
                  <c:v>0.8923682889956609</c:v>
                </c:pt>
                <c:pt idx="3918">
                  <c:v>0.90237748561886555</c:v>
                </c:pt>
                <c:pt idx="3919">
                  <c:v>0.88793626585722119</c:v>
                </c:pt>
                <c:pt idx="3920">
                  <c:v>0.9127192171188403</c:v>
                </c:pt>
                <c:pt idx="3921">
                  <c:v>0.92645872318281797</c:v>
                </c:pt>
                <c:pt idx="3922">
                  <c:v>0.89558308376427653</c:v>
                </c:pt>
                <c:pt idx="3923">
                  <c:v>0.90841048540555214</c:v>
                </c:pt>
                <c:pt idx="3924">
                  <c:v>0.88950848951760841</c:v>
                </c:pt>
                <c:pt idx="3925">
                  <c:v>0.86514242547900555</c:v>
                </c:pt>
                <c:pt idx="3926">
                  <c:v>0.87618405440088398</c:v>
                </c:pt>
                <c:pt idx="3927">
                  <c:v>0.82128898662875949</c:v>
                </c:pt>
                <c:pt idx="3928">
                  <c:v>0.88294809575044553</c:v>
                </c:pt>
                <c:pt idx="3929">
                  <c:v>0.93652917373320588</c:v>
                </c:pt>
                <c:pt idx="3930">
                  <c:v>0.90837723613361698</c:v>
                </c:pt>
                <c:pt idx="3931">
                  <c:v>0.49735875132584156</c:v>
                </c:pt>
                <c:pt idx="3932">
                  <c:v>0.50518811312976608</c:v>
                </c:pt>
                <c:pt idx="3933">
                  <c:v>0.50595444190011651</c:v>
                </c:pt>
                <c:pt idx="3934">
                  <c:v>0.50451639646143975</c:v>
                </c:pt>
                <c:pt idx="3935">
                  <c:v>0.55178937139043982</c:v>
                </c:pt>
                <c:pt idx="3936">
                  <c:v>0.49113369944339469</c:v>
                </c:pt>
                <c:pt idx="3937">
                  <c:v>0.52964436876487786</c:v>
                </c:pt>
                <c:pt idx="3938">
                  <c:v>0.52155843947103309</c:v>
                </c:pt>
                <c:pt idx="3939">
                  <c:v>0.48911704498518976</c:v>
                </c:pt>
                <c:pt idx="3940">
                  <c:v>0.48055449895088281</c:v>
                </c:pt>
                <c:pt idx="3941">
                  <c:v>0.4837000990457071</c:v>
                </c:pt>
                <c:pt idx="3942">
                  <c:v>0.47511670961484448</c:v>
                </c:pt>
                <c:pt idx="3943">
                  <c:v>0.49243894804087818</c:v>
                </c:pt>
                <c:pt idx="3944">
                  <c:v>0.52247070770833859</c:v>
                </c:pt>
                <c:pt idx="3945">
                  <c:v>0.50507926399282677</c:v>
                </c:pt>
                <c:pt idx="3946">
                  <c:v>0.48994751651313762</c:v>
                </c:pt>
                <c:pt idx="3947">
                  <c:v>0.50706289795069814</c:v>
                </c:pt>
                <c:pt idx="3948">
                  <c:v>0.51414913447543742</c:v>
                </c:pt>
                <c:pt idx="3949">
                  <c:v>0.51885873807147109</c:v>
                </c:pt>
                <c:pt idx="3950">
                  <c:v>0.51562193282906033</c:v>
                </c:pt>
                <c:pt idx="3951">
                  <c:v>0.51392800940518835</c:v>
                </c:pt>
                <c:pt idx="3952">
                  <c:v>0.50085453385810996</c:v>
                </c:pt>
                <c:pt idx="3953">
                  <c:v>0.52504649235544532</c:v>
                </c:pt>
                <c:pt idx="3954">
                  <c:v>0.52452983046261292</c:v>
                </c:pt>
                <c:pt idx="3955">
                  <c:v>0.53344297281751074</c:v>
                </c:pt>
                <c:pt idx="3956">
                  <c:v>0.5269884241656142</c:v>
                </c:pt>
                <c:pt idx="3957">
                  <c:v>0.49241728657254652</c:v>
                </c:pt>
                <c:pt idx="3958">
                  <c:v>0.50889060573230338</c:v>
                </c:pt>
                <c:pt idx="3959">
                  <c:v>0.51892658674322623</c:v>
                </c:pt>
                <c:pt idx="3960">
                  <c:v>0.52644008405139386</c:v>
                </c:pt>
                <c:pt idx="3961">
                  <c:v>0.50218217985376579</c:v>
                </c:pt>
                <c:pt idx="3962">
                  <c:v>0.49917387222420462</c:v>
                </c:pt>
                <c:pt idx="3963">
                  <c:v>0.52448323193134172</c:v>
                </c:pt>
                <c:pt idx="3964">
                  <c:v>0.49782773608350439</c:v>
                </c:pt>
                <c:pt idx="3965">
                  <c:v>0.51408159889193883</c:v>
                </c:pt>
                <c:pt idx="3966">
                  <c:v>0.54941871006192333</c:v>
                </c:pt>
                <c:pt idx="3967">
                  <c:v>0.51058347841531582</c:v>
                </c:pt>
                <c:pt idx="3968">
                  <c:v>0.52379184431334536</c:v>
                </c:pt>
                <c:pt idx="3969">
                  <c:v>0.52776274631125231</c:v>
                </c:pt>
                <c:pt idx="3970">
                  <c:v>0.49582993446288254</c:v>
                </c:pt>
                <c:pt idx="3971">
                  <c:v>0.51952624455674912</c:v>
                </c:pt>
                <c:pt idx="3972">
                  <c:v>0.51769590668908294</c:v>
                </c:pt>
                <c:pt idx="3973">
                  <c:v>0.5101076807341226</c:v>
                </c:pt>
                <c:pt idx="3974">
                  <c:v>0.53650112201721734</c:v>
                </c:pt>
                <c:pt idx="3975">
                  <c:v>0.49199781938309389</c:v>
                </c:pt>
                <c:pt idx="3976">
                  <c:v>0.50239843921313909</c:v>
                </c:pt>
                <c:pt idx="3977">
                  <c:v>0.53354366973370315</c:v>
                </c:pt>
                <c:pt idx="3978">
                  <c:v>0.50335099265980454</c:v>
                </c:pt>
                <c:pt idx="3979">
                  <c:v>0.50147773685817265</c:v>
                </c:pt>
                <c:pt idx="3980">
                  <c:v>0.48779173038622442</c:v>
                </c:pt>
                <c:pt idx="3981">
                  <c:v>0.50169694641133789</c:v>
                </c:pt>
                <c:pt idx="3982">
                  <c:v>0.51279882360606988</c:v>
                </c:pt>
                <c:pt idx="3983">
                  <c:v>0.50824413538883406</c:v>
                </c:pt>
                <c:pt idx="3984">
                  <c:v>0.50643102015424069</c:v>
                </c:pt>
                <c:pt idx="3985">
                  <c:v>0.49341329474729373</c:v>
                </c:pt>
                <c:pt idx="3986">
                  <c:v>0.48276199559317728</c:v>
                </c:pt>
                <c:pt idx="3987">
                  <c:v>0.39001027633006491</c:v>
                </c:pt>
                <c:pt idx="3988">
                  <c:v>0.41426403385303345</c:v>
                </c:pt>
                <c:pt idx="3989">
                  <c:v>0.43969103630704115</c:v>
                </c:pt>
                <c:pt idx="3990">
                  <c:v>0.42878073159788949</c:v>
                </c:pt>
                <c:pt idx="3991">
                  <c:v>0.45305875623908248</c:v>
                </c:pt>
                <c:pt idx="3992">
                  <c:v>0.44959686905299256</c:v>
                </c:pt>
                <c:pt idx="3993">
                  <c:v>0.46168502026733121</c:v>
                </c:pt>
                <c:pt idx="3994">
                  <c:v>0.44029087410649187</c:v>
                </c:pt>
                <c:pt idx="3995">
                  <c:v>0.46219263289085355</c:v>
                </c:pt>
                <c:pt idx="3996">
                  <c:v>0.45773978201447768</c:v>
                </c:pt>
                <c:pt idx="3997">
                  <c:v>0.45759383522880626</c:v>
                </c:pt>
                <c:pt idx="3998">
                  <c:v>0.45577675450300403</c:v>
                </c:pt>
                <c:pt idx="3999">
                  <c:v>0.45096141363026648</c:v>
                </c:pt>
                <c:pt idx="4000">
                  <c:v>0.45664762582657015</c:v>
                </c:pt>
                <c:pt idx="4001">
                  <c:v>0.44293279816461767</c:v>
                </c:pt>
                <c:pt idx="4002">
                  <c:v>0.47626398045083301</c:v>
                </c:pt>
                <c:pt idx="4003">
                  <c:v>0.46529062844536251</c:v>
                </c:pt>
                <c:pt idx="4004">
                  <c:v>0.45706413919494887</c:v>
                </c:pt>
                <c:pt idx="4005">
                  <c:v>0.46662832191541792</c:v>
                </c:pt>
                <c:pt idx="4006">
                  <c:v>0.46363726201025429</c:v>
                </c:pt>
                <c:pt idx="4007">
                  <c:v>0.46688718539858998</c:v>
                </c:pt>
                <c:pt idx="4008">
                  <c:v>0.4893199205796453</c:v>
                </c:pt>
                <c:pt idx="4009">
                  <c:v>0.4585198559582595</c:v>
                </c:pt>
                <c:pt idx="4010">
                  <c:v>0.50359690909850641</c:v>
                </c:pt>
                <c:pt idx="4011">
                  <c:v>0.4940588159567717</c:v>
                </c:pt>
                <c:pt idx="4012">
                  <c:v>0.48723314601656731</c:v>
                </c:pt>
                <c:pt idx="4013">
                  <c:v>0.52404581876594991</c:v>
                </c:pt>
                <c:pt idx="4014">
                  <c:v>0.48136679951277428</c:v>
                </c:pt>
                <c:pt idx="4015">
                  <c:v>0.48080663111513972</c:v>
                </c:pt>
                <c:pt idx="4016">
                  <c:v>0.50872507387791677</c:v>
                </c:pt>
                <c:pt idx="4017">
                  <c:v>0.5054565905380507</c:v>
                </c:pt>
                <c:pt idx="4018">
                  <c:v>0.50114433176350237</c:v>
                </c:pt>
                <c:pt idx="4019">
                  <c:v>0.50419742237673582</c:v>
                </c:pt>
                <c:pt idx="4020">
                  <c:v>0.49959897787111701</c:v>
                </c:pt>
                <c:pt idx="4021">
                  <c:v>0.48567913038425065</c:v>
                </c:pt>
                <c:pt idx="4022">
                  <c:v>0.50273006444277968</c:v>
                </c:pt>
                <c:pt idx="4023">
                  <c:v>0.48102705501366627</c:v>
                </c:pt>
                <c:pt idx="4024">
                  <c:v>0.48508328300197234</c:v>
                </c:pt>
                <c:pt idx="4025">
                  <c:v>0.47397354515186091</c:v>
                </c:pt>
                <c:pt idx="4026">
                  <c:v>0.4837256216203068</c:v>
                </c:pt>
                <c:pt idx="4027">
                  <c:v>0.46671255102504589</c:v>
                </c:pt>
                <c:pt idx="4028">
                  <c:v>0.47160690031965297</c:v>
                </c:pt>
                <c:pt idx="4029">
                  <c:v>0.4650622178409784</c:v>
                </c:pt>
                <c:pt idx="4030">
                  <c:v>0.46993050243835505</c:v>
                </c:pt>
                <c:pt idx="4031">
                  <c:v>0.48125023500386171</c:v>
                </c:pt>
                <c:pt idx="4032">
                  <c:v>0.490496025250238</c:v>
                </c:pt>
                <c:pt idx="4033">
                  <c:v>0.47136477202526195</c:v>
                </c:pt>
                <c:pt idx="4034">
                  <c:v>0.4757790949178794</c:v>
                </c:pt>
                <c:pt idx="4035">
                  <c:v>0.45384391581394379</c:v>
                </c:pt>
                <c:pt idx="4036">
                  <c:v>0.45416011619181801</c:v>
                </c:pt>
                <c:pt idx="4037">
                  <c:v>0.49582147605856186</c:v>
                </c:pt>
                <c:pt idx="4038">
                  <c:v>0.49003155843149515</c:v>
                </c:pt>
                <c:pt idx="4039">
                  <c:v>0.49978904738996149</c:v>
                </c:pt>
                <c:pt idx="4040">
                  <c:v>0.50226402407696613</c:v>
                </c:pt>
                <c:pt idx="4041">
                  <c:v>0.49241742632741792</c:v>
                </c:pt>
                <c:pt idx="4042">
                  <c:v>0.49768858497158192</c:v>
                </c:pt>
                <c:pt idx="4043">
                  <c:v>0.49515926819727507</c:v>
                </c:pt>
                <c:pt idx="4044">
                  <c:v>0.41659358103152805</c:v>
                </c:pt>
                <c:pt idx="4045">
                  <c:v>0.86398919892960269</c:v>
                </c:pt>
                <c:pt idx="4046">
                  <c:v>0.91029215459304003</c:v>
                </c:pt>
                <c:pt idx="4047">
                  <c:v>0.87890599910104628</c:v>
                </c:pt>
                <c:pt idx="4048">
                  <c:v>0.91396757601350687</c:v>
                </c:pt>
                <c:pt idx="4049">
                  <c:v>0.91470720881676437</c:v>
                </c:pt>
                <c:pt idx="4050">
                  <c:v>0.88070603393453828</c:v>
                </c:pt>
                <c:pt idx="4051">
                  <c:v>0.85358147184231481</c:v>
                </c:pt>
                <c:pt idx="4052">
                  <c:v>0.83344954594096354</c:v>
                </c:pt>
                <c:pt idx="4053">
                  <c:v>0.82027832477746443</c:v>
                </c:pt>
                <c:pt idx="4054">
                  <c:v>0.92312371587248498</c:v>
                </c:pt>
                <c:pt idx="4055">
                  <c:v>0.92501086934353705</c:v>
                </c:pt>
                <c:pt idx="4056">
                  <c:v>0.86897182824468344</c:v>
                </c:pt>
                <c:pt idx="4057">
                  <c:v>0.87011871079270053</c:v>
                </c:pt>
                <c:pt idx="4058">
                  <c:v>0.88606835177173882</c:v>
                </c:pt>
                <c:pt idx="4059">
                  <c:v>0.89519550429436523</c:v>
                </c:pt>
                <c:pt idx="4060">
                  <c:v>0.91398197654227298</c:v>
                </c:pt>
                <c:pt idx="4061">
                  <c:v>0.91397609991357187</c:v>
                </c:pt>
                <c:pt idx="4062">
                  <c:v>0.92529594699852524</c:v>
                </c:pt>
                <c:pt idx="4063">
                  <c:v>0.87639325551168157</c:v>
                </c:pt>
                <c:pt idx="4064">
                  <c:v>0.92163128797187821</c:v>
                </c:pt>
                <c:pt idx="4065">
                  <c:v>0.89166070399568664</c:v>
                </c:pt>
                <c:pt idx="4066">
                  <c:v>0.91591735563040932</c:v>
                </c:pt>
                <c:pt idx="4067">
                  <c:v>0.90151280912993992</c:v>
                </c:pt>
                <c:pt idx="4068">
                  <c:v>0.88651260855087655</c:v>
                </c:pt>
                <c:pt idx="4069">
                  <c:v>0.88274020865268743</c:v>
                </c:pt>
                <c:pt idx="4070">
                  <c:v>0.87200112321069623</c:v>
                </c:pt>
                <c:pt idx="4071">
                  <c:v>0.88208489828309256</c:v>
                </c:pt>
                <c:pt idx="4072">
                  <c:v>0.89708916768804292</c:v>
                </c:pt>
                <c:pt idx="4073">
                  <c:v>0.85576682066141385</c:v>
                </c:pt>
                <c:pt idx="4074">
                  <c:v>0.88350233501620656</c:v>
                </c:pt>
                <c:pt idx="4075">
                  <c:v>0.82180093230262885</c:v>
                </c:pt>
                <c:pt idx="4076">
                  <c:v>0.87090235541914862</c:v>
                </c:pt>
                <c:pt idx="4077">
                  <c:v>0.88170714761139379</c:v>
                </c:pt>
                <c:pt idx="4078">
                  <c:v>0.86375883945038845</c:v>
                </c:pt>
                <c:pt idx="4079">
                  <c:v>0.87920727867046722</c:v>
                </c:pt>
                <c:pt idx="4080">
                  <c:v>0.89374406821861851</c:v>
                </c:pt>
                <c:pt idx="4081">
                  <c:v>0.85339829907011888</c:v>
                </c:pt>
                <c:pt idx="4082">
                  <c:v>0.87886289289483843</c:v>
                </c:pt>
                <c:pt idx="4083">
                  <c:v>0.89050066010001605</c:v>
                </c:pt>
                <c:pt idx="4084">
                  <c:v>0.86281503371212587</c:v>
                </c:pt>
                <c:pt idx="4085">
                  <c:v>0.9157812979735952</c:v>
                </c:pt>
                <c:pt idx="4086">
                  <c:v>0.88466007175443284</c:v>
                </c:pt>
                <c:pt idx="4087">
                  <c:v>0.85865604085003178</c:v>
                </c:pt>
                <c:pt idx="4088">
                  <c:v>0.84294462752074228</c:v>
                </c:pt>
                <c:pt idx="4089">
                  <c:v>0.84255644715893141</c:v>
                </c:pt>
                <c:pt idx="4090">
                  <c:v>0.83888421052314144</c:v>
                </c:pt>
                <c:pt idx="4091">
                  <c:v>0.85392448472055882</c:v>
                </c:pt>
                <c:pt idx="4092">
                  <c:v>0.85170373087026774</c:v>
                </c:pt>
                <c:pt idx="4093">
                  <c:v>0.80292115521048324</c:v>
                </c:pt>
                <c:pt idx="4094">
                  <c:v>0.80514403282523617</c:v>
                </c:pt>
                <c:pt idx="4095">
                  <c:v>0.7815716399939131</c:v>
                </c:pt>
                <c:pt idx="4096">
                  <c:v>0.7921208715010396</c:v>
                </c:pt>
                <c:pt idx="4097">
                  <c:v>0.79486438828565109</c:v>
                </c:pt>
                <c:pt idx="4098">
                  <c:v>0.53621705901777916</c:v>
                </c:pt>
                <c:pt idx="4099">
                  <c:v>0.42265696483878074</c:v>
                </c:pt>
                <c:pt idx="4100">
                  <c:v>0.44451648342700401</c:v>
                </c:pt>
                <c:pt idx="4101">
                  <c:v>0.43537192529899782</c:v>
                </c:pt>
                <c:pt idx="4102">
                  <c:v>0.45021784415156763</c:v>
                </c:pt>
                <c:pt idx="4103">
                  <c:v>0.4738304742525577</c:v>
                </c:pt>
                <c:pt idx="4104">
                  <c:v>0.45831098554336908</c:v>
                </c:pt>
                <c:pt idx="4105">
                  <c:v>0.45027220847531468</c:v>
                </c:pt>
                <c:pt idx="4106">
                  <c:v>0.45748646338867838</c:v>
                </c:pt>
                <c:pt idx="4107">
                  <c:v>0.46522531676485884</c:v>
                </c:pt>
                <c:pt idx="4108">
                  <c:v>0.44707783456413025</c:v>
                </c:pt>
                <c:pt idx="4109">
                  <c:v>0.46486257640352319</c:v>
                </c:pt>
                <c:pt idx="4110">
                  <c:v>0.45036259527504935</c:v>
                </c:pt>
                <c:pt idx="4111">
                  <c:v>0.46821199853098583</c:v>
                </c:pt>
                <c:pt idx="4112">
                  <c:v>0.44772875341834512</c:v>
                </c:pt>
                <c:pt idx="4113">
                  <c:v>0.47519407390609975</c:v>
                </c:pt>
                <c:pt idx="4114">
                  <c:v>0.46732790637023763</c:v>
                </c:pt>
                <c:pt idx="4115">
                  <c:v>0.4527959550994719</c:v>
                </c:pt>
                <c:pt idx="4116">
                  <c:v>0.47379692379493993</c:v>
                </c:pt>
                <c:pt idx="4117">
                  <c:v>0.47375126183424976</c:v>
                </c:pt>
                <c:pt idx="4118">
                  <c:v>0.47603328831169683</c:v>
                </c:pt>
                <c:pt idx="4119">
                  <c:v>0.49385326730945561</c:v>
                </c:pt>
                <c:pt idx="4120">
                  <c:v>0.45524331378633892</c:v>
                </c:pt>
                <c:pt idx="4121">
                  <c:v>0.49947455617366865</c:v>
                </c:pt>
                <c:pt idx="4122">
                  <c:v>0.4931484274084007</c:v>
                </c:pt>
                <c:pt idx="4123">
                  <c:v>0.4853032522627696</c:v>
                </c:pt>
                <c:pt idx="4124">
                  <c:v>0.52813709766470185</c:v>
                </c:pt>
                <c:pt idx="4125">
                  <c:v>0.48304041207364751</c:v>
                </c:pt>
                <c:pt idx="4126">
                  <c:v>0.47859131171235547</c:v>
                </c:pt>
                <c:pt idx="4127">
                  <c:v>0.50523940663176747</c:v>
                </c:pt>
                <c:pt idx="4128">
                  <c:v>0.51198143364299864</c:v>
                </c:pt>
                <c:pt idx="4129">
                  <c:v>0.49433968651304711</c:v>
                </c:pt>
                <c:pt idx="4130">
                  <c:v>0.50507654920182921</c:v>
                </c:pt>
                <c:pt idx="4131">
                  <c:v>0.49944279199596436</c:v>
                </c:pt>
                <c:pt idx="4132">
                  <c:v>0.48686257458414195</c:v>
                </c:pt>
                <c:pt idx="4133">
                  <c:v>0.50944340155826529</c:v>
                </c:pt>
                <c:pt idx="4134">
                  <c:v>0.48405556901304464</c:v>
                </c:pt>
                <c:pt idx="4135">
                  <c:v>0.49958564377029097</c:v>
                </c:pt>
                <c:pt idx="4136">
                  <c:v>0.47599642425108202</c:v>
                </c:pt>
                <c:pt idx="4137">
                  <c:v>0.48641758443859306</c:v>
                </c:pt>
                <c:pt idx="4138">
                  <c:v>0.46676399985593386</c:v>
                </c:pt>
                <c:pt idx="4139">
                  <c:v>0.46855113509610058</c:v>
                </c:pt>
                <c:pt idx="4140">
                  <c:v>0.47336535058211321</c:v>
                </c:pt>
                <c:pt idx="4141">
                  <c:v>0.47300277211003106</c:v>
                </c:pt>
                <c:pt idx="4142">
                  <c:v>0.48076801671725666</c:v>
                </c:pt>
                <c:pt idx="4143">
                  <c:v>0.49650676584212911</c:v>
                </c:pt>
                <c:pt idx="4144">
                  <c:v>0.47851354018109443</c:v>
                </c:pt>
                <c:pt idx="4145">
                  <c:v>0.47571592270952973</c:v>
                </c:pt>
                <c:pt idx="4146">
                  <c:v>0.45103766830032022</c:v>
                </c:pt>
                <c:pt idx="4147">
                  <c:v>0.45182050251849365</c:v>
                </c:pt>
                <c:pt idx="4148">
                  <c:v>0.5073942222505311</c:v>
                </c:pt>
                <c:pt idx="4149">
                  <c:v>0.49037430348471578</c:v>
                </c:pt>
                <c:pt idx="4150">
                  <c:v>0.5020526185684413</c:v>
                </c:pt>
                <c:pt idx="4151">
                  <c:v>0.50619306718252</c:v>
                </c:pt>
                <c:pt idx="4152">
                  <c:v>0.49560899127316493</c:v>
                </c:pt>
                <c:pt idx="4153">
                  <c:v>0.51318336139260867</c:v>
                </c:pt>
                <c:pt idx="4154">
                  <c:v>0.50910113029839743</c:v>
                </c:pt>
                <c:pt idx="4155">
                  <c:v>0.51945573181392091</c:v>
                </c:pt>
                <c:pt idx="4156">
                  <c:v>0.50277973863267122</c:v>
                </c:pt>
                <c:pt idx="4157">
                  <c:v>0.49980567279832427</c:v>
                </c:pt>
                <c:pt idx="4158">
                  <c:v>0.47602124252584049</c:v>
                </c:pt>
                <c:pt idx="4159">
                  <c:v>0.50540817105522362</c:v>
                </c:pt>
                <c:pt idx="4160">
                  <c:v>0.45818428435349484</c:v>
                </c:pt>
                <c:pt idx="4161">
                  <c:v>0.47797684010777547</c:v>
                </c:pt>
                <c:pt idx="4162">
                  <c:v>0.47773346775599179</c:v>
                </c:pt>
                <c:pt idx="4163">
                  <c:v>0.50146665028987958</c:v>
                </c:pt>
                <c:pt idx="4164">
                  <c:v>0.51548995903503292</c:v>
                </c:pt>
                <c:pt idx="4165">
                  <c:v>0.53583102170007102</c:v>
                </c:pt>
                <c:pt idx="4166">
                  <c:v>0.52858725678880125</c:v>
                </c:pt>
                <c:pt idx="4167">
                  <c:v>0.49716844437529661</c:v>
                </c:pt>
                <c:pt idx="4168">
                  <c:v>0.50271123043479393</c:v>
                </c:pt>
                <c:pt idx="4169">
                  <c:v>0.56037356950061401</c:v>
                </c:pt>
                <c:pt idx="4170">
                  <c:v>0.53651980884405615</c:v>
                </c:pt>
                <c:pt idx="4171">
                  <c:v>0.50395987518725149</c:v>
                </c:pt>
                <c:pt idx="4172">
                  <c:v>0.55802756220561844</c:v>
                </c:pt>
                <c:pt idx="4173">
                  <c:v>0.56240600425281795</c:v>
                </c:pt>
                <c:pt idx="4174">
                  <c:v>0.48139059604652612</c:v>
                </c:pt>
                <c:pt idx="4175">
                  <c:v>0.53376379934149287</c:v>
                </c:pt>
                <c:pt idx="4176">
                  <c:v>0.52319245314395502</c:v>
                </c:pt>
                <c:pt idx="4177">
                  <c:v>0.50814696721878627</c:v>
                </c:pt>
                <c:pt idx="4178">
                  <c:v>0.50499102459759648</c:v>
                </c:pt>
                <c:pt idx="4179">
                  <c:v>0.51199906833957154</c:v>
                </c:pt>
                <c:pt idx="4180">
                  <c:v>0.48769595141599825</c:v>
                </c:pt>
                <c:pt idx="4181">
                  <c:v>0.49676917843081619</c:v>
                </c:pt>
                <c:pt idx="4182">
                  <c:v>0.50881471115328891</c:v>
                </c:pt>
                <c:pt idx="4183">
                  <c:v>0.49144168070963229</c:v>
                </c:pt>
                <c:pt idx="4184">
                  <c:v>0.51506540992276095</c:v>
                </c:pt>
                <c:pt idx="4185">
                  <c:v>0.54406196418496766</c:v>
                </c:pt>
                <c:pt idx="4186">
                  <c:v>0.53680834248344356</c:v>
                </c:pt>
                <c:pt idx="4187">
                  <c:v>0.53260547069595288</c:v>
                </c:pt>
                <c:pt idx="4188">
                  <c:v>0.51989542883110773</c:v>
                </c:pt>
                <c:pt idx="4189">
                  <c:v>0.50171295176311925</c:v>
                </c:pt>
                <c:pt idx="4190">
                  <c:v>0.49821113723008009</c:v>
                </c:pt>
                <c:pt idx="4191">
                  <c:v>0.49424005253670689</c:v>
                </c:pt>
                <c:pt idx="4192">
                  <c:v>0.50393279254370171</c:v>
                </c:pt>
                <c:pt idx="4193">
                  <c:v>0.47786311952867128</c:v>
                </c:pt>
                <c:pt idx="4194">
                  <c:v>0.50781904951575074</c:v>
                </c:pt>
                <c:pt idx="4195">
                  <c:v>0.48986781625955444</c:v>
                </c:pt>
                <c:pt idx="4196">
                  <c:v>0.46522338255624113</c:v>
                </c:pt>
                <c:pt idx="4197">
                  <c:v>0.46688214600171141</c:v>
                </c:pt>
                <c:pt idx="4198">
                  <c:v>0.48119975702254897</c:v>
                </c:pt>
                <c:pt idx="4199">
                  <c:v>0.49128939880030548</c:v>
                </c:pt>
                <c:pt idx="4200">
                  <c:v>0.48937847078814001</c:v>
                </c:pt>
                <c:pt idx="4201">
                  <c:v>0.46740193324166079</c:v>
                </c:pt>
                <c:pt idx="4202">
                  <c:v>0.4776364565578467</c:v>
                </c:pt>
                <c:pt idx="4203">
                  <c:v>0.50274685058758395</c:v>
                </c:pt>
                <c:pt idx="4204">
                  <c:v>0.50592721240796701</c:v>
                </c:pt>
                <c:pt idx="4205">
                  <c:v>0.51394290530959486</c:v>
                </c:pt>
                <c:pt idx="4206">
                  <c:v>0.4974906872191554</c:v>
                </c:pt>
                <c:pt idx="4207">
                  <c:v>0.51476325268484924</c:v>
                </c:pt>
                <c:pt idx="4208">
                  <c:v>0.51519658447911565</c:v>
                </c:pt>
                <c:pt idx="4209">
                  <c:v>0.51227391671985067</c:v>
                </c:pt>
                <c:pt idx="4210">
                  <c:v>0.52429587874496175</c:v>
                </c:pt>
                <c:pt idx="4211">
                  <c:v>0.51608723112895161</c:v>
                </c:pt>
                <c:pt idx="4212">
                  <c:v>0.53236321049008406</c:v>
                </c:pt>
                <c:pt idx="4213">
                  <c:v>0.52384020708979728</c:v>
                </c:pt>
                <c:pt idx="4214">
                  <c:v>0.52271541984803616</c:v>
                </c:pt>
                <c:pt idx="4215">
                  <c:v>0.52693266612387046</c:v>
                </c:pt>
                <c:pt idx="4216">
                  <c:v>0.53371449593928677</c:v>
                </c:pt>
                <c:pt idx="4217">
                  <c:v>0.50013530152697561</c:v>
                </c:pt>
                <c:pt idx="4218">
                  <c:v>0.51097466871267683</c:v>
                </c:pt>
                <c:pt idx="4219">
                  <c:v>0.50727903704235611</c:v>
                </c:pt>
                <c:pt idx="4220">
                  <c:v>0.50634522051769615</c:v>
                </c:pt>
                <c:pt idx="4221">
                  <c:v>0.51249294967093506</c:v>
                </c:pt>
                <c:pt idx="4222">
                  <c:v>0.50274616823662499</c:v>
                </c:pt>
                <c:pt idx="4223">
                  <c:v>0.51050171264169619</c:v>
                </c:pt>
                <c:pt idx="4224">
                  <c:v>0.51440017371406521</c:v>
                </c:pt>
                <c:pt idx="4225">
                  <c:v>0.49745863946261298</c:v>
                </c:pt>
                <c:pt idx="4226">
                  <c:v>0.50118583307843956</c:v>
                </c:pt>
                <c:pt idx="4227">
                  <c:v>0.50643020824974261</c:v>
                </c:pt>
                <c:pt idx="4228">
                  <c:v>0.50764757619985712</c:v>
                </c:pt>
                <c:pt idx="4229">
                  <c:v>0.51507880772540815</c:v>
                </c:pt>
                <c:pt idx="4230">
                  <c:v>0.51466315075402391</c:v>
                </c:pt>
                <c:pt idx="4231">
                  <c:v>0.54299587586758746</c:v>
                </c:pt>
                <c:pt idx="4232">
                  <c:v>0.51419831716894138</c:v>
                </c:pt>
                <c:pt idx="4233">
                  <c:v>0.51959477669829846</c:v>
                </c:pt>
                <c:pt idx="4234">
                  <c:v>0.51756192387281841</c:v>
                </c:pt>
                <c:pt idx="4235">
                  <c:v>0.53387877650789606</c:v>
                </c:pt>
                <c:pt idx="4236">
                  <c:v>0.5399880377123123</c:v>
                </c:pt>
                <c:pt idx="4237">
                  <c:v>0.52661824782736855</c:v>
                </c:pt>
                <c:pt idx="4238">
                  <c:v>0.52795569280971666</c:v>
                </c:pt>
                <c:pt idx="4239">
                  <c:v>0.52020701596463148</c:v>
                </c:pt>
                <c:pt idx="4240">
                  <c:v>0.51775971861611314</c:v>
                </c:pt>
                <c:pt idx="4241">
                  <c:v>0.53202042553972284</c:v>
                </c:pt>
                <c:pt idx="4242">
                  <c:v>0.52801157718565428</c:v>
                </c:pt>
                <c:pt idx="4243">
                  <c:v>0.52381173610729281</c:v>
                </c:pt>
                <c:pt idx="4244">
                  <c:v>0.52438171029895375</c:v>
                </c:pt>
                <c:pt idx="4245">
                  <c:v>0.52374074552920746</c:v>
                </c:pt>
                <c:pt idx="4246">
                  <c:v>0.53005247432561808</c:v>
                </c:pt>
                <c:pt idx="4247">
                  <c:v>0.49679740325126193</c:v>
                </c:pt>
                <c:pt idx="4248">
                  <c:v>0.50741244923166362</c:v>
                </c:pt>
                <c:pt idx="4249">
                  <c:v>0.5009063417204489</c:v>
                </c:pt>
                <c:pt idx="4250">
                  <c:v>0.48098472967568612</c:v>
                </c:pt>
                <c:pt idx="4251">
                  <c:v>0.50026722024931136</c:v>
                </c:pt>
                <c:pt idx="4252">
                  <c:v>0.47301022539950105</c:v>
                </c:pt>
                <c:pt idx="4253">
                  <c:v>0.45800747593508045</c:v>
                </c:pt>
                <c:pt idx="4254">
                  <c:v>0.48591114050370887</c:v>
                </c:pt>
                <c:pt idx="4255">
                  <c:v>0.44383806629143768</c:v>
                </c:pt>
                <c:pt idx="4256">
                  <c:v>0.45328913123171488</c:v>
                </c:pt>
                <c:pt idx="4257">
                  <c:v>0.45873345881613847</c:v>
                </c:pt>
                <c:pt idx="4258">
                  <c:v>0.47656413200184772</c:v>
                </c:pt>
                <c:pt idx="4259">
                  <c:v>0.46940268261983292</c:v>
                </c:pt>
                <c:pt idx="4260">
                  <c:v>0.45989525440460249</c:v>
                </c:pt>
                <c:pt idx="4261">
                  <c:v>0.44463553436978609</c:v>
                </c:pt>
                <c:pt idx="4262">
                  <c:v>0.46915445630311514</c:v>
                </c:pt>
                <c:pt idx="4263">
                  <c:v>0.47270980036759358</c:v>
                </c:pt>
                <c:pt idx="4264">
                  <c:v>0.47311178198978465</c:v>
                </c:pt>
                <c:pt idx="4265">
                  <c:v>0.47591658977249712</c:v>
                </c:pt>
                <c:pt idx="4266">
                  <c:v>0.45599915752118814</c:v>
                </c:pt>
                <c:pt idx="4267">
                  <c:v>0.46559132224885968</c:v>
                </c:pt>
                <c:pt idx="4268">
                  <c:v>0.48820568197582292</c:v>
                </c:pt>
                <c:pt idx="4269">
                  <c:v>0.45913726477201705</c:v>
                </c:pt>
                <c:pt idx="4270">
                  <c:v>0.47865478835339681</c:v>
                </c:pt>
                <c:pt idx="4271">
                  <c:v>0.48957095525659977</c:v>
                </c:pt>
                <c:pt idx="4272">
                  <c:v>0.48199897159804578</c:v>
                </c:pt>
                <c:pt idx="4273">
                  <c:v>0.49752936239684398</c:v>
                </c:pt>
                <c:pt idx="4274">
                  <c:v>0.48668658747558974</c:v>
                </c:pt>
                <c:pt idx="4275">
                  <c:v>0.46424147865196641</c:v>
                </c:pt>
                <c:pt idx="4276">
                  <c:v>0.48380517398834355</c:v>
                </c:pt>
                <c:pt idx="4277">
                  <c:v>0.47284943979551997</c:v>
                </c:pt>
                <c:pt idx="4278">
                  <c:v>0.47644003651412997</c:v>
                </c:pt>
                <c:pt idx="4279">
                  <c:v>0.50395688120918847</c:v>
                </c:pt>
                <c:pt idx="4280">
                  <c:v>0.53853703839414691</c:v>
                </c:pt>
                <c:pt idx="4281">
                  <c:v>0.54144569034012169</c:v>
                </c:pt>
                <c:pt idx="4282">
                  <c:v>0.51970884166481235</c:v>
                </c:pt>
                <c:pt idx="4283">
                  <c:v>0.51160585838724448</c:v>
                </c:pt>
                <c:pt idx="4284">
                  <c:v>0.52481735867538781</c:v>
                </c:pt>
                <c:pt idx="4285">
                  <c:v>0.54097805399429444</c:v>
                </c:pt>
                <c:pt idx="4286">
                  <c:v>0.52382265670480077</c:v>
                </c:pt>
                <c:pt idx="4287">
                  <c:v>0.51045492497157374</c:v>
                </c:pt>
                <c:pt idx="4288">
                  <c:v>0.53982066432105358</c:v>
                </c:pt>
                <c:pt idx="4289">
                  <c:v>0.54206455883876858</c:v>
                </c:pt>
                <c:pt idx="4290">
                  <c:v>0.56380834415911096</c:v>
                </c:pt>
                <c:pt idx="4291">
                  <c:v>0.54573884540551509</c:v>
                </c:pt>
                <c:pt idx="4292">
                  <c:v>0.53693626587366516</c:v>
                </c:pt>
                <c:pt idx="4293">
                  <c:v>0.55638332027539272</c:v>
                </c:pt>
                <c:pt idx="4294">
                  <c:v>0.54120906233421118</c:v>
                </c:pt>
                <c:pt idx="4295">
                  <c:v>0.55889628434220007</c:v>
                </c:pt>
                <c:pt idx="4296">
                  <c:v>0.54608752627734714</c:v>
                </c:pt>
                <c:pt idx="4297">
                  <c:v>0.56398521504531307</c:v>
                </c:pt>
                <c:pt idx="4298">
                  <c:v>0.53653382343654188</c:v>
                </c:pt>
                <c:pt idx="4299">
                  <c:v>0.56107978769969502</c:v>
                </c:pt>
                <c:pt idx="4300">
                  <c:v>0.54365328125425438</c:v>
                </c:pt>
                <c:pt idx="4301">
                  <c:v>0.53083965069471017</c:v>
                </c:pt>
                <c:pt idx="4302">
                  <c:v>0.52100986942079675</c:v>
                </c:pt>
                <c:pt idx="4303">
                  <c:v>0.54988947117808951</c:v>
                </c:pt>
                <c:pt idx="4304">
                  <c:v>0.52101026197126554</c:v>
                </c:pt>
                <c:pt idx="4305">
                  <c:v>0.52917039291217327</c:v>
                </c:pt>
                <c:pt idx="4306">
                  <c:v>0.4971419025756546</c:v>
                </c:pt>
                <c:pt idx="4307">
                  <c:v>0.54101954209912573</c:v>
                </c:pt>
                <c:pt idx="4308">
                  <c:v>0.55322186224278092</c:v>
                </c:pt>
                <c:pt idx="4309">
                  <c:v>0.55430934788640129</c:v>
                </c:pt>
                <c:pt idx="4310">
                  <c:v>0.5858484884879599</c:v>
                </c:pt>
                <c:pt idx="4311">
                  <c:v>0.54443170674064134</c:v>
                </c:pt>
                <c:pt idx="4312">
                  <c:v>0.53560447270241585</c:v>
                </c:pt>
                <c:pt idx="4313">
                  <c:v>0.58563463808422311</c:v>
                </c:pt>
                <c:pt idx="4314">
                  <c:v>0.57336460648287202</c:v>
                </c:pt>
                <c:pt idx="4315">
                  <c:v>0.54063637623001692</c:v>
                </c:pt>
                <c:pt idx="4316">
                  <c:v>0.57483876753886798</c:v>
                </c:pt>
                <c:pt idx="4317">
                  <c:v>0.61960854080684202</c:v>
                </c:pt>
                <c:pt idx="4318">
                  <c:v>0.50856271063225988</c:v>
                </c:pt>
                <c:pt idx="4319">
                  <c:v>0.56705826032789208</c:v>
                </c:pt>
                <c:pt idx="4320">
                  <c:v>0.57128003091705282</c:v>
                </c:pt>
                <c:pt idx="4321">
                  <c:v>0.54886694086766374</c:v>
                </c:pt>
                <c:pt idx="4322">
                  <c:v>0.51282709239571445</c:v>
                </c:pt>
                <c:pt idx="4323">
                  <c:v>0.55337747090610545</c:v>
                </c:pt>
                <c:pt idx="4324">
                  <c:v>0.50580364221614338</c:v>
                </c:pt>
                <c:pt idx="4325">
                  <c:v>0.50840809948883148</c:v>
                </c:pt>
                <c:pt idx="4326">
                  <c:v>0.52494782538163554</c:v>
                </c:pt>
                <c:pt idx="4327">
                  <c:v>0.51361228228079681</c:v>
                </c:pt>
                <c:pt idx="4328">
                  <c:v>0.51666412279313867</c:v>
                </c:pt>
                <c:pt idx="4329">
                  <c:v>0.55964094220199689</c:v>
                </c:pt>
                <c:pt idx="4330">
                  <c:v>0.57006062863683094</c:v>
                </c:pt>
                <c:pt idx="4331">
                  <c:v>0.54571313424637935</c:v>
                </c:pt>
                <c:pt idx="4332">
                  <c:v>0.54661471090431413</c:v>
                </c:pt>
                <c:pt idx="4333">
                  <c:v>0.53400604169553934</c:v>
                </c:pt>
                <c:pt idx="4334">
                  <c:v>0.51088052050842492</c:v>
                </c:pt>
                <c:pt idx="4335">
                  <c:v>0.50719529590913592</c:v>
                </c:pt>
                <c:pt idx="4336">
                  <c:v>0.51992625654578695</c:v>
                </c:pt>
                <c:pt idx="4337">
                  <c:v>0.49859172013384068</c:v>
                </c:pt>
                <c:pt idx="4338">
                  <c:v>0.52194705354097537</c:v>
                </c:pt>
                <c:pt idx="4339">
                  <c:v>0.49936990436542938</c:v>
                </c:pt>
                <c:pt idx="4340">
                  <c:v>0.49448547828335693</c:v>
                </c:pt>
                <c:pt idx="4341">
                  <c:v>0.47916197958614509</c:v>
                </c:pt>
                <c:pt idx="4342">
                  <c:v>0.48834226153135379</c:v>
                </c:pt>
                <c:pt idx="4343">
                  <c:v>0.49846976591252595</c:v>
                </c:pt>
                <c:pt idx="4344">
                  <c:v>0.50510953276300319</c:v>
                </c:pt>
                <c:pt idx="4345">
                  <c:v>0.47849766672873184</c:v>
                </c:pt>
                <c:pt idx="4346">
                  <c:v>0.48670018194180076</c:v>
                </c:pt>
                <c:pt idx="4347">
                  <c:v>0.51181680860227352</c:v>
                </c:pt>
                <c:pt idx="4348">
                  <c:v>0.51187066603155318</c:v>
                </c:pt>
                <c:pt idx="4349">
                  <c:v>0.52613798178595805</c:v>
                </c:pt>
                <c:pt idx="4350">
                  <c:v>0.50662542758104523</c:v>
                </c:pt>
                <c:pt idx="4351">
                  <c:v>0.52435275540748483</c:v>
                </c:pt>
                <c:pt idx="4352">
                  <c:v>0.51748964038712897</c:v>
                </c:pt>
                <c:pt idx="4353">
                  <c:v>0.51681238788492312</c:v>
                </c:pt>
                <c:pt idx="4354">
                  <c:v>0.528252673159466</c:v>
                </c:pt>
                <c:pt idx="4355">
                  <c:v>0.52799200559571946</c:v>
                </c:pt>
                <c:pt idx="4356">
                  <c:v>0.53813595148826376</c:v>
                </c:pt>
                <c:pt idx="4357">
                  <c:v>0.53555183468929879</c:v>
                </c:pt>
                <c:pt idx="4358">
                  <c:v>0.52674998258179662</c:v>
                </c:pt>
                <c:pt idx="4359">
                  <c:v>0.52782741483507156</c:v>
                </c:pt>
                <c:pt idx="4360">
                  <c:v>0.54468529633731722</c:v>
                </c:pt>
                <c:pt idx="4361">
                  <c:v>0.50599047432498001</c:v>
                </c:pt>
                <c:pt idx="4362">
                  <c:v>0.51543893431929844</c:v>
                </c:pt>
                <c:pt idx="4363">
                  <c:v>0.51857539477899894</c:v>
                </c:pt>
                <c:pt idx="4364">
                  <c:v>0.50028808197584229</c:v>
                </c:pt>
                <c:pt idx="4365">
                  <c:v>0.51649465274767747</c:v>
                </c:pt>
                <c:pt idx="4366">
                  <c:v>0.50557483616316123</c:v>
                </c:pt>
                <c:pt idx="4367">
                  <c:v>0.50761033150337942</c:v>
                </c:pt>
                <c:pt idx="4368">
                  <c:v>0.51969742339157532</c:v>
                </c:pt>
                <c:pt idx="4369">
                  <c:v>0.49700128692279266</c:v>
                </c:pt>
                <c:pt idx="4370">
                  <c:v>0.50243927459701498</c:v>
                </c:pt>
                <c:pt idx="4371">
                  <c:v>0.51539811022999371</c:v>
                </c:pt>
                <c:pt idx="4372">
                  <c:v>0.51770263111507986</c:v>
                </c:pt>
                <c:pt idx="4373">
                  <c:v>0.51404450303026294</c:v>
                </c:pt>
                <c:pt idx="4374">
                  <c:v>0.52224229832075464</c:v>
                </c:pt>
                <c:pt idx="4375">
                  <c:v>0.53807368065261796</c:v>
                </c:pt>
                <c:pt idx="4376">
                  <c:v>0.52371929004907369</c:v>
                </c:pt>
                <c:pt idx="4377">
                  <c:v>0.52209926932819106</c:v>
                </c:pt>
                <c:pt idx="4378">
                  <c:v>0.52032655571991104</c:v>
                </c:pt>
                <c:pt idx="4379">
                  <c:v>0.54307572745186783</c:v>
                </c:pt>
                <c:pt idx="4380">
                  <c:v>0.54542204700451569</c:v>
                </c:pt>
                <c:pt idx="4381">
                  <c:v>0.54204698172136068</c:v>
                </c:pt>
                <c:pt idx="4382">
                  <c:v>0.54039943186952077</c:v>
                </c:pt>
                <c:pt idx="4383">
                  <c:v>0.53548855940309625</c:v>
                </c:pt>
                <c:pt idx="4384">
                  <c:v>0.52840745495212538</c:v>
                </c:pt>
                <c:pt idx="4385">
                  <c:v>0.53628035458993306</c:v>
                </c:pt>
                <c:pt idx="4386">
                  <c:v>0.54798122297347207</c:v>
                </c:pt>
                <c:pt idx="4387">
                  <c:v>0.53277806713638531</c:v>
                </c:pt>
                <c:pt idx="4388">
                  <c:v>0.54394865900211153</c:v>
                </c:pt>
                <c:pt idx="4389">
                  <c:v>0.53426807526878439</c:v>
                </c:pt>
                <c:pt idx="4390">
                  <c:v>0.52802586903952209</c:v>
                </c:pt>
                <c:pt idx="4391">
                  <c:v>0.50198385885514085</c:v>
                </c:pt>
                <c:pt idx="4392">
                  <c:v>0.49749082535091849</c:v>
                </c:pt>
                <c:pt idx="4393">
                  <c:v>0.50212574071183402</c:v>
                </c:pt>
                <c:pt idx="4394">
                  <c:v>0.47185153128349788</c:v>
                </c:pt>
                <c:pt idx="4395">
                  <c:v>0.46964251957679592</c:v>
                </c:pt>
                <c:pt idx="4396">
                  <c:v>0.49772751864374859</c:v>
                </c:pt>
                <c:pt idx="4397">
                  <c:v>0.46733753057710703</c:v>
                </c:pt>
                <c:pt idx="4398">
                  <c:v>0.47978326685037553</c:v>
                </c:pt>
                <c:pt idx="4399">
                  <c:v>0.45524742436256749</c:v>
                </c:pt>
                <c:pt idx="4400">
                  <c:v>0.45487335488706243</c:v>
                </c:pt>
                <c:pt idx="4401">
                  <c:v>0.46399013472060191</c:v>
                </c:pt>
                <c:pt idx="4402">
                  <c:v>0.49392820078085692</c:v>
                </c:pt>
                <c:pt idx="4403">
                  <c:v>0.47140364483893504</c:v>
                </c:pt>
                <c:pt idx="4404">
                  <c:v>0.4715799223834769</c:v>
                </c:pt>
                <c:pt idx="4405">
                  <c:v>0.45554723925200935</c:v>
                </c:pt>
                <c:pt idx="4406">
                  <c:v>0.4697145331969349</c:v>
                </c:pt>
                <c:pt idx="4407">
                  <c:v>0.49722525496314879</c:v>
                </c:pt>
                <c:pt idx="4408">
                  <c:v>0.48353152683893752</c:v>
                </c:pt>
                <c:pt idx="4409">
                  <c:v>0.50094019166781711</c:v>
                </c:pt>
                <c:pt idx="4410">
                  <c:v>0.47622525014225076</c:v>
                </c:pt>
                <c:pt idx="4411">
                  <c:v>0.49354169516748242</c:v>
                </c:pt>
                <c:pt idx="4412">
                  <c:v>0.51888214443103564</c:v>
                </c:pt>
                <c:pt idx="4413">
                  <c:v>0.4824842584413826</c:v>
                </c:pt>
                <c:pt idx="4414">
                  <c:v>0.48659155593739073</c:v>
                </c:pt>
                <c:pt idx="4415">
                  <c:v>0.50141627811928291</c:v>
                </c:pt>
                <c:pt idx="4416">
                  <c:v>0.50027929821312789</c:v>
                </c:pt>
                <c:pt idx="4417">
                  <c:v>0.52685069396824435</c:v>
                </c:pt>
                <c:pt idx="4418">
                  <c:v>0.51635275995873142</c:v>
                </c:pt>
                <c:pt idx="4419">
                  <c:v>0.49397930969099962</c:v>
                </c:pt>
                <c:pt idx="4420">
                  <c:v>0.51416428865577213</c:v>
                </c:pt>
                <c:pt idx="4421">
                  <c:v>0.48977347836414692</c:v>
                </c:pt>
                <c:pt idx="4422">
                  <c:v>0.48813144821046328</c:v>
                </c:pt>
                <c:pt idx="4423">
                  <c:v>0.51079961442427957</c:v>
                </c:pt>
                <c:pt idx="4424">
                  <c:v>0.55209498286573055</c:v>
                </c:pt>
                <c:pt idx="4425">
                  <c:v>0.55202956500729539</c:v>
                </c:pt>
                <c:pt idx="4426">
                  <c:v>0.54444633616699989</c:v>
                </c:pt>
                <c:pt idx="4427">
                  <c:v>0.5296237160977707</c:v>
                </c:pt>
                <c:pt idx="4428">
                  <c:v>0.55036216853957043</c:v>
                </c:pt>
                <c:pt idx="4429">
                  <c:v>0.5613565163575932</c:v>
                </c:pt>
                <c:pt idx="4430">
                  <c:v>0.55997924065933224</c:v>
                </c:pt>
                <c:pt idx="4431">
                  <c:v>0.52935141956215193</c:v>
                </c:pt>
                <c:pt idx="4432">
                  <c:v>0.56030030259508268</c:v>
                </c:pt>
                <c:pt idx="4433">
                  <c:v>0.58074723193336597</c:v>
                </c:pt>
                <c:pt idx="4434">
                  <c:v>0.5674523307217163</c:v>
                </c:pt>
                <c:pt idx="4435">
                  <c:v>0.58056040289090105</c:v>
                </c:pt>
                <c:pt idx="4436">
                  <c:v>0.57364834075638527</c:v>
                </c:pt>
                <c:pt idx="4437">
                  <c:v>0.5640106965350844</c:v>
                </c:pt>
                <c:pt idx="4438">
                  <c:v>0.57006705674473135</c:v>
                </c:pt>
                <c:pt idx="4439">
                  <c:v>0.59350947178719393</c:v>
                </c:pt>
                <c:pt idx="4440">
                  <c:v>0.55422498986569024</c:v>
                </c:pt>
                <c:pt idx="4441">
                  <c:v>0.58299813573972858</c:v>
                </c:pt>
                <c:pt idx="4442">
                  <c:v>0.55135532121616926</c:v>
                </c:pt>
                <c:pt idx="4443">
                  <c:v>0.59137863314265071</c:v>
                </c:pt>
                <c:pt idx="4444">
                  <c:v>0.58336633622024459</c:v>
                </c:pt>
                <c:pt idx="4445">
                  <c:v>0.59048148161294023</c:v>
                </c:pt>
                <c:pt idx="4446">
                  <c:v>0.67001073219161811</c:v>
                </c:pt>
                <c:pt idx="4447">
                  <c:v>0.52750152661688643</c:v>
                </c:pt>
                <c:pt idx="4448">
                  <c:v>0.55556224260767639</c:v>
                </c:pt>
                <c:pt idx="4449">
                  <c:v>0.5415978383409864</c:v>
                </c:pt>
                <c:pt idx="4450">
                  <c:v>0.53628843958740025</c:v>
                </c:pt>
                <c:pt idx="4451">
                  <c:v>0.56295165924954316</c:v>
                </c:pt>
                <c:pt idx="4452">
                  <c:v>0.58082020801904632</c:v>
                </c:pt>
                <c:pt idx="4453">
                  <c:v>0.55727363063402025</c:v>
                </c:pt>
                <c:pt idx="4454">
                  <c:v>0.5518152129000099</c:v>
                </c:pt>
                <c:pt idx="4455">
                  <c:v>0.58133661936230474</c:v>
                </c:pt>
                <c:pt idx="4456">
                  <c:v>0.56673626885741424</c:v>
                </c:pt>
                <c:pt idx="4457">
                  <c:v>0.57425495862696641</c:v>
                </c:pt>
                <c:pt idx="4458">
                  <c:v>0.60786971044076987</c:v>
                </c:pt>
                <c:pt idx="4459">
                  <c:v>0.59076361462193194</c:v>
                </c:pt>
                <c:pt idx="4460">
                  <c:v>0.53664188474472285</c:v>
                </c:pt>
                <c:pt idx="4461">
                  <c:v>0.60415949937802282</c:v>
                </c:pt>
                <c:pt idx="4462">
                  <c:v>0.60244720933225326</c:v>
                </c:pt>
                <c:pt idx="4463">
                  <c:v>0.60417052033921681</c:v>
                </c:pt>
                <c:pt idx="4464">
                  <c:v>0.60630879747012345</c:v>
                </c:pt>
                <c:pt idx="4465">
                  <c:v>0.59162915683069439</c:v>
                </c:pt>
                <c:pt idx="4466">
                  <c:v>0.58866144430184641</c:v>
                </c:pt>
                <c:pt idx="4467">
                  <c:v>0.59955952222324116</c:v>
                </c:pt>
                <c:pt idx="4468">
                  <c:v>0.54859011777208477</c:v>
                </c:pt>
                <c:pt idx="4469">
                  <c:v>0.55376266915054417</c:v>
                </c:pt>
                <c:pt idx="4470">
                  <c:v>0.57048467980590734</c:v>
                </c:pt>
                <c:pt idx="4471">
                  <c:v>0.52007957551973438</c:v>
                </c:pt>
                <c:pt idx="4472">
                  <c:v>0.53164583287029665</c:v>
                </c:pt>
                <c:pt idx="4473">
                  <c:v>0.55862254291287705</c:v>
                </c:pt>
                <c:pt idx="4474">
                  <c:v>0.57737470837218785</c:v>
                </c:pt>
                <c:pt idx="4475">
                  <c:v>0.54842123656301056</c:v>
                </c:pt>
                <c:pt idx="4476">
                  <c:v>0.53182353345646416</c:v>
                </c:pt>
                <c:pt idx="4477">
                  <c:v>0.50198700317498279</c:v>
                </c:pt>
                <c:pt idx="4478">
                  <c:v>0.5236398305247898</c:v>
                </c:pt>
                <c:pt idx="4479">
                  <c:v>0.55448770629600719</c:v>
                </c:pt>
                <c:pt idx="4480">
                  <c:v>0.55645037698724142</c:v>
                </c:pt>
                <c:pt idx="4481">
                  <c:v>0.51354626057880415</c:v>
                </c:pt>
                <c:pt idx="4482">
                  <c:v>0.49387987156489532</c:v>
                </c:pt>
                <c:pt idx="4483">
                  <c:v>0.49788501252570661</c:v>
                </c:pt>
                <c:pt idx="4484">
                  <c:v>0.48266996034242921</c:v>
                </c:pt>
                <c:pt idx="4485">
                  <c:v>0.48496557927471529</c:v>
                </c:pt>
                <c:pt idx="4486">
                  <c:v>0.46737735771951916</c:v>
                </c:pt>
                <c:pt idx="4487">
                  <c:v>0.48365175888606571</c:v>
                </c:pt>
                <c:pt idx="4488">
                  <c:v>0.47839231002318683</c:v>
                </c:pt>
                <c:pt idx="4489">
                  <c:v>0.47893426373027487</c:v>
                </c:pt>
                <c:pt idx="4490">
                  <c:v>0.51282069207618208</c:v>
                </c:pt>
                <c:pt idx="4491">
                  <c:v>0.50317610973275206</c:v>
                </c:pt>
                <c:pt idx="4492">
                  <c:v>0.4991288755215576</c:v>
                </c:pt>
                <c:pt idx="4493">
                  <c:v>0.52095320758139263</c:v>
                </c:pt>
                <c:pt idx="4494">
                  <c:v>0.51472515294545418</c:v>
                </c:pt>
                <c:pt idx="4495">
                  <c:v>0.52738897459445444</c:v>
                </c:pt>
                <c:pt idx="4496">
                  <c:v>0.52802046136634295</c:v>
                </c:pt>
                <c:pt idx="4497">
                  <c:v>0.54334974801628966</c:v>
                </c:pt>
                <c:pt idx="4498">
                  <c:v>0.52975274709650033</c:v>
                </c:pt>
                <c:pt idx="4499">
                  <c:v>0.53391193001414361</c:v>
                </c:pt>
                <c:pt idx="4500">
                  <c:v>0.51826013246719504</c:v>
                </c:pt>
                <c:pt idx="4501">
                  <c:v>0.51775062203426092</c:v>
                </c:pt>
                <c:pt idx="4502">
                  <c:v>0.5323077558252467</c:v>
                </c:pt>
                <c:pt idx="4503">
                  <c:v>0.52369835368000828</c:v>
                </c:pt>
                <c:pt idx="4504">
                  <c:v>0.53219963073843668</c:v>
                </c:pt>
                <c:pt idx="4505">
                  <c:v>0.53890272295361752</c:v>
                </c:pt>
                <c:pt idx="4506">
                  <c:v>0.53340380659941444</c:v>
                </c:pt>
                <c:pt idx="4507">
                  <c:v>0.51342404070233583</c:v>
                </c:pt>
                <c:pt idx="4508">
                  <c:v>0.52832987795649589</c:v>
                </c:pt>
                <c:pt idx="4509">
                  <c:v>0.5414277136347192</c:v>
                </c:pt>
                <c:pt idx="4510">
                  <c:v>0.53333169591485119</c:v>
                </c:pt>
                <c:pt idx="4511">
                  <c:v>0.53386518410908224</c:v>
                </c:pt>
                <c:pt idx="4512">
                  <c:v>0.50846440155621886</c:v>
                </c:pt>
                <c:pt idx="4513">
                  <c:v>0.51369559373321272</c:v>
                </c:pt>
                <c:pt idx="4514">
                  <c:v>0.50367072497488496</c:v>
                </c:pt>
                <c:pt idx="4515">
                  <c:v>0.52460484489224857</c:v>
                </c:pt>
                <c:pt idx="4516">
                  <c:v>0.52386620635656633</c:v>
                </c:pt>
                <c:pt idx="4517">
                  <c:v>0.51337730048182595</c:v>
                </c:pt>
                <c:pt idx="4518">
                  <c:v>0.51522337157934261</c:v>
                </c:pt>
                <c:pt idx="4519">
                  <c:v>0.52603594086909877</c:v>
                </c:pt>
                <c:pt idx="4520">
                  <c:v>0.52740302907528147</c:v>
                </c:pt>
                <c:pt idx="4521">
                  <c:v>0.52735506145141553</c:v>
                </c:pt>
                <c:pt idx="4522">
                  <c:v>0.51673535449774921</c:v>
                </c:pt>
                <c:pt idx="4523">
                  <c:v>0.53319774429782452</c:v>
                </c:pt>
                <c:pt idx="4524">
                  <c:v>0.5262120725213788</c:v>
                </c:pt>
                <c:pt idx="4525">
                  <c:v>0.52194705354097537</c:v>
                </c:pt>
                <c:pt idx="4526">
                  <c:v>0.5085679621348248</c:v>
                </c:pt>
                <c:pt idx="4527">
                  <c:v>0.51149860612875198</c:v>
                </c:pt>
                <c:pt idx="4528">
                  <c:v>0.50813604960261671</c:v>
                </c:pt>
                <c:pt idx="4529">
                  <c:v>0.51816373104085256</c:v>
                </c:pt>
                <c:pt idx="4530">
                  <c:v>0.51344814124353422</c:v>
                </c:pt>
                <c:pt idx="4531">
                  <c:v>0.51857736856101988</c:v>
                </c:pt>
                <c:pt idx="4532">
                  <c:v>0.52249574586273506</c:v>
                </c:pt>
                <c:pt idx="4533">
                  <c:v>0.52110982748120604</c:v>
                </c:pt>
                <c:pt idx="4534">
                  <c:v>0.50709289367752874</c:v>
                </c:pt>
                <c:pt idx="4535">
                  <c:v>0.49370113209614919</c:v>
                </c:pt>
                <c:pt idx="4536">
                  <c:v>0.50353779287404088</c:v>
                </c:pt>
                <c:pt idx="4537">
                  <c:v>0.48890195814356363</c:v>
                </c:pt>
                <c:pt idx="4538">
                  <c:v>0.47337425784647513</c:v>
                </c:pt>
                <c:pt idx="4539">
                  <c:v>0.45283576048195429</c:v>
                </c:pt>
                <c:pt idx="4540">
                  <c:v>0.4615699528971986</c:v>
                </c:pt>
                <c:pt idx="4541">
                  <c:v>0.45984358790847696</c:v>
                </c:pt>
                <c:pt idx="4542">
                  <c:v>0.45008552406103647</c:v>
                </c:pt>
                <c:pt idx="4543">
                  <c:v>0.4330498922964599</c:v>
                </c:pt>
                <c:pt idx="4544">
                  <c:v>0.45796632626912298</c:v>
                </c:pt>
                <c:pt idx="4545">
                  <c:v>0.46167436993977556</c:v>
                </c:pt>
                <c:pt idx="4546">
                  <c:v>0.4512800261841462</c:v>
                </c:pt>
                <c:pt idx="4547">
                  <c:v>0.44718672485115912</c:v>
                </c:pt>
                <c:pt idx="4548">
                  <c:v>0.45068795516229981</c:v>
                </c:pt>
                <c:pt idx="4549">
                  <c:v>0.44925849640560073</c:v>
                </c:pt>
                <c:pt idx="4550">
                  <c:v>0.47382930732362583</c:v>
                </c:pt>
                <c:pt idx="4551">
                  <c:v>0.46656395274632584</c:v>
                </c:pt>
                <c:pt idx="4552">
                  <c:v>0.46219637856345491</c:v>
                </c:pt>
                <c:pt idx="4553">
                  <c:v>0.4867545555516482</c:v>
                </c:pt>
                <c:pt idx="4554">
                  <c:v>0.46519600514116988</c:v>
                </c:pt>
                <c:pt idx="4555">
                  <c:v>0.44809695300393265</c:v>
                </c:pt>
                <c:pt idx="4556">
                  <c:v>0.4574172406688925</c:v>
                </c:pt>
                <c:pt idx="4557">
                  <c:v>0.45570056706390133</c:v>
                </c:pt>
                <c:pt idx="4558">
                  <c:v>0.46404504005517194</c:v>
                </c:pt>
                <c:pt idx="4559">
                  <c:v>0.471642819427043</c:v>
                </c:pt>
                <c:pt idx="4560">
                  <c:v>0.46778947998228604</c:v>
                </c:pt>
                <c:pt idx="4561">
                  <c:v>0.46485587543467216</c:v>
                </c:pt>
                <c:pt idx="4562">
                  <c:v>0.45648628264409785</c:v>
                </c:pt>
                <c:pt idx="4563">
                  <c:v>0.46913514058724165</c:v>
                </c:pt>
                <c:pt idx="4564">
                  <c:v>0.4713769476581155</c:v>
                </c:pt>
                <c:pt idx="4565">
                  <c:v>0.46362217941890499</c:v>
                </c:pt>
                <c:pt idx="4566">
                  <c:v>0.47365685910926003</c:v>
                </c:pt>
                <c:pt idx="4567">
                  <c:v>0.47841338340909711</c:v>
                </c:pt>
                <c:pt idx="4568">
                  <c:v>0.47716526099754819</c:v>
                </c:pt>
                <c:pt idx="4569">
                  <c:v>0.45222357914558586</c:v>
                </c:pt>
                <c:pt idx="4570">
                  <c:v>0.45212499183991073</c:v>
                </c:pt>
                <c:pt idx="4571">
                  <c:v>0.47895646407244385</c:v>
                </c:pt>
                <c:pt idx="4572">
                  <c:v>0.46718559128141063</c:v>
                </c:pt>
                <c:pt idx="4573">
                  <c:v>0.46007219946687455</c:v>
                </c:pt>
                <c:pt idx="4574">
                  <c:v>0.47025741709803792</c:v>
                </c:pt>
                <c:pt idx="4575">
                  <c:v>0.47273495340179061</c:v>
                </c:pt>
                <c:pt idx="4576">
                  <c:v>0.49884241106741439</c:v>
                </c:pt>
                <c:pt idx="4577">
                  <c:v>0.48677409440497138</c:v>
                </c:pt>
                <c:pt idx="4578">
                  <c:v>0.48544685423735184</c:v>
                </c:pt>
                <c:pt idx="4579">
                  <c:v>0.44934801413313763</c:v>
                </c:pt>
                <c:pt idx="4580">
                  <c:v>0.49724004384841186</c:v>
                </c:pt>
                <c:pt idx="4581">
                  <c:v>0.50229216727430315</c:v>
                </c:pt>
                <c:pt idx="4582">
                  <c:v>0.49562272548202346</c:v>
                </c:pt>
                <c:pt idx="4583">
                  <c:v>0.52890911933147988</c:v>
                </c:pt>
                <c:pt idx="4584">
                  <c:v>0.4979273784310087</c:v>
                </c:pt>
                <c:pt idx="4585">
                  <c:v>0.4759702982190428</c:v>
                </c:pt>
                <c:pt idx="4586">
                  <c:v>0.59677198762733596</c:v>
                </c:pt>
                <c:pt idx="4587">
                  <c:v>0.59831843363702553</c:v>
                </c:pt>
                <c:pt idx="4588">
                  <c:v>0.59086601109752546</c:v>
                </c:pt>
                <c:pt idx="4589">
                  <c:v>0.56172374442429607</c:v>
                </c:pt>
                <c:pt idx="4590">
                  <c:v>0.59748928592678752</c:v>
                </c:pt>
                <c:pt idx="4591">
                  <c:v>0.53783483009553645</c:v>
                </c:pt>
                <c:pt idx="4592">
                  <c:v>0.57152855636610522</c:v>
                </c:pt>
                <c:pt idx="4593">
                  <c:v>0.55698308572709143</c:v>
                </c:pt>
                <c:pt idx="4594">
                  <c:v>0.55269522182014275</c:v>
                </c:pt>
                <c:pt idx="4595">
                  <c:v>0.60378451204990435</c:v>
                </c:pt>
                <c:pt idx="4596">
                  <c:v>0.60559946910277773</c:v>
                </c:pt>
                <c:pt idx="4597">
                  <c:v>0.58611844117407386</c:v>
                </c:pt>
                <c:pt idx="4598">
                  <c:v>0.58580396848564442</c:v>
                </c:pt>
                <c:pt idx="4599">
                  <c:v>0.60085924587048289</c:v>
                </c:pt>
                <c:pt idx="4600">
                  <c:v>0.58979427699181552</c:v>
                </c:pt>
                <c:pt idx="4601">
                  <c:v>0.63077700099267842</c:v>
                </c:pt>
                <c:pt idx="4602">
                  <c:v>0.62859121306902344</c:v>
                </c:pt>
                <c:pt idx="4603">
                  <c:v>0.57004286318925956</c:v>
                </c:pt>
                <c:pt idx="4604">
                  <c:v>0.61757492898188948</c:v>
                </c:pt>
                <c:pt idx="4605">
                  <c:v>0.6181586969091164</c:v>
                </c:pt>
                <c:pt idx="4606">
                  <c:v>0.6384723840366574</c:v>
                </c:pt>
                <c:pt idx="4607">
                  <c:v>0.61505161611192871</c:v>
                </c:pt>
                <c:pt idx="4608">
                  <c:v>0.6198519522235213</c:v>
                </c:pt>
                <c:pt idx="4609">
                  <c:v>0.6171684665582533</c:v>
                </c:pt>
                <c:pt idx="4610">
                  <c:v>0.61558237567124474</c:v>
                </c:pt>
                <c:pt idx="4611">
                  <c:v>0.5939829269652217</c:v>
                </c:pt>
                <c:pt idx="4612">
                  <c:v>0.52687276988205034</c:v>
                </c:pt>
                <c:pt idx="4613">
                  <c:v>0.58066226776057084</c:v>
                </c:pt>
                <c:pt idx="4614">
                  <c:v>0.52854212040736159</c:v>
                </c:pt>
                <c:pt idx="4615">
                  <c:v>0.52299868085389889</c:v>
                </c:pt>
                <c:pt idx="4616">
                  <c:v>0.5339304745498612</c:v>
                </c:pt>
                <c:pt idx="4617">
                  <c:v>0.56608059948738632</c:v>
                </c:pt>
                <c:pt idx="4618">
                  <c:v>0.54148239046999969</c:v>
                </c:pt>
                <c:pt idx="4619">
                  <c:v>0.55459248193631727</c:v>
                </c:pt>
                <c:pt idx="4620">
                  <c:v>0.49413928208409319</c:v>
                </c:pt>
                <c:pt idx="4621">
                  <c:v>0.49952639142247313</c:v>
                </c:pt>
                <c:pt idx="4622">
                  <c:v>0.51388172244192021</c:v>
                </c:pt>
                <c:pt idx="4623">
                  <c:v>0.55728338032441416</c:v>
                </c:pt>
                <c:pt idx="4624">
                  <c:v>0.52864048854316403</c:v>
                </c:pt>
                <c:pt idx="4625">
                  <c:v>0.52487494523444922</c:v>
                </c:pt>
                <c:pt idx="4626">
                  <c:v>0.51996482090352081</c:v>
                </c:pt>
                <c:pt idx="4627">
                  <c:v>0.50905230845012006</c:v>
                </c:pt>
                <c:pt idx="4628">
                  <c:v>0.50673443082498826</c:v>
                </c:pt>
                <c:pt idx="4629">
                  <c:v>0.48920870974856773</c:v>
                </c:pt>
                <c:pt idx="4630">
                  <c:v>0.49089450602257551</c:v>
                </c:pt>
                <c:pt idx="4631">
                  <c:v>0.50067014093249229</c:v>
                </c:pt>
                <c:pt idx="4632">
                  <c:v>0.48814316274664782</c:v>
                </c:pt>
                <c:pt idx="4633">
                  <c:v>0.52130209046745146</c:v>
                </c:pt>
                <c:pt idx="4634">
                  <c:v>0.51817953601987665</c:v>
                </c:pt>
                <c:pt idx="4635">
                  <c:v>0.51046390752269954</c:v>
                </c:pt>
                <c:pt idx="4636">
                  <c:v>0.521243897389567</c:v>
                </c:pt>
                <c:pt idx="4637">
                  <c:v>0.53059768312215327</c:v>
                </c:pt>
                <c:pt idx="4638">
                  <c:v>0.53226568204521363</c:v>
                </c:pt>
                <c:pt idx="4639">
                  <c:v>0.53446398931370187</c:v>
                </c:pt>
                <c:pt idx="4640">
                  <c:v>0.54561719841017375</c:v>
                </c:pt>
                <c:pt idx="4641">
                  <c:v>0.54648393104858006</c:v>
                </c:pt>
                <c:pt idx="4642">
                  <c:v>0.52546165926035093</c:v>
                </c:pt>
                <c:pt idx="4643">
                  <c:v>0.53295759654034569</c:v>
                </c:pt>
                <c:pt idx="4644">
                  <c:v>0.52711746624851563</c:v>
                </c:pt>
                <c:pt idx="4645">
                  <c:v>0.52318659436245796</c:v>
                </c:pt>
                <c:pt idx="4646">
                  <c:v>0.52934050874512306</c:v>
                </c:pt>
                <c:pt idx="4647">
                  <c:v>0.53470292540061726</c:v>
                </c:pt>
                <c:pt idx="4648">
                  <c:v>0.53634351462764474</c:v>
                </c:pt>
                <c:pt idx="4649">
                  <c:v>0.53617649952042079</c:v>
                </c:pt>
                <c:pt idx="4650">
                  <c:v>0.5341924267690531</c:v>
                </c:pt>
                <c:pt idx="4651">
                  <c:v>0.52243040889737391</c:v>
                </c:pt>
                <c:pt idx="4652">
                  <c:v>0.54038541632711168</c:v>
                </c:pt>
                <c:pt idx="4653">
                  <c:v>0.53434472574349268</c:v>
                </c:pt>
                <c:pt idx="4654">
                  <c:v>0.53614339207614736</c:v>
                </c:pt>
                <c:pt idx="4655">
                  <c:v>0.52610642796676366</c:v>
                </c:pt>
                <c:pt idx="4656">
                  <c:v>0.50974417854639131</c:v>
                </c:pt>
                <c:pt idx="4657">
                  <c:v>0.51116049459024793</c:v>
                </c:pt>
                <c:pt idx="4658">
                  <c:v>0.50389318624023527</c:v>
                </c:pt>
                <c:pt idx="4659">
                  <c:v>0.5155359424091378</c:v>
                </c:pt>
                <c:pt idx="4660">
                  <c:v>0.5184969625799456</c:v>
                </c:pt>
                <c:pt idx="4661">
                  <c:v>0.50839139603624406</c:v>
                </c:pt>
                <c:pt idx="4662">
                  <c:v>0.52277067936928323</c:v>
                </c:pt>
                <c:pt idx="4663">
                  <c:v>0.52322968710792572</c:v>
                </c:pt>
                <c:pt idx="4664">
                  <c:v>0.52922419523672126</c:v>
                </c:pt>
                <c:pt idx="4665">
                  <c:v>0.52560811689846187</c:v>
                </c:pt>
                <c:pt idx="4666">
                  <c:v>0.52232618848412327</c:v>
                </c:pt>
                <c:pt idx="4667">
                  <c:v>0.52648815283502126</c:v>
                </c:pt>
                <c:pt idx="4668">
                  <c:v>0.52875605870678188</c:v>
                </c:pt>
                <c:pt idx="4669">
                  <c:v>0.52099285855965083</c:v>
                </c:pt>
                <c:pt idx="4670">
                  <c:v>0.50852204300098136</c:v>
                </c:pt>
                <c:pt idx="4671">
                  <c:v>0.50538104293509611</c:v>
                </c:pt>
                <c:pt idx="4672">
                  <c:v>0.5153818060311014</c:v>
                </c:pt>
                <c:pt idx="4673">
                  <c:v>0.51760531456616565</c:v>
                </c:pt>
                <c:pt idx="4674">
                  <c:v>0.52055990421026965</c:v>
                </c:pt>
                <c:pt idx="4675">
                  <c:v>0.52212628662405391</c:v>
                </c:pt>
                <c:pt idx="4676">
                  <c:v>0.51893158293181452</c:v>
                </c:pt>
                <c:pt idx="4677">
                  <c:v>0.52528651862896392</c:v>
                </c:pt>
                <c:pt idx="4678">
                  <c:v>0.51206065056467398</c:v>
                </c:pt>
                <c:pt idx="4679">
                  <c:v>0.50285901451174297</c:v>
                </c:pt>
                <c:pt idx="4680">
                  <c:v>0.503736903451525</c:v>
                </c:pt>
                <c:pt idx="4681">
                  <c:v>0.48565840663167475</c:v>
                </c:pt>
                <c:pt idx="4682">
                  <c:v>0.48166588160578289</c:v>
                </c:pt>
                <c:pt idx="4683">
                  <c:v>0.45747661837946169</c:v>
                </c:pt>
                <c:pt idx="4684">
                  <c:v>0.46993226861513926</c:v>
                </c:pt>
                <c:pt idx="4685">
                  <c:v>0.45830040332651778</c:v>
                </c:pt>
                <c:pt idx="4686">
                  <c:v>0.45256945428100576</c:v>
                </c:pt>
                <c:pt idx="4687">
                  <c:v>0.44631235062727537</c:v>
                </c:pt>
                <c:pt idx="4688">
                  <c:v>0.46839592731368962</c:v>
                </c:pt>
                <c:pt idx="4689">
                  <c:v>0.48202573945250138</c:v>
                </c:pt>
                <c:pt idx="4690">
                  <c:v>0.44578940049544324</c:v>
                </c:pt>
                <c:pt idx="4691">
                  <c:v>0.46495920776869182</c:v>
                </c:pt>
                <c:pt idx="4692">
                  <c:v>0.46561005295579205</c:v>
                </c:pt>
                <c:pt idx="4693">
                  <c:v>0.46888307285094477</c:v>
                </c:pt>
                <c:pt idx="4694">
                  <c:v>0.50137411431085732</c:v>
                </c:pt>
                <c:pt idx="4695">
                  <c:v>0.47051265724659275</c:v>
                </c:pt>
                <c:pt idx="4696">
                  <c:v>0.48379690578278983</c:v>
                </c:pt>
                <c:pt idx="4697">
                  <c:v>0.50512989173561207</c:v>
                </c:pt>
                <c:pt idx="4698">
                  <c:v>0.47656152288223752</c:v>
                </c:pt>
                <c:pt idx="4699">
                  <c:v>0.46433780102834471</c:v>
                </c:pt>
                <c:pt idx="4700">
                  <c:v>0.49833095825734747</c:v>
                </c:pt>
                <c:pt idx="4701">
                  <c:v>0.48057819641682509</c:v>
                </c:pt>
                <c:pt idx="4702">
                  <c:v>0.50100116973314324</c:v>
                </c:pt>
                <c:pt idx="4703">
                  <c:v>0.51116558092418851</c:v>
                </c:pt>
                <c:pt idx="4704">
                  <c:v>0.49149966548499352</c:v>
                </c:pt>
                <c:pt idx="4705">
                  <c:v>0.50678932780645858</c:v>
                </c:pt>
                <c:pt idx="4706">
                  <c:v>0.50207927199055424</c:v>
                </c:pt>
                <c:pt idx="4707">
                  <c:v>0.50105035703455181</c:v>
                </c:pt>
                <c:pt idx="4708">
                  <c:v>0.50058909295633103</c:v>
                </c:pt>
                <c:pt idx="4709">
                  <c:v>0.50681068978081645</c:v>
                </c:pt>
                <c:pt idx="4710">
                  <c:v>0.50516680690502802</c:v>
                </c:pt>
                <c:pt idx="4711">
                  <c:v>0.51511183618630429</c:v>
                </c:pt>
                <c:pt idx="4712">
                  <c:v>0.50540817105522362</c:v>
                </c:pt>
                <c:pt idx="4713">
                  <c:v>0.48691112484653259</c:v>
                </c:pt>
                <c:pt idx="4714">
                  <c:v>0.50309702808033419</c:v>
                </c:pt>
                <c:pt idx="4715">
                  <c:v>0.52676405775633672</c:v>
                </c:pt>
                <c:pt idx="4716">
                  <c:v>0.50109501811481649</c:v>
                </c:pt>
                <c:pt idx="4717">
                  <c:v>0.51452079103445747</c:v>
                </c:pt>
                <c:pt idx="4718">
                  <c:v>0.51361028580391199</c:v>
                </c:pt>
                <c:pt idx="4719">
                  <c:v>0.5266910943363089</c:v>
                </c:pt>
                <c:pt idx="4720">
                  <c:v>0.5184415514316989</c:v>
                </c:pt>
                <c:pt idx="4721">
                  <c:v>0.54181928753351305</c:v>
                </c:pt>
                <c:pt idx="4722">
                  <c:v>0.52232149210691459</c:v>
                </c:pt>
                <c:pt idx="4723">
                  <c:v>0.52051235374101634</c:v>
                </c:pt>
                <c:pt idx="4724">
                  <c:v>0.52093109044649288</c:v>
                </c:pt>
                <c:pt idx="4725">
                  <c:v>0.54677998004217621</c:v>
                </c:pt>
                <c:pt idx="4726">
                  <c:v>0.53222067133767625</c:v>
                </c:pt>
                <c:pt idx="4727">
                  <c:v>0.56443986454977468</c:v>
                </c:pt>
                <c:pt idx="4728">
                  <c:v>0.53860313816695227</c:v>
                </c:pt>
                <c:pt idx="4729">
                  <c:v>0.52320182702995655</c:v>
                </c:pt>
                <c:pt idx="4730">
                  <c:v>0.5219127127592964</c:v>
                </c:pt>
                <c:pt idx="4731">
                  <c:v>0.52792684644700938</c:v>
                </c:pt>
                <c:pt idx="4732">
                  <c:v>0.54863088506684221</c:v>
                </c:pt>
                <c:pt idx="4733">
                  <c:v>0.54753337730762164</c:v>
                </c:pt>
                <c:pt idx="4734">
                  <c:v>0.49823885481409697</c:v>
                </c:pt>
                <c:pt idx="4735">
                  <c:v>0.4965697537883132</c:v>
                </c:pt>
                <c:pt idx="4736">
                  <c:v>0.49724032027137932</c:v>
                </c:pt>
                <c:pt idx="4737">
                  <c:v>0.47968584902715383</c:v>
                </c:pt>
                <c:pt idx="4738">
                  <c:v>0.49178597435035187</c:v>
                </c:pt>
                <c:pt idx="4739">
                  <c:v>0.50246522150813278</c:v>
                </c:pt>
                <c:pt idx="4740">
                  <c:v>0.48000176590597987</c:v>
                </c:pt>
                <c:pt idx="4741">
                  <c:v>0.50139848220589378</c:v>
                </c:pt>
                <c:pt idx="4742">
                  <c:v>0.50984152709124153</c:v>
                </c:pt>
                <c:pt idx="4743">
                  <c:v>0.51678411306588357</c:v>
                </c:pt>
                <c:pt idx="4744">
                  <c:v>0.5061013974958668</c:v>
                </c:pt>
                <c:pt idx="4745">
                  <c:v>0.59820989264126112</c:v>
                </c:pt>
                <c:pt idx="4746">
                  <c:v>0.51960541002694238</c:v>
                </c:pt>
                <c:pt idx="4747">
                  <c:v>0.51242128559935729</c:v>
                </c:pt>
                <c:pt idx="4748">
                  <c:v>0.50743756070824786</c:v>
                </c:pt>
                <c:pt idx="4749">
                  <c:v>0.53183055317917916</c:v>
                </c:pt>
                <c:pt idx="4750">
                  <c:v>0.5301601102646345</c:v>
                </c:pt>
                <c:pt idx="4751">
                  <c:v>0.51968456106906946</c:v>
                </c:pt>
                <c:pt idx="4752">
                  <c:v>0.49539029525461509</c:v>
                </c:pt>
                <c:pt idx="4753">
                  <c:v>0.5081266144045965</c:v>
                </c:pt>
                <c:pt idx="4754">
                  <c:v>0.49036124479852228</c:v>
                </c:pt>
                <c:pt idx="4755">
                  <c:v>0.51767296374617988</c:v>
                </c:pt>
                <c:pt idx="4756">
                  <c:v>0.50433042470417355</c:v>
                </c:pt>
                <c:pt idx="4757">
                  <c:v>0.53157521755266812</c:v>
                </c:pt>
                <c:pt idx="4758">
                  <c:v>0.48815177202360083</c:v>
                </c:pt>
                <c:pt idx="4759">
                  <c:v>0.50684529935706502</c:v>
                </c:pt>
                <c:pt idx="4760">
                  <c:v>0.52285290398987827</c:v>
                </c:pt>
                <c:pt idx="4761">
                  <c:v>0.52648427651743668</c:v>
                </c:pt>
                <c:pt idx="4762">
                  <c:v>0.54299649782139203</c:v>
                </c:pt>
                <c:pt idx="4763">
                  <c:v>0.54457500429812933</c:v>
                </c:pt>
                <c:pt idx="4764">
                  <c:v>0.47501445708730461</c:v>
                </c:pt>
                <c:pt idx="4765">
                  <c:v>0.50172457921287461</c:v>
                </c:pt>
                <c:pt idx="4766">
                  <c:v>0.49660214403231917</c:v>
                </c:pt>
                <c:pt idx="4767">
                  <c:v>0.50029590486494169</c:v>
                </c:pt>
                <c:pt idx="4768">
                  <c:v>0.50098308275073278</c:v>
                </c:pt>
                <c:pt idx="4769">
                  <c:v>0.49097443876140501</c:v>
                </c:pt>
                <c:pt idx="4770">
                  <c:v>0.46122576904287926</c:v>
                </c:pt>
                <c:pt idx="4771">
                  <c:v>0.46596786242021726</c:v>
                </c:pt>
                <c:pt idx="4772">
                  <c:v>0.45713629828446889</c:v>
                </c:pt>
                <c:pt idx="4773">
                  <c:v>0.47499001764138177</c:v>
                </c:pt>
                <c:pt idx="4774">
                  <c:v>0.47987016179981806</c:v>
                </c:pt>
                <c:pt idx="4775">
                  <c:v>0.48440576580301409</c:v>
                </c:pt>
                <c:pt idx="4776">
                  <c:v>0.47098891988273672</c:v>
                </c:pt>
                <c:pt idx="4777">
                  <c:v>0.47026403524030735</c:v>
                </c:pt>
                <c:pt idx="4778">
                  <c:v>0.5047245685933639</c:v>
                </c:pt>
                <c:pt idx="4779">
                  <c:v>0.49593267012304382</c:v>
                </c:pt>
                <c:pt idx="4780">
                  <c:v>0.51497214445809736</c:v>
                </c:pt>
                <c:pt idx="4781">
                  <c:v>0.53580180845002212</c:v>
                </c:pt>
                <c:pt idx="4782">
                  <c:v>0.5173613999308726</c:v>
                </c:pt>
                <c:pt idx="4783">
                  <c:v>0.53031728769076592</c:v>
                </c:pt>
                <c:pt idx="4784">
                  <c:v>0.52763969493912843</c:v>
                </c:pt>
                <c:pt idx="4785">
                  <c:v>0.53526195826930145</c:v>
                </c:pt>
                <c:pt idx="4786">
                  <c:v>0.51380908984917029</c:v>
                </c:pt>
                <c:pt idx="4787">
                  <c:v>0.52344248434175578</c:v>
                </c:pt>
                <c:pt idx="4788">
                  <c:v>0.5263114868240325</c:v>
                </c:pt>
                <c:pt idx="4789">
                  <c:v>0.53775879318937059</c:v>
                </c:pt>
                <c:pt idx="4790">
                  <c:v>0.52671924804636283</c:v>
                </c:pt>
                <c:pt idx="4791">
                  <c:v>0.51800947058753222</c:v>
                </c:pt>
                <c:pt idx="4792">
                  <c:v>0.53197283764290038</c:v>
                </c:pt>
                <c:pt idx="4793">
                  <c:v>0.53170009543002883</c:v>
                </c:pt>
                <c:pt idx="4794">
                  <c:v>0.51416468744285071</c:v>
                </c:pt>
                <c:pt idx="4795">
                  <c:v>0.53128906331528303</c:v>
                </c:pt>
                <c:pt idx="4796">
                  <c:v>0.55075102683510158</c:v>
                </c:pt>
                <c:pt idx="4797">
                  <c:v>0.55754702043298321</c:v>
                </c:pt>
                <c:pt idx="4798">
                  <c:v>0.53684051611338857</c:v>
                </c:pt>
                <c:pt idx="4799">
                  <c:v>0.5142054947179272</c:v>
                </c:pt>
                <c:pt idx="4800">
                  <c:v>0.50456627446246949</c:v>
                </c:pt>
                <c:pt idx="4801">
                  <c:v>0.50324645303156146</c:v>
                </c:pt>
                <c:pt idx="4802">
                  <c:v>0.50560235890849214</c:v>
                </c:pt>
                <c:pt idx="4803">
                  <c:v>0.52008416507374799</c:v>
                </c:pt>
                <c:pt idx="4804">
                  <c:v>0.51648354631731752</c:v>
                </c:pt>
                <c:pt idx="4805">
                  <c:v>0.51917212084760966</c:v>
                </c:pt>
                <c:pt idx="4806">
                  <c:v>0.53186616057051217</c:v>
                </c:pt>
                <c:pt idx="4807">
                  <c:v>0.52418599998897863</c:v>
                </c:pt>
                <c:pt idx="4808">
                  <c:v>0.54320554821881906</c:v>
                </c:pt>
                <c:pt idx="4809">
                  <c:v>0.54068602558570478</c:v>
                </c:pt>
                <c:pt idx="4810">
                  <c:v>0.5397269270917131</c:v>
                </c:pt>
                <c:pt idx="4811">
                  <c:v>0.52811804663498285</c:v>
                </c:pt>
                <c:pt idx="4812">
                  <c:v>0.53071925956819943</c:v>
                </c:pt>
                <c:pt idx="4813">
                  <c:v>0.50986904927461374</c:v>
                </c:pt>
                <c:pt idx="4814">
                  <c:v>0.5244005364348856</c:v>
                </c:pt>
                <c:pt idx="4815">
                  <c:v>0.52178041661402086</c:v>
                </c:pt>
                <c:pt idx="4816">
                  <c:v>0.52215891396788139</c:v>
                </c:pt>
                <c:pt idx="4817">
                  <c:v>0.51890870517625109</c:v>
                </c:pt>
                <c:pt idx="4818">
                  <c:v>0.54442563166454705</c:v>
                </c:pt>
                <c:pt idx="4819">
                  <c:v>0.53140022597212744</c:v>
                </c:pt>
                <c:pt idx="4820">
                  <c:v>0.52387179599563438</c:v>
                </c:pt>
                <c:pt idx="4821">
                  <c:v>0.49378918754375145</c:v>
                </c:pt>
                <c:pt idx="4822">
                  <c:v>0.48506039866435124</c:v>
                </c:pt>
                <c:pt idx="4823">
                  <c:v>0.48053798177051671</c:v>
                </c:pt>
                <c:pt idx="4824">
                  <c:v>0.46860531923153237</c:v>
                </c:pt>
                <c:pt idx="4825">
                  <c:v>0.46173931787716449</c:v>
                </c:pt>
                <c:pt idx="4826">
                  <c:v>0.47263345491287939</c:v>
                </c:pt>
                <c:pt idx="4827">
                  <c:v>0.47672398315136749</c:v>
                </c:pt>
                <c:pt idx="4828">
                  <c:v>0.47125664329818562</c:v>
                </c:pt>
                <c:pt idx="4829">
                  <c:v>0.46544784202667328</c:v>
                </c:pt>
                <c:pt idx="4830">
                  <c:v>0.45595568919464713</c:v>
                </c:pt>
                <c:pt idx="4831">
                  <c:v>0.44779752422874664</c:v>
                </c:pt>
                <c:pt idx="4832">
                  <c:v>0.4658357984831793</c:v>
                </c:pt>
                <c:pt idx="4833">
                  <c:v>0.45804362996051162</c:v>
                </c:pt>
                <c:pt idx="4834">
                  <c:v>0.46739038588036208</c:v>
                </c:pt>
                <c:pt idx="4835">
                  <c:v>0.46379447803473922</c:v>
                </c:pt>
                <c:pt idx="4836">
                  <c:v>0.45333913674963433</c:v>
                </c:pt>
                <c:pt idx="4837">
                  <c:v>0.44560358062873268</c:v>
                </c:pt>
                <c:pt idx="4838">
                  <c:v>0.46734804292859139</c:v>
                </c:pt>
                <c:pt idx="4839">
                  <c:v>0.47824476768348134</c:v>
                </c:pt>
                <c:pt idx="4840">
                  <c:v>0.47380013308125107</c:v>
                </c:pt>
                <c:pt idx="4841">
                  <c:v>0.46253215919365259</c:v>
                </c:pt>
                <c:pt idx="4842">
                  <c:v>0.47111839885258983</c:v>
                </c:pt>
                <c:pt idx="4843">
                  <c:v>0.46384134815264966</c:v>
                </c:pt>
                <c:pt idx="4844">
                  <c:v>0.45580093095646523</c:v>
                </c:pt>
                <c:pt idx="4845">
                  <c:v>0.45778594791224209</c:v>
                </c:pt>
                <c:pt idx="4846">
                  <c:v>0.46057944381594235</c:v>
                </c:pt>
                <c:pt idx="4847">
                  <c:v>0.42928754622426496</c:v>
                </c:pt>
                <c:pt idx="4848">
                  <c:v>0.47899855511209566</c:v>
                </c:pt>
                <c:pt idx="4849">
                  <c:v>0.48188300622217478</c:v>
                </c:pt>
                <c:pt idx="4850">
                  <c:v>0.47078581558198823</c:v>
                </c:pt>
                <c:pt idx="4851">
                  <c:v>0.47312624639206163</c:v>
                </c:pt>
                <c:pt idx="4852">
                  <c:v>0.4408322869761877</c:v>
                </c:pt>
                <c:pt idx="4853">
                  <c:v>0.46700203814924962</c:v>
                </c:pt>
                <c:pt idx="4854">
                  <c:v>0.48124191801292249</c:v>
                </c:pt>
                <c:pt idx="4855">
                  <c:v>0.44699964008162041</c:v>
                </c:pt>
                <c:pt idx="4856">
                  <c:v>0.46205297116008753</c:v>
                </c:pt>
                <c:pt idx="4857">
                  <c:v>0.47662181853078855</c:v>
                </c:pt>
                <c:pt idx="4858">
                  <c:v>0.48124019723629058</c:v>
                </c:pt>
                <c:pt idx="4859">
                  <c:v>0.48767504110315674</c:v>
                </c:pt>
                <c:pt idx="4860">
                  <c:v>0.46049446791015691</c:v>
                </c:pt>
                <c:pt idx="4861">
                  <c:v>0.4702606526468589</c:v>
                </c:pt>
                <c:pt idx="4862">
                  <c:v>0.46808519743724736</c:v>
                </c:pt>
                <c:pt idx="4863">
                  <c:v>0.48302870189267899</c:v>
                </c:pt>
                <c:pt idx="4864">
                  <c:v>0.47413785081281007</c:v>
                </c:pt>
                <c:pt idx="4865">
                  <c:v>0.48202144525540774</c:v>
                </c:pt>
                <c:pt idx="4866">
                  <c:v>0.4760155823424071</c:v>
                </c:pt>
                <c:pt idx="4867">
                  <c:v>0.47991417810332349</c:v>
                </c:pt>
                <c:pt idx="4868">
                  <c:v>0.49326909528098029</c:v>
                </c:pt>
                <c:pt idx="4869">
                  <c:v>0.48858244139960677</c:v>
                </c:pt>
                <c:pt idx="4870">
                  <c:v>0.50428133554053223</c:v>
                </c:pt>
                <c:pt idx="4871">
                  <c:v>0.48092790680392472</c:v>
                </c:pt>
                <c:pt idx="4872">
                  <c:v>0.46178086146401143</c:v>
                </c:pt>
                <c:pt idx="4873">
                  <c:v>0.50461274962370173</c:v>
                </c:pt>
                <c:pt idx="4874">
                  <c:v>0.54833044344959203</c:v>
                </c:pt>
                <c:pt idx="4875">
                  <c:v>0.55915427340392043</c:v>
                </c:pt>
                <c:pt idx="4876">
                  <c:v>0.55837300242376464</c:v>
                </c:pt>
                <c:pt idx="4877">
                  <c:v>0.57623708397542694</c:v>
                </c:pt>
                <c:pt idx="4878">
                  <c:v>0.59267773968426529</c:v>
                </c:pt>
                <c:pt idx="4879">
                  <c:v>0.54293529329831369</c:v>
                </c:pt>
                <c:pt idx="4880">
                  <c:v>0.51999210246252903</c:v>
                </c:pt>
                <c:pt idx="4881">
                  <c:v>0.52898556518504902</c:v>
                </c:pt>
                <c:pt idx="4882">
                  <c:v>0.51834005567522867</c:v>
                </c:pt>
                <c:pt idx="4883">
                  <c:v>0.50386065465012209</c:v>
                </c:pt>
                <c:pt idx="4884">
                  <c:v>0.54400686656163066</c:v>
                </c:pt>
                <c:pt idx="4885">
                  <c:v>0.5385860486956866</c:v>
                </c:pt>
                <c:pt idx="4886">
                  <c:v>0.52028251858544039</c:v>
                </c:pt>
                <c:pt idx="4887">
                  <c:v>0.5375484893812098</c:v>
                </c:pt>
                <c:pt idx="4888">
                  <c:v>0.55472399106440884</c:v>
                </c:pt>
                <c:pt idx="4889">
                  <c:v>0.53611445258628465</c:v>
                </c:pt>
                <c:pt idx="4890">
                  <c:v>0.6003703432759081</c:v>
                </c:pt>
                <c:pt idx="4891">
                  <c:v>0.53935528800015231</c:v>
                </c:pt>
                <c:pt idx="4892">
                  <c:v>0.55251673405812318</c:v>
                </c:pt>
                <c:pt idx="4893">
                  <c:v>0.53723687626061734</c:v>
                </c:pt>
                <c:pt idx="4894">
                  <c:v>0.56083273000080891</c:v>
                </c:pt>
                <c:pt idx="4895">
                  <c:v>0.54793609023154954</c:v>
                </c:pt>
                <c:pt idx="4896">
                  <c:v>0.55386373771758846</c:v>
                </c:pt>
                <c:pt idx="4897">
                  <c:v>0.5407584259328847</c:v>
                </c:pt>
                <c:pt idx="4898">
                  <c:v>0.53576272791304613</c:v>
                </c:pt>
                <c:pt idx="4899">
                  <c:v>0.52268974263075263</c:v>
                </c:pt>
                <c:pt idx="4900">
                  <c:v>0.53142386034029332</c:v>
                </c:pt>
                <c:pt idx="4901">
                  <c:v>0.52398409350076547</c:v>
                </c:pt>
                <c:pt idx="4902">
                  <c:v>0.54712400673699513</c:v>
                </c:pt>
                <c:pt idx="4903">
                  <c:v>0.52306158819179338</c:v>
                </c:pt>
                <c:pt idx="4904">
                  <c:v>0.51761243602873264</c:v>
                </c:pt>
                <c:pt idx="4905">
                  <c:v>0.55342046300085201</c:v>
                </c:pt>
                <c:pt idx="4906">
                  <c:v>0.54271117630653343</c:v>
                </c:pt>
                <c:pt idx="4907">
                  <c:v>0.54536130709704123</c:v>
                </c:pt>
                <c:pt idx="4908">
                  <c:v>0.5674674982253306</c:v>
                </c:pt>
                <c:pt idx="4909">
                  <c:v>0.50602609743021032</c:v>
                </c:pt>
                <c:pt idx="4910">
                  <c:v>0.52577588033410994</c:v>
                </c:pt>
                <c:pt idx="4911">
                  <c:v>0.50082095138675853</c:v>
                </c:pt>
                <c:pt idx="4912">
                  <c:v>0.51924044611988152</c:v>
                </c:pt>
                <c:pt idx="4913">
                  <c:v>0.50762585051508202</c:v>
                </c:pt>
                <c:pt idx="4914">
                  <c:v>0.51775484076257972</c:v>
                </c:pt>
                <c:pt idx="4915">
                  <c:v>0.47968225120021007</c:v>
                </c:pt>
                <c:pt idx="4916">
                  <c:v>0.49195487104716351</c:v>
                </c:pt>
                <c:pt idx="4917">
                  <c:v>0.47645642030992469</c:v>
                </c:pt>
                <c:pt idx="4918">
                  <c:v>0.4968815134059254</c:v>
                </c:pt>
                <c:pt idx="4919">
                  <c:v>0.49475954002872791</c:v>
                </c:pt>
                <c:pt idx="4920">
                  <c:v>0.49384602398383298</c:v>
                </c:pt>
                <c:pt idx="4921">
                  <c:v>0.48892661331769732</c:v>
                </c:pt>
                <c:pt idx="4922">
                  <c:v>0.47179467310607082</c:v>
                </c:pt>
                <c:pt idx="4923">
                  <c:v>0.51506912420648787</c:v>
                </c:pt>
                <c:pt idx="4924">
                  <c:v>0.50491919806996188</c:v>
                </c:pt>
                <c:pt idx="4925">
                  <c:v>0.52315300248953356</c:v>
                </c:pt>
                <c:pt idx="4926">
                  <c:v>0.52463871394411332</c:v>
                </c:pt>
                <c:pt idx="4927">
                  <c:v>0.51783947034210576</c:v>
                </c:pt>
                <c:pt idx="4928">
                  <c:v>0.53671571959094355</c:v>
                </c:pt>
                <c:pt idx="4929">
                  <c:v>0.53334899339635911</c:v>
                </c:pt>
                <c:pt idx="4930">
                  <c:v>0.53854080861370945</c:v>
                </c:pt>
                <c:pt idx="4931">
                  <c:v>0.5224816620785071</c:v>
                </c:pt>
                <c:pt idx="4932">
                  <c:v>0.5249103493957652</c:v>
                </c:pt>
                <c:pt idx="4933">
                  <c:v>0.52692117804533523</c:v>
                </c:pt>
                <c:pt idx="4934">
                  <c:v>0.54497241992824363</c:v>
                </c:pt>
                <c:pt idx="4935">
                  <c:v>0.54603293209686099</c:v>
                </c:pt>
                <c:pt idx="4936">
                  <c:v>0.52966540525459094</c:v>
                </c:pt>
                <c:pt idx="4937">
                  <c:v>0.5405535729909916</c:v>
                </c:pt>
                <c:pt idx="4938">
                  <c:v>0.5466196452221973</c:v>
                </c:pt>
                <c:pt idx="4939">
                  <c:v>0.51805676889933316</c:v>
                </c:pt>
                <c:pt idx="4940">
                  <c:v>0.54337522662358195</c:v>
                </c:pt>
                <c:pt idx="4941">
                  <c:v>0.52841079958559956</c:v>
                </c:pt>
                <c:pt idx="4942">
                  <c:v>0.53026426107902247</c:v>
                </c:pt>
                <c:pt idx="4943">
                  <c:v>0.52497816689038146</c:v>
                </c:pt>
                <c:pt idx="4944">
                  <c:v>0.5224330173478392</c:v>
                </c:pt>
                <c:pt idx="4945">
                  <c:v>0.52034503425882817</c:v>
                </c:pt>
                <c:pt idx="4946">
                  <c:v>0.51753382971369732</c:v>
                </c:pt>
                <c:pt idx="4947">
                  <c:v>0.52268087907638083</c:v>
                </c:pt>
                <c:pt idx="4948">
                  <c:v>0.53044060716076147</c:v>
                </c:pt>
                <c:pt idx="4949">
                  <c:v>0.53147891704225514</c:v>
                </c:pt>
                <c:pt idx="4950">
                  <c:v>0.53319990718769616</c:v>
                </c:pt>
                <c:pt idx="4951">
                  <c:v>0.53726889211851137</c:v>
                </c:pt>
                <c:pt idx="4952">
                  <c:v>0.53226644705941473</c:v>
                </c:pt>
                <c:pt idx="4953">
                  <c:v>0.55704740043844481</c:v>
                </c:pt>
                <c:pt idx="4954">
                  <c:v>0.54458876135102841</c:v>
                </c:pt>
                <c:pt idx="4955">
                  <c:v>0.54778627001608426</c:v>
                </c:pt>
                <c:pt idx="4956">
                  <c:v>0.54087606638562946</c:v>
                </c:pt>
                <c:pt idx="4957">
                  <c:v>0.53949374944658168</c:v>
                </c:pt>
                <c:pt idx="4958">
                  <c:v>0.52869191399321325</c:v>
                </c:pt>
                <c:pt idx="4959">
                  <c:v>0.5305901314623751</c:v>
                </c:pt>
                <c:pt idx="4960">
                  <c:v>0.5213090208087886</c:v>
                </c:pt>
                <c:pt idx="4961">
                  <c:v>0.53217578349359485</c:v>
                </c:pt>
                <c:pt idx="4962">
                  <c:v>0.51247039744871148</c:v>
                </c:pt>
                <c:pt idx="4963">
                  <c:v>0.55420486757259169</c:v>
                </c:pt>
                <c:pt idx="4964">
                  <c:v>0.53048170587043086</c:v>
                </c:pt>
                <c:pt idx="4965">
                  <c:v>0.52896231165197383</c:v>
                </c:pt>
                <c:pt idx="4966">
                  <c:v>0.49483918155454043</c:v>
                </c:pt>
                <c:pt idx="4967">
                  <c:v>0.49460355043726584</c:v>
                </c:pt>
                <c:pt idx="4968">
                  <c:v>0.48083505141528782</c:v>
                </c:pt>
                <c:pt idx="4969">
                  <c:v>0.47088774674972916</c:v>
                </c:pt>
                <c:pt idx="4970">
                  <c:v>0.46517904218113232</c:v>
                </c:pt>
                <c:pt idx="4971">
                  <c:v>0.47382040938741554</c:v>
                </c:pt>
                <c:pt idx="4972">
                  <c:v>0.47935458009719789</c:v>
                </c:pt>
                <c:pt idx="4973">
                  <c:v>0.47813545008541702</c:v>
                </c:pt>
                <c:pt idx="4974">
                  <c:v>0.47196537180519271</c:v>
                </c:pt>
                <c:pt idx="4975">
                  <c:v>0.45650556198176828</c:v>
                </c:pt>
                <c:pt idx="4976">
                  <c:v>0.46170992001403183</c:v>
                </c:pt>
                <c:pt idx="4977">
                  <c:v>0.46930511888906495</c:v>
                </c:pt>
                <c:pt idx="4978">
                  <c:v>0.46194069972024709</c:v>
                </c:pt>
                <c:pt idx="4979">
                  <c:v>0.48530779825578746</c:v>
                </c:pt>
                <c:pt idx="4980">
                  <c:v>0.47201034304172873</c:v>
                </c:pt>
                <c:pt idx="4981">
                  <c:v>0.4561728354144145</c:v>
                </c:pt>
                <c:pt idx="4982">
                  <c:v>0.48126098949738683</c:v>
                </c:pt>
                <c:pt idx="4983">
                  <c:v>0.47778608473607709</c:v>
                </c:pt>
                <c:pt idx="4984">
                  <c:v>0.50654223672481058</c:v>
                </c:pt>
                <c:pt idx="4985">
                  <c:v>0.49917387222420462</c:v>
                </c:pt>
                <c:pt idx="4986">
                  <c:v>0.49806672896251464</c:v>
                </c:pt>
                <c:pt idx="4987">
                  <c:v>0.50301984140993572</c:v>
                </c:pt>
                <c:pt idx="4988">
                  <c:v>0.49505982209005173</c:v>
                </c:pt>
                <c:pt idx="4989">
                  <c:v>0.48209272343002957</c:v>
                </c:pt>
                <c:pt idx="4990">
                  <c:v>0.48176643697458127</c:v>
                </c:pt>
                <c:pt idx="4991">
                  <c:v>0.49299730115999546</c:v>
                </c:pt>
                <c:pt idx="4992">
                  <c:v>0.45200138111163396</c:v>
                </c:pt>
                <c:pt idx="4993">
                  <c:v>0.49028119911003748</c:v>
                </c:pt>
                <c:pt idx="4994">
                  <c:v>0.51956143099174779</c:v>
                </c:pt>
                <c:pt idx="4995">
                  <c:v>0.51722058207160726</c:v>
                </c:pt>
                <c:pt idx="4996">
                  <c:v>0.50712167141405573</c:v>
                </c:pt>
                <c:pt idx="4997">
                  <c:v>0.49815445546882053</c:v>
                </c:pt>
                <c:pt idx="4998">
                  <c:v>0.48687786213266143</c:v>
                </c:pt>
                <c:pt idx="4999">
                  <c:v>0.52503287997983561</c:v>
                </c:pt>
                <c:pt idx="5000">
                  <c:v>0.48446227781841877</c:v>
                </c:pt>
                <c:pt idx="5001">
                  <c:v>0.4962182889398446</c:v>
                </c:pt>
                <c:pt idx="5002">
                  <c:v>0.50715395965583365</c:v>
                </c:pt>
                <c:pt idx="5003">
                  <c:v>0.51514976939160473</c:v>
                </c:pt>
                <c:pt idx="5004">
                  <c:v>0.51470776136101115</c:v>
                </c:pt>
                <c:pt idx="5005">
                  <c:v>0.49667065389717474</c:v>
                </c:pt>
                <c:pt idx="5006">
                  <c:v>0.49031434262336898</c:v>
                </c:pt>
                <c:pt idx="5007">
                  <c:v>0.51287735829259073</c:v>
                </c:pt>
                <c:pt idx="5008">
                  <c:v>0.51072217693680644</c:v>
                </c:pt>
                <c:pt idx="5009">
                  <c:v>0.50963552523170197</c:v>
                </c:pt>
                <c:pt idx="5010">
                  <c:v>0.52030637258756751</c:v>
                </c:pt>
                <c:pt idx="5011">
                  <c:v>0.51228125965026483</c:v>
                </c:pt>
                <c:pt idx="5012">
                  <c:v>0.50834761377710125</c:v>
                </c:pt>
                <c:pt idx="5013">
                  <c:v>0.54154866754033948</c:v>
                </c:pt>
                <c:pt idx="5014">
                  <c:v>0.51079077277969431</c:v>
                </c:pt>
                <c:pt idx="5015">
                  <c:v>0.54527717262312692</c:v>
                </c:pt>
                <c:pt idx="5016">
                  <c:v>0.50704925056043737</c:v>
                </c:pt>
                <c:pt idx="5017">
                  <c:v>0.504316827153519</c:v>
                </c:pt>
                <c:pt idx="5018">
                  <c:v>0.49136043297749499</c:v>
                </c:pt>
                <c:pt idx="5019">
                  <c:v>0.54118208230037057</c:v>
                </c:pt>
                <c:pt idx="5020">
                  <c:v>0.50013077082792856</c:v>
                </c:pt>
                <c:pt idx="5021">
                  <c:v>0.51116892716403128</c:v>
                </c:pt>
                <c:pt idx="5022">
                  <c:v>0.49571275009635896</c:v>
                </c:pt>
                <c:pt idx="5023">
                  <c:v>0.49143271618867551</c:v>
                </c:pt>
                <c:pt idx="5024">
                  <c:v>0.49643670697808429</c:v>
                </c:pt>
                <c:pt idx="5025">
                  <c:v>0.52091904987589455</c:v>
                </c:pt>
                <c:pt idx="5026">
                  <c:v>0.53157572837377021</c:v>
                </c:pt>
                <c:pt idx="5027">
                  <c:v>0.52412195616545831</c:v>
                </c:pt>
                <c:pt idx="5028">
                  <c:v>0.51712645808351454</c:v>
                </c:pt>
                <c:pt idx="5029">
                  <c:v>0.51266465511023041</c:v>
                </c:pt>
                <c:pt idx="5030">
                  <c:v>0.52370368539773082</c:v>
                </c:pt>
                <c:pt idx="5031">
                  <c:v>0.53841209994089789</c:v>
                </c:pt>
                <c:pt idx="5032">
                  <c:v>0.56941277196462492</c:v>
                </c:pt>
                <c:pt idx="5033">
                  <c:v>0.58701699856308798</c:v>
                </c:pt>
                <c:pt idx="5034">
                  <c:v>0.56500295553636593</c:v>
                </c:pt>
                <c:pt idx="5035">
                  <c:v>0.46256524394563336</c:v>
                </c:pt>
                <c:pt idx="5036">
                  <c:v>0.52729083843438718</c:v>
                </c:pt>
                <c:pt idx="5037">
                  <c:v>0.52620560786455317</c:v>
                </c:pt>
                <c:pt idx="5038">
                  <c:v>0.50922511043499619</c:v>
                </c:pt>
                <c:pt idx="5039">
                  <c:v>0.49198942590543038</c:v>
                </c:pt>
                <c:pt idx="5040">
                  <c:v>0.50435109216583951</c:v>
                </c:pt>
                <c:pt idx="5041">
                  <c:v>0.48933385511905025</c:v>
                </c:pt>
                <c:pt idx="5042">
                  <c:v>0.535789414356309</c:v>
                </c:pt>
                <c:pt idx="5043">
                  <c:v>0.53056657968005372</c:v>
                </c:pt>
                <c:pt idx="5044">
                  <c:v>0.52295999417730432</c:v>
                </c:pt>
                <c:pt idx="5045">
                  <c:v>0.54343997284594603</c:v>
                </c:pt>
                <c:pt idx="5046">
                  <c:v>0.50049198003211215</c:v>
                </c:pt>
                <c:pt idx="5047">
                  <c:v>0.5325676304274013</c:v>
                </c:pt>
                <c:pt idx="5048">
                  <c:v>0.50113159294067389</c:v>
                </c:pt>
                <c:pt idx="5049">
                  <c:v>0.52938479212451695</c:v>
                </c:pt>
                <c:pt idx="5050">
                  <c:v>0.51807560773945371</c:v>
                </c:pt>
                <c:pt idx="5051">
                  <c:v>0.51077871570152733</c:v>
                </c:pt>
                <c:pt idx="5052">
                  <c:v>0.51640790926215774</c:v>
                </c:pt>
                <c:pt idx="5053">
                  <c:v>0.50294236820156379</c:v>
                </c:pt>
                <c:pt idx="5054">
                  <c:v>0.50249171307061324</c:v>
                </c:pt>
                <c:pt idx="5055">
                  <c:v>0.49889074196391364</c:v>
                </c:pt>
                <c:pt idx="5056">
                  <c:v>0.53741646227135342</c:v>
                </c:pt>
                <c:pt idx="5057">
                  <c:v>0.51529457479758611</c:v>
                </c:pt>
                <c:pt idx="5058">
                  <c:v>0.50111967563909809</c:v>
                </c:pt>
                <c:pt idx="5059">
                  <c:v>0.47321185410137345</c:v>
                </c:pt>
                <c:pt idx="5060">
                  <c:v>0.48799833194894132</c:v>
                </c:pt>
                <c:pt idx="5061">
                  <c:v>0.48554795790208866</c:v>
                </c:pt>
                <c:pt idx="5062">
                  <c:v>0.47266329266521678</c:v>
                </c:pt>
                <c:pt idx="5063">
                  <c:v>0.46829473918869324</c:v>
                </c:pt>
                <c:pt idx="5064">
                  <c:v>0.48153750359950176</c:v>
                </c:pt>
                <c:pt idx="5065">
                  <c:v>0.48091613952248913</c:v>
                </c:pt>
                <c:pt idx="5066">
                  <c:v>0.50297237706999243</c:v>
                </c:pt>
                <c:pt idx="5067">
                  <c:v>0.48760114051262049</c:v>
                </c:pt>
                <c:pt idx="5068">
                  <c:v>0.52070147684442969</c:v>
                </c:pt>
                <c:pt idx="5069">
                  <c:v>0.51804372614667704</c:v>
                </c:pt>
                <c:pt idx="5070">
                  <c:v>0.51476643857434057</c:v>
                </c:pt>
                <c:pt idx="5071">
                  <c:v>0.51909182491474237</c:v>
                </c:pt>
                <c:pt idx="5072">
                  <c:v>0.51479471231949836</c:v>
                </c:pt>
                <c:pt idx="5073">
                  <c:v>0.53214211456558558</c:v>
                </c:pt>
                <c:pt idx="5074">
                  <c:v>0.52918644442261453</c:v>
                </c:pt>
                <c:pt idx="5075">
                  <c:v>0.52204914583525963</c:v>
                </c:pt>
                <c:pt idx="5076">
                  <c:v>0.53515089320362708</c:v>
                </c:pt>
                <c:pt idx="5077">
                  <c:v>0.5228814378977783</c:v>
                </c:pt>
                <c:pt idx="5078">
                  <c:v>0.52926040211823699</c:v>
                </c:pt>
                <c:pt idx="5079">
                  <c:v>0.52202838988277966</c:v>
                </c:pt>
                <c:pt idx="5080">
                  <c:v>0.52281394370932022</c:v>
                </c:pt>
                <c:pt idx="5081">
                  <c:v>0.5234651245154861</c:v>
                </c:pt>
                <c:pt idx="5082">
                  <c:v>0.52503093531991851</c:v>
                </c:pt>
                <c:pt idx="5083">
                  <c:v>0.52130496722633757</c:v>
                </c:pt>
                <c:pt idx="5084">
                  <c:v>0.52244032092579551</c:v>
                </c:pt>
                <c:pt idx="5085">
                  <c:v>0.52922278285038515</c:v>
                </c:pt>
                <c:pt idx="5086">
                  <c:v>0.51271720715292957</c:v>
                </c:pt>
                <c:pt idx="5087">
                  <c:v>0.4997823146055182</c:v>
                </c:pt>
                <c:pt idx="5088">
                  <c:v>0.51008902979277881</c:v>
                </c:pt>
                <c:pt idx="5089">
                  <c:v>0.50591027778315789</c:v>
                </c:pt>
                <c:pt idx="5090">
                  <c:v>0.49943096577787482</c:v>
                </c:pt>
                <c:pt idx="5091">
                  <c:v>0.50443470376472754</c:v>
                </c:pt>
                <c:pt idx="5092">
                  <c:v>0.50864416910165822</c:v>
                </c:pt>
                <c:pt idx="5093">
                  <c:v>0.52623805947089031</c:v>
                </c:pt>
                <c:pt idx="5094">
                  <c:v>0.51978377483571292</c:v>
                </c:pt>
                <c:pt idx="5095">
                  <c:v>0.53432442229912214</c:v>
                </c:pt>
                <c:pt idx="5096">
                  <c:v>0.53492804420994444</c:v>
                </c:pt>
                <c:pt idx="5097">
                  <c:v>0.53090565334284356</c:v>
                </c:pt>
                <c:pt idx="5098">
                  <c:v>0.52105985132681909</c:v>
                </c:pt>
                <c:pt idx="5099">
                  <c:v>0.52641320456278362</c:v>
                </c:pt>
                <c:pt idx="5100">
                  <c:v>0.52693240796814</c:v>
                </c:pt>
                <c:pt idx="5101">
                  <c:v>0.53455874243963508</c:v>
                </c:pt>
                <c:pt idx="5102">
                  <c:v>0.54528855647599661</c:v>
                </c:pt>
                <c:pt idx="5103">
                  <c:v>0.52997890775487944</c:v>
                </c:pt>
                <c:pt idx="5104">
                  <c:v>0.53815771272543556</c:v>
                </c:pt>
                <c:pt idx="5105">
                  <c:v>0.55320813296294258</c:v>
                </c:pt>
                <c:pt idx="5106">
                  <c:v>0.54671178331067882</c:v>
                </c:pt>
                <c:pt idx="5107">
                  <c:v>0.54620422611242903</c:v>
                </c:pt>
                <c:pt idx="5108">
                  <c:v>0.52527278420260426</c:v>
                </c:pt>
                <c:pt idx="5109">
                  <c:v>0.50996650405663391</c:v>
                </c:pt>
                <c:pt idx="5110">
                  <c:v>0.47855192267736207</c:v>
                </c:pt>
                <c:pt idx="5111">
                  <c:v>0.47227480272756578</c:v>
                </c:pt>
                <c:pt idx="5112">
                  <c:v>0.46001844591029351</c:v>
                </c:pt>
                <c:pt idx="5113">
                  <c:v>0.46859631361749815</c:v>
                </c:pt>
                <c:pt idx="5114">
                  <c:v>0.46205252153263504</c:v>
                </c:pt>
                <c:pt idx="5115">
                  <c:v>0.47402107917781688</c:v>
                </c:pt>
                <c:pt idx="5116">
                  <c:v>0.44350612429659847</c:v>
                </c:pt>
                <c:pt idx="5117">
                  <c:v>0.44606813680166224</c:v>
                </c:pt>
                <c:pt idx="5118">
                  <c:v>0.44887212383067998</c:v>
                </c:pt>
                <c:pt idx="5119">
                  <c:v>0.47193768361384053</c:v>
                </c:pt>
                <c:pt idx="5120">
                  <c:v>0.46272718812887759</c:v>
                </c:pt>
                <c:pt idx="5121">
                  <c:v>0.45901563415714197</c:v>
                </c:pt>
                <c:pt idx="5122">
                  <c:v>0.46088732338564381</c:v>
                </c:pt>
                <c:pt idx="5123">
                  <c:v>0.46692868409052901</c:v>
                </c:pt>
                <c:pt idx="5124">
                  <c:v>0.43176811313382152</c:v>
                </c:pt>
                <c:pt idx="5125">
                  <c:v>0.44022279541137538</c:v>
                </c:pt>
                <c:pt idx="5126">
                  <c:v>0.46672485778413803</c:v>
                </c:pt>
                <c:pt idx="5127">
                  <c:v>0.48541063863231282</c:v>
                </c:pt>
                <c:pt idx="5128">
                  <c:v>0.47967606286814496</c:v>
                </c:pt>
                <c:pt idx="5129">
                  <c:v>0.46727978213646398</c:v>
                </c:pt>
                <c:pt idx="5130">
                  <c:v>0.46512606586500671</c:v>
                </c:pt>
                <c:pt idx="5131">
                  <c:v>0.49851579559692238</c:v>
                </c:pt>
                <c:pt idx="5132">
                  <c:v>0.47999788307710195</c:v>
                </c:pt>
                <c:pt idx="5133">
                  <c:v>0.4952124541843641</c:v>
                </c:pt>
                <c:pt idx="5134">
                  <c:v>0.50979909923578925</c:v>
                </c:pt>
                <c:pt idx="5135">
                  <c:v>0.47172798715070524</c:v>
                </c:pt>
                <c:pt idx="5136">
                  <c:v>0.48770047243234882</c:v>
                </c:pt>
                <c:pt idx="5137">
                  <c:v>0.46907394390672513</c:v>
                </c:pt>
                <c:pt idx="5138">
                  <c:v>0.48199224358907838</c:v>
                </c:pt>
                <c:pt idx="5139">
                  <c:v>0.47478237235100479</c:v>
                </c:pt>
                <c:pt idx="5140">
                  <c:v>0.49441258851595193</c:v>
                </c:pt>
                <c:pt idx="5141">
                  <c:v>0.48610814535023239</c:v>
                </c:pt>
                <c:pt idx="5142">
                  <c:v>0.48562604153309802</c:v>
                </c:pt>
                <c:pt idx="5143">
                  <c:v>0.50185505888758386</c:v>
                </c:pt>
                <c:pt idx="5144">
                  <c:v>0.50152563852963006</c:v>
                </c:pt>
                <c:pt idx="5145">
                  <c:v>0.4938075766177486</c:v>
                </c:pt>
                <c:pt idx="5146">
                  <c:v>0.52620884020499459</c:v>
                </c:pt>
                <c:pt idx="5147">
                  <c:v>0.49096658637204832</c:v>
                </c:pt>
                <c:pt idx="5148">
                  <c:v>0.49970687280211001</c:v>
                </c:pt>
                <c:pt idx="5149">
                  <c:v>0.51486532227305193</c:v>
                </c:pt>
                <c:pt idx="5150">
                  <c:v>0.47954666335619872</c:v>
                </c:pt>
                <c:pt idx="5151">
                  <c:v>0.47067533865801664</c:v>
                </c:pt>
                <c:pt idx="5152">
                  <c:v>0.49082634122387925</c:v>
                </c:pt>
                <c:pt idx="5153">
                  <c:v>0.48069422352303931</c:v>
                </c:pt>
                <c:pt idx="5154">
                  <c:v>0.47986311302309775</c:v>
                </c:pt>
                <c:pt idx="5155">
                  <c:v>0.5136834839556822</c:v>
                </c:pt>
                <c:pt idx="5156">
                  <c:v>0.51563306131548314</c:v>
                </c:pt>
                <c:pt idx="5157">
                  <c:v>0.57080133825939627</c:v>
                </c:pt>
                <c:pt idx="5158">
                  <c:v>0.56555197282879488</c:v>
                </c:pt>
                <c:pt idx="5159">
                  <c:v>0.54913941776376141</c:v>
                </c:pt>
                <c:pt idx="5160">
                  <c:v>0.47892042398169832</c:v>
                </c:pt>
                <c:pt idx="5161">
                  <c:v>0.52785807104951354</c:v>
                </c:pt>
                <c:pt idx="5162">
                  <c:v>0.55129809033299093</c:v>
                </c:pt>
                <c:pt idx="5163">
                  <c:v>0.50918194999998001</c:v>
                </c:pt>
                <c:pt idx="5164">
                  <c:v>0.56341059581566155</c:v>
                </c:pt>
                <c:pt idx="5165">
                  <c:v>0.53833188911375107</c:v>
                </c:pt>
                <c:pt idx="5166">
                  <c:v>0.53511137403755882</c:v>
                </c:pt>
                <c:pt idx="5167">
                  <c:v>0.52796985773281824</c:v>
                </c:pt>
                <c:pt idx="5168">
                  <c:v>0.50920427026203263</c:v>
                </c:pt>
                <c:pt idx="5169">
                  <c:v>0.53095438141946238</c:v>
                </c:pt>
                <c:pt idx="5170">
                  <c:v>0.55372298754502003</c:v>
                </c:pt>
                <c:pt idx="5171">
                  <c:v>0.58204539957473123</c:v>
                </c:pt>
                <c:pt idx="5172">
                  <c:v>0.57498913284939168</c:v>
                </c:pt>
                <c:pt idx="5173">
                  <c:v>0.56539854003122614</c:v>
                </c:pt>
                <c:pt idx="5174">
                  <c:v>0.55669849325554199</c:v>
                </c:pt>
                <c:pt idx="5175">
                  <c:v>0.56318564094420209</c:v>
                </c:pt>
                <c:pt idx="5176">
                  <c:v>0.58093523447922224</c:v>
                </c:pt>
                <c:pt idx="5177">
                  <c:v>0.62226688136895669</c:v>
                </c:pt>
                <c:pt idx="5178">
                  <c:v>0.61467484671983719</c:v>
                </c:pt>
                <c:pt idx="5179">
                  <c:v>0.60948993122968875</c:v>
                </c:pt>
                <c:pt idx="5180">
                  <c:v>0.47974700752539928</c:v>
                </c:pt>
                <c:pt idx="5181">
                  <c:v>0.56150601958829349</c:v>
                </c:pt>
                <c:pt idx="5182">
                  <c:v>0.57303890108211586</c:v>
                </c:pt>
                <c:pt idx="5183">
                  <c:v>0.54044247677905055</c:v>
                </c:pt>
                <c:pt idx="5184">
                  <c:v>0.50971517117419163</c:v>
                </c:pt>
                <c:pt idx="5185">
                  <c:v>0.54594830990675647</c:v>
                </c:pt>
                <c:pt idx="5186">
                  <c:v>0.52514734028606347</c:v>
                </c:pt>
                <c:pt idx="5187">
                  <c:v>0.56512567610178044</c:v>
                </c:pt>
                <c:pt idx="5188">
                  <c:v>0.57038939197668259</c:v>
                </c:pt>
                <c:pt idx="5189">
                  <c:v>0.56133099790548902</c:v>
                </c:pt>
                <c:pt idx="5190">
                  <c:v>0.57717147572410687</c:v>
                </c:pt>
                <c:pt idx="5191">
                  <c:v>0.53986714947930747</c:v>
                </c:pt>
                <c:pt idx="5192">
                  <c:v>0.55564899932957701</c:v>
                </c:pt>
                <c:pt idx="5193">
                  <c:v>0.53375973329328608</c:v>
                </c:pt>
                <c:pt idx="5194">
                  <c:v>0.58009880285395898</c:v>
                </c:pt>
                <c:pt idx="5195">
                  <c:v>0.54226745447251612</c:v>
                </c:pt>
                <c:pt idx="5196">
                  <c:v>0.53128880773616249</c:v>
                </c:pt>
                <c:pt idx="5197">
                  <c:v>0.5499795717615622</c:v>
                </c:pt>
                <c:pt idx="5198">
                  <c:v>0.53961887860886626</c:v>
                </c:pt>
                <c:pt idx="5199">
                  <c:v>0.54968912627043387</c:v>
                </c:pt>
                <c:pt idx="5200">
                  <c:v>0.5384637639615133</c:v>
                </c:pt>
                <c:pt idx="5201">
                  <c:v>0.56949036920357365</c:v>
                </c:pt>
                <c:pt idx="5202">
                  <c:v>0.548363126242568</c:v>
                </c:pt>
                <c:pt idx="5203">
                  <c:v>0.51752921312871769</c:v>
                </c:pt>
                <c:pt idx="5204">
                  <c:v>0.50449220288830054</c:v>
                </c:pt>
                <c:pt idx="5205">
                  <c:v>0.52372696213038261</c:v>
                </c:pt>
                <c:pt idx="5206">
                  <c:v>0.50744093579602145</c:v>
                </c:pt>
                <c:pt idx="5207">
                  <c:v>0.49925394656755878</c:v>
                </c:pt>
                <c:pt idx="5208">
                  <c:v>0.50475296032183259</c:v>
                </c:pt>
                <c:pt idx="5209">
                  <c:v>0.49902042394295071</c:v>
                </c:pt>
                <c:pt idx="5210">
                  <c:v>0.49667162264605391</c:v>
                </c:pt>
                <c:pt idx="5211">
                  <c:v>0.51057476640169941</c:v>
                </c:pt>
                <c:pt idx="5212">
                  <c:v>0.50452387173114865</c:v>
                </c:pt>
                <c:pt idx="5213">
                  <c:v>0.53229704652249643</c:v>
                </c:pt>
                <c:pt idx="5214">
                  <c:v>0.52771752415228246</c:v>
                </c:pt>
                <c:pt idx="5215">
                  <c:v>0.53021545550461779</c:v>
                </c:pt>
                <c:pt idx="5216">
                  <c:v>0.53121238283258865</c:v>
                </c:pt>
                <c:pt idx="5217">
                  <c:v>0.52202838988277966</c:v>
                </c:pt>
                <c:pt idx="5218">
                  <c:v>0.53742881001916198</c:v>
                </c:pt>
                <c:pt idx="5219">
                  <c:v>0.53619861186555184</c:v>
                </c:pt>
                <c:pt idx="5220">
                  <c:v>0.53562825894231425</c:v>
                </c:pt>
                <c:pt idx="5221">
                  <c:v>0.54234557143335338</c:v>
                </c:pt>
                <c:pt idx="5222">
                  <c:v>0.52544352667401484</c:v>
                </c:pt>
                <c:pt idx="5223">
                  <c:v>0.53748525239597356</c:v>
                </c:pt>
                <c:pt idx="5224">
                  <c:v>0.52367039360079282</c:v>
                </c:pt>
                <c:pt idx="5225">
                  <c:v>0.52895074865823255</c:v>
                </c:pt>
                <c:pt idx="5226">
                  <c:v>0.52649332120464842</c:v>
                </c:pt>
                <c:pt idx="5227">
                  <c:v>0.52617224870589607</c:v>
                </c:pt>
                <c:pt idx="5228">
                  <c:v>0.52293810927857687</c:v>
                </c:pt>
                <c:pt idx="5229">
                  <c:v>0.52173469781660353</c:v>
                </c:pt>
                <c:pt idx="5230">
                  <c:v>0.53198955141255022</c:v>
                </c:pt>
                <c:pt idx="5231">
                  <c:v>0.51137768154627905</c:v>
                </c:pt>
                <c:pt idx="5232">
                  <c:v>0.51074240847791774</c:v>
                </c:pt>
                <c:pt idx="5233">
                  <c:v>0.51861986849103858</c:v>
                </c:pt>
                <c:pt idx="5234">
                  <c:v>0.50433967079544606</c:v>
                </c:pt>
                <c:pt idx="5235">
                  <c:v>0.50709316389988601</c:v>
                </c:pt>
                <c:pt idx="5236">
                  <c:v>0.50974310423382208</c:v>
                </c:pt>
                <c:pt idx="5237">
                  <c:v>0.51709173398628183</c:v>
                </c:pt>
                <c:pt idx="5238">
                  <c:v>0.52742778448583072</c:v>
                </c:pt>
                <c:pt idx="5239">
                  <c:v>0.53200613696031573</c:v>
                </c:pt>
                <c:pt idx="5240">
                  <c:v>0.53816777535659732</c:v>
                </c:pt>
                <c:pt idx="5241">
                  <c:v>0.53585416326948054</c:v>
                </c:pt>
                <c:pt idx="5242">
                  <c:v>0.53142858705958806</c:v>
                </c:pt>
                <c:pt idx="5243">
                  <c:v>0.52477883367388767</c:v>
                </c:pt>
                <c:pt idx="5244">
                  <c:v>0.52749856170287013</c:v>
                </c:pt>
                <c:pt idx="5245">
                  <c:v>0.52485056266855623</c:v>
                </c:pt>
                <c:pt idx="5246">
                  <c:v>0.54233747383661002</c:v>
                </c:pt>
                <c:pt idx="5247">
                  <c:v>0.55084937810871959</c:v>
                </c:pt>
                <c:pt idx="5248">
                  <c:v>0.53202807994246004</c:v>
                </c:pt>
                <c:pt idx="5249">
                  <c:v>0.54652662389710072</c:v>
                </c:pt>
                <c:pt idx="5250">
                  <c:v>0.54993268751346636</c:v>
                </c:pt>
                <c:pt idx="5251">
                  <c:v>0.54538357525919801</c:v>
                </c:pt>
                <c:pt idx="5252">
                  <c:v>0.54721197267390054</c:v>
                </c:pt>
                <c:pt idx="5253">
                  <c:v>0.53106882613436024</c:v>
                </c:pt>
                <c:pt idx="5254">
                  <c:v>0.50684313633935096</c:v>
                </c:pt>
                <c:pt idx="5255">
                  <c:v>0.48973143445944373</c:v>
                </c:pt>
                <c:pt idx="5256">
                  <c:v>0.46870377827120518</c:v>
                </c:pt>
                <c:pt idx="5257">
                  <c:v>0.4645986289846154</c:v>
                </c:pt>
                <c:pt idx="5258">
                  <c:v>0.47726194334147287</c:v>
                </c:pt>
                <c:pt idx="5259">
                  <c:v>0.46559845785151804</c:v>
                </c:pt>
                <c:pt idx="5260">
                  <c:v>0.48068517796926041</c:v>
                </c:pt>
                <c:pt idx="5261">
                  <c:v>0.44232295574557451</c:v>
                </c:pt>
                <c:pt idx="5262">
                  <c:v>0.46065132195498976</c:v>
                </c:pt>
                <c:pt idx="5263">
                  <c:v>0.45508586465879941</c:v>
                </c:pt>
                <c:pt idx="5264">
                  <c:v>0.48985460175284229</c:v>
                </c:pt>
                <c:pt idx="5265">
                  <c:v>0.48374543979173729</c:v>
                </c:pt>
                <c:pt idx="5266">
                  <c:v>0.46607226700500876</c:v>
                </c:pt>
                <c:pt idx="5267">
                  <c:v>0.46885636781506729</c:v>
                </c:pt>
                <c:pt idx="5268">
                  <c:v>0.47623206808751195</c:v>
                </c:pt>
                <c:pt idx="5269">
                  <c:v>0.44304367206679995</c:v>
                </c:pt>
                <c:pt idx="5270">
                  <c:v>0.45622448472964755</c:v>
                </c:pt>
                <c:pt idx="5271">
                  <c:v>0.50316574812912784</c:v>
                </c:pt>
                <c:pt idx="5272">
                  <c:v>0.49501009049583106</c:v>
                </c:pt>
                <c:pt idx="5273">
                  <c:v>0.50794164312939372</c:v>
                </c:pt>
                <c:pt idx="5274">
                  <c:v>0.48899535863911969</c:v>
                </c:pt>
                <c:pt idx="5275">
                  <c:v>0.50084932531841497</c:v>
                </c:pt>
                <c:pt idx="5276">
                  <c:v>0.52028500889966067</c:v>
                </c:pt>
                <c:pt idx="5277">
                  <c:v>0.52664304801074191</c:v>
                </c:pt>
                <c:pt idx="5278">
                  <c:v>0.52409597220523629</c:v>
                </c:pt>
                <c:pt idx="5279">
                  <c:v>0.54090319042815949</c:v>
                </c:pt>
                <c:pt idx="5280">
                  <c:v>0.51119984520048656</c:v>
                </c:pt>
                <c:pt idx="5281">
                  <c:v>0.53416665757671877</c:v>
                </c:pt>
                <c:pt idx="5282">
                  <c:v>0.51094293112911826</c:v>
                </c:pt>
                <c:pt idx="5283">
                  <c:v>0.51377449863032754</c:v>
                </c:pt>
                <c:pt idx="5284">
                  <c:v>0.53162221057914982</c:v>
                </c:pt>
                <c:pt idx="5285">
                  <c:v>0.52979621908700669</c:v>
                </c:pt>
                <c:pt idx="5286">
                  <c:v>0.52297275985895875</c:v>
                </c:pt>
                <c:pt idx="5287">
                  <c:v>0.53585201355815615</c:v>
                </c:pt>
                <c:pt idx="5288">
                  <c:v>0.55492747320076496</c:v>
                </c:pt>
                <c:pt idx="5289">
                  <c:v>0.54201382011598254</c:v>
                </c:pt>
                <c:pt idx="5290">
                  <c:v>0.54399222232377675</c:v>
                </c:pt>
                <c:pt idx="5291">
                  <c:v>0.57148778604008665</c:v>
                </c:pt>
                <c:pt idx="5292">
                  <c:v>0.52169001937066106</c:v>
                </c:pt>
                <c:pt idx="5293">
                  <c:v>0.53126810532788005</c:v>
                </c:pt>
                <c:pt idx="5294">
                  <c:v>0.55445790421347685</c:v>
                </c:pt>
                <c:pt idx="5295">
                  <c:v>0.52929442356454803</c:v>
                </c:pt>
                <c:pt idx="5296">
                  <c:v>0.51926580257252775</c:v>
                </c:pt>
                <c:pt idx="5297">
                  <c:v>0.52213189870174026</c:v>
                </c:pt>
                <c:pt idx="5298">
                  <c:v>0.51169450204304734</c:v>
                </c:pt>
                <c:pt idx="5299">
                  <c:v>0.52418236286453002</c:v>
                </c:pt>
                <c:pt idx="5300">
                  <c:v>0.5598217917407815</c:v>
                </c:pt>
                <c:pt idx="5301">
                  <c:v>0.55319087962418956</c:v>
                </c:pt>
                <c:pt idx="5302">
                  <c:v>0.63606593431751157</c:v>
                </c:pt>
                <c:pt idx="5303">
                  <c:v>0.60141284492425495</c:v>
                </c:pt>
                <c:pt idx="5304">
                  <c:v>0.56859640052425697</c:v>
                </c:pt>
                <c:pt idx="5305">
                  <c:v>0.49463970274561864</c:v>
                </c:pt>
                <c:pt idx="5306">
                  <c:v>0.52514202626239093</c:v>
                </c:pt>
                <c:pt idx="5307">
                  <c:v>0.53654543879207262</c:v>
                </c:pt>
                <c:pt idx="5308">
                  <c:v>0.53929858633556516</c:v>
                </c:pt>
                <c:pt idx="5309">
                  <c:v>0.49084920427265716</c:v>
                </c:pt>
                <c:pt idx="5310">
                  <c:v>0.48282015067178141</c:v>
                </c:pt>
                <c:pt idx="5311">
                  <c:v>0.46279078185262723</c:v>
                </c:pt>
                <c:pt idx="5312">
                  <c:v>0.53218879124401985</c:v>
                </c:pt>
                <c:pt idx="5313">
                  <c:v>0.5100744036741186</c:v>
                </c:pt>
                <c:pt idx="5314">
                  <c:v>0.50303075201916647</c:v>
                </c:pt>
                <c:pt idx="5315">
                  <c:v>0.53939091092312075</c:v>
                </c:pt>
                <c:pt idx="5316">
                  <c:v>0.53159015882167016</c:v>
                </c:pt>
                <c:pt idx="5317">
                  <c:v>0.52546373150772785</c:v>
                </c:pt>
                <c:pt idx="5318">
                  <c:v>0.57652401498173067</c:v>
                </c:pt>
                <c:pt idx="5319">
                  <c:v>0.59465768743000058</c:v>
                </c:pt>
                <c:pt idx="5320">
                  <c:v>0.52979916835646612</c:v>
                </c:pt>
                <c:pt idx="5321">
                  <c:v>0.57020891839528542</c:v>
                </c:pt>
                <c:pt idx="5322">
                  <c:v>0.56957368594512237</c:v>
                </c:pt>
                <c:pt idx="5323">
                  <c:v>0.54491508469947514</c:v>
                </c:pt>
                <c:pt idx="5324">
                  <c:v>0.53975550154592666</c:v>
                </c:pt>
                <c:pt idx="5325">
                  <c:v>0.54939309327265318</c:v>
                </c:pt>
                <c:pt idx="5326">
                  <c:v>0.52089876337694574</c:v>
                </c:pt>
                <c:pt idx="5327">
                  <c:v>0.55243653060021503</c:v>
                </c:pt>
                <c:pt idx="5328">
                  <c:v>0.53989333434528786</c:v>
                </c:pt>
                <c:pt idx="5329">
                  <c:v>0.61637204810293122</c:v>
                </c:pt>
                <c:pt idx="5330">
                  <c:v>0.56637054557931765</c:v>
                </c:pt>
                <c:pt idx="5331">
                  <c:v>0.54139525380961795</c:v>
                </c:pt>
                <c:pt idx="5332">
                  <c:v>0.56190444344338009</c:v>
                </c:pt>
                <c:pt idx="5333">
                  <c:v>0.54168094180936532</c:v>
                </c:pt>
                <c:pt idx="5334">
                  <c:v>0.53534134541722445</c:v>
                </c:pt>
                <c:pt idx="5335">
                  <c:v>0.5567424835315804</c:v>
                </c:pt>
                <c:pt idx="5336">
                  <c:v>0.57376922225537252</c:v>
                </c:pt>
                <c:pt idx="5337">
                  <c:v>0.54231193427323754</c:v>
                </c:pt>
                <c:pt idx="5338">
                  <c:v>0.53654190371675359</c:v>
                </c:pt>
                <c:pt idx="5339">
                  <c:v>0.53100809107476521</c:v>
                </c:pt>
                <c:pt idx="5340">
                  <c:v>0.54895553608332281</c:v>
                </c:pt>
                <c:pt idx="5341">
                  <c:v>0.55168745308938494</c:v>
                </c:pt>
                <c:pt idx="5342">
                  <c:v>0.55277075589634617</c:v>
                </c:pt>
                <c:pt idx="5343">
                  <c:v>0.54741469463767178</c:v>
                </c:pt>
                <c:pt idx="5344">
                  <c:v>0.51891593678097547</c:v>
                </c:pt>
                <c:pt idx="5345">
                  <c:v>0.52699423188329975</c:v>
                </c:pt>
                <c:pt idx="5346">
                  <c:v>0.51858684258985355</c:v>
                </c:pt>
                <c:pt idx="5347">
                  <c:v>0.54598599043654428</c:v>
                </c:pt>
                <c:pt idx="5348">
                  <c:v>0.51868420257692216</c:v>
                </c:pt>
                <c:pt idx="5349">
                  <c:v>0.55414982955086844</c:v>
                </c:pt>
                <c:pt idx="5350">
                  <c:v>0.54015910282096702</c:v>
                </c:pt>
                <c:pt idx="5351">
                  <c:v>0.52198295829857699</c:v>
                </c:pt>
                <c:pt idx="5352">
                  <c:v>0.53534007938838468</c:v>
                </c:pt>
                <c:pt idx="5353">
                  <c:v>0.5374540084152184</c:v>
                </c:pt>
                <c:pt idx="5354">
                  <c:v>0.53859597574982487</c:v>
                </c:pt>
                <c:pt idx="5355">
                  <c:v>0.54045035954156329</c:v>
                </c:pt>
                <c:pt idx="5356">
                  <c:v>0.5093967685211771</c:v>
                </c:pt>
                <c:pt idx="5357">
                  <c:v>0.50683164512710488</c:v>
                </c:pt>
                <c:pt idx="5358">
                  <c:v>0.52175925594036232</c:v>
                </c:pt>
                <c:pt idx="5359">
                  <c:v>0.53849920871279</c:v>
                </c:pt>
                <c:pt idx="5360">
                  <c:v>0.51881415730185365</c:v>
                </c:pt>
                <c:pt idx="5361">
                  <c:v>0.53355663657901309</c:v>
                </c:pt>
                <c:pt idx="5362">
                  <c:v>0.50727349982081693</c:v>
                </c:pt>
                <c:pt idx="5363">
                  <c:v>0.51077148129395156</c:v>
                </c:pt>
                <c:pt idx="5364">
                  <c:v>0.51166214853690961</c:v>
                </c:pt>
                <c:pt idx="5365">
                  <c:v>0.52122349527353007</c:v>
                </c:pt>
                <c:pt idx="5366">
                  <c:v>0.5385086350213717</c:v>
                </c:pt>
                <c:pt idx="5367">
                  <c:v>0.53710538481878645</c:v>
                </c:pt>
                <c:pt idx="5368">
                  <c:v>0.52763930833537653</c:v>
                </c:pt>
                <c:pt idx="5369">
                  <c:v>0.51944417556122668</c:v>
                </c:pt>
                <c:pt idx="5370">
                  <c:v>0.50572923925598934</c:v>
                </c:pt>
                <c:pt idx="5371">
                  <c:v>0.5187911418391512</c:v>
                </c:pt>
                <c:pt idx="5372">
                  <c:v>0.51580604611065106</c:v>
                </c:pt>
                <c:pt idx="5373">
                  <c:v>0.51861486871513296</c:v>
                </c:pt>
                <c:pt idx="5374">
                  <c:v>0.51832675810544304</c:v>
                </c:pt>
                <c:pt idx="5375">
                  <c:v>0.50971141081741855</c:v>
                </c:pt>
                <c:pt idx="5376">
                  <c:v>0.50772799225897625</c:v>
                </c:pt>
                <c:pt idx="5377">
                  <c:v>0.51906159510337413</c:v>
                </c:pt>
                <c:pt idx="5378">
                  <c:v>0.52341294624878365</c:v>
                </c:pt>
                <c:pt idx="5379">
                  <c:v>0.51549088670165011</c:v>
                </c:pt>
                <c:pt idx="5380">
                  <c:v>0.49439728567518149</c:v>
                </c:pt>
                <c:pt idx="5381">
                  <c:v>0.51736931710511669</c:v>
                </c:pt>
                <c:pt idx="5382">
                  <c:v>0.49671258490686299</c:v>
                </c:pt>
                <c:pt idx="5383">
                  <c:v>0.53963066246398739</c:v>
                </c:pt>
                <c:pt idx="5384">
                  <c:v>0.50556059957596322</c:v>
                </c:pt>
                <c:pt idx="5385">
                  <c:v>0.50033529165694746</c:v>
                </c:pt>
                <c:pt idx="5386">
                  <c:v>0.48064841949491627</c:v>
                </c:pt>
                <c:pt idx="5387">
                  <c:v>0.48357474574831488</c:v>
                </c:pt>
                <c:pt idx="5388">
                  <c:v>0.48610743634975956</c:v>
                </c:pt>
                <c:pt idx="5389">
                  <c:v>0.50261090510832485</c:v>
                </c:pt>
                <c:pt idx="5390">
                  <c:v>0.51367350311596827</c:v>
                </c:pt>
                <c:pt idx="5391">
                  <c:v>0.50275872332265259</c:v>
                </c:pt>
                <c:pt idx="5392">
                  <c:v>0.49221976799827061</c:v>
                </c:pt>
                <c:pt idx="5393">
                  <c:v>0.48923700786374147</c:v>
                </c:pt>
                <c:pt idx="5394">
                  <c:v>0.50744120580191032</c:v>
                </c:pt>
                <c:pt idx="5395">
                  <c:v>0.48660402027475708</c:v>
                </c:pt>
                <c:pt idx="5396">
                  <c:v>0.48300613748287791</c:v>
                </c:pt>
                <c:pt idx="5397">
                  <c:v>0.50551680219584427</c:v>
                </c:pt>
                <c:pt idx="5398">
                  <c:v>0.50415035862771762</c:v>
                </c:pt>
                <c:pt idx="5399">
                  <c:v>0.51776591472944233</c:v>
                </c:pt>
                <c:pt idx="5400">
                  <c:v>0.50430526890072092</c:v>
                </c:pt>
                <c:pt idx="5401">
                  <c:v>0.48971287197557467</c:v>
                </c:pt>
                <c:pt idx="5402">
                  <c:v>0.50584537818670949</c:v>
                </c:pt>
                <c:pt idx="5403">
                  <c:v>0.49941735147690564</c:v>
                </c:pt>
                <c:pt idx="5404">
                  <c:v>0.49060410018265732</c:v>
                </c:pt>
                <c:pt idx="5405">
                  <c:v>0.48407152555530109</c:v>
                </c:pt>
                <c:pt idx="5406">
                  <c:v>0.49151268998565401</c:v>
                </c:pt>
                <c:pt idx="5407">
                  <c:v>0.49055132928992906</c:v>
                </c:pt>
                <c:pt idx="5408">
                  <c:v>0.48071748265339531</c:v>
                </c:pt>
                <c:pt idx="5409">
                  <c:v>0.50613416790733645</c:v>
                </c:pt>
                <c:pt idx="5410">
                  <c:v>0.49291550639237686</c:v>
                </c:pt>
                <c:pt idx="5411">
                  <c:v>0.54535190464130234</c:v>
                </c:pt>
                <c:pt idx="5412">
                  <c:v>0.525363863843892</c:v>
                </c:pt>
                <c:pt idx="5413">
                  <c:v>0.50922121138190934</c:v>
                </c:pt>
                <c:pt idx="5414">
                  <c:v>0.50717989658833484</c:v>
                </c:pt>
                <c:pt idx="5415">
                  <c:v>0.50458856141773556</c:v>
                </c:pt>
                <c:pt idx="5416">
                  <c:v>0.4811258937212447</c:v>
                </c:pt>
                <c:pt idx="5417">
                  <c:v>0.4952124541843641</c:v>
                </c:pt>
                <c:pt idx="5418">
                  <c:v>0.51709886387533921</c:v>
                </c:pt>
                <c:pt idx="5419">
                  <c:v>0.53383507606611569</c:v>
                </c:pt>
                <c:pt idx="5420">
                  <c:v>0.51601351048245203</c:v>
                </c:pt>
                <c:pt idx="5421">
                  <c:v>0.52002266102008121</c:v>
                </c:pt>
                <c:pt idx="5422">
                  <c:v>0.52567051796775455</c:v>
                </c:pt>
                <c:pt idx="5423">
                  <c:v>0.49976981058605507</c:v>
                </c:pt>
                <c:pt idx="5424">
                  <c:v>0.53540135095115271</c:v>
                </c:pt>
                <c:pt idx="5425">
                  <c:v>0.51513796535763745</c:v>
                </c:pt>
                <c:pt idx="5426">
                  <c:v>0.51673350447138489</c:v>
                </c:pt>
                <c:pt idx="5427">
                  <c:v>0.52902667335754161</c:v>
                </c:pt>
                <c:pt idx="5428">
                  <c:v>0.49968570826660297</c:v>
                </c:pt>
                <c:pt idx="5429">
                  <c:v>0.51502348937545206</c:v>
                </c:pt>
                <c:pt idx="5430">
                  <c:v>0.53567987566268516</c:v>
                </c:pt>
                <c:pt idx="5431">
                  <c:v>0.51507310376094473</c:v>
                </c:pt>
                <c:pt idx="5432">
                  <c:v>0.53627365908747127</c:v>
                </c:pt>
                <c:pt idx="5433">
                  <c:v>0.54503890940754973</c:v>
                </c:pt>
                <c:pt idx="5434">
                  <c:v>0.5215852290777494</c:v>
                </c:pt>
                <c:pt idx="5435">
                  <c:v>0.53679963626794636</c:v>
                </c:pt>
                <c:pt idx="5436">
                  <c:v>0.55654491418556629</c:v>
                </c:pt>
                <c:pt idx="5437">
                  <c:v>0.529405584501347</c:v>
                </c:pt>
                <c:pt idx="5438">
                  <c:v>0.55584009297298698</c:v>
                </c:pt>
                <c:pt idx="5439">
                  <c:v>0.52950670853425341</c:v>
                </c:pt>
                <c:pt idx="5440">
                  <c:v>0.49442789081752908</c:v>
                </c:pt>
                <c:pt idx="5441">
                  <c:v>0.51405022052014993</c:v>
                </c:pt>
                <c:pt idx="5442">
                  <c:v>0.50987334526293793</c:v>
                </c:pt>
                <c:pt idx="5443">
                  <c:v>0.522695738462018</c:v>
                </c:pt>
                <c:pt idx="5444">
                  <c:v>0.51640671906336177</c:v>
                </c:pt>
                <c:pt idx="5445">
                  <c:v>0.53101090425459208</c:v>
                </c:pt>
                <c:pt idx="5446">
                  <c:v>0.5055921906096863</c:v>
                </c:pt>
                <c:pt idx="5447">
                  <c:v>0.47035285565647283</c:v>
                </c:pt>
                <c:pt idx="5448">
                  <c:v>0.55947558629149241</c:v>
                </c:pt>
                <c:pt idx="5449">
                  <c:v>0.56006404320781644</c:v>
                </c:pt>
                <c:pt idx="5450">
                  <c:v>0.55447474385288109</c:v>
                </c:pt>
                <c:pt idx="5451">
                  <c:v>0.56714616312619437</c:v>
                </c:pt>
                <c:pt idx="5452">
                  <c:v>0.58411187288847588</c:v>
                </c:pt>
                <c:pt idx="5453">
                  <c:v>0.55060865293078975</c:v>
                </c:pt>
                <c:pt idx="5454">
                  <c:v>0.52925372589898301</c:v>
                </c:pt>
                <c:pt idx="5455">
                  <c:v>0.5013661739148787</c:v>
                </c:pt>
                <c:pt idx="5456">
                  <c:v>0.52245518854426887</c:v>
                </c:pt>
                <c:pt idx="5457">
                  <c:v>0.56959111958926656</c:v>
                </c:pt>
                <c:pt idx="5458">
                  <c:v>0.56828833957174785</c:v>
                </c:pt>
                <c:pt idx="5459">
                  <c:v>0.55482749924618646</c:v>
                </c:pt>
                <c:pt idx="5460">
                  <c:v>0.56634201941400253</c:v>
                </c:pt>
                <c:pt idx="5461">
                  <c:v>0.58254116498023156</c:v>
                </c:pt>
                <c:pt idx="5462">
                  <c:v>0.58873948418753375</c:v>
                </c:pt>
                <c:pt idx="5463">
                  <c:v>0.64864879397306008</c:v>
                </c:pt>
                <c:pt idx="5464">
                  <c:v>0.60986503867062314</c:v>
                </c:pt>
                <c:pt idx="5465">
                  <c:v>0.5764574537400593</c:v>
                </c:pt>
                <c:pt idx="5466">
                  <c:v>0.65539009894731326</c:v>
                </c:pt>
                <c:pt idx="5467">
                  <c:v>0.56269829430336649</c:v>
                </c:pt>
                <c:pt idx="5468">
                  <c:v>0.56283771084934953</c:v>
                </c:pt>
                <c:pt idx="5469">
                  <c:v>0.58464710393840869</c:v>
                </c:pt>
                <c:pt idx="5470">
                  <c:v>0.57383700779565272</c:v>
                </c:pt>
                <c:pt idx="5471">
                  <c:v>0.57845456692035202</c:v>
                </c:pt>
                <c:pt idx="5472">
                  <c:v>0.56784592639476761</c:v>
                </c:pt>
                <c:pt idx="5473">
                  <c:v>0.60830069823790367</c:v>
                </c:pt>
                <c:pt idx="5474">
                  <c:v>0.6339652869681931</c:v>
                </c:pt>
                <c:pt idx="5475">
                  <c:v>0.57889478409054052</c:v>
                </c:pt>
                <c:pt idx="5476">
                  <c:v>0.57500681266655118</c:v>
                </c:pt>
                <c:pt idx="5477">
                  <c:v>0.57754384312101736</c:v>
                </c:pt>
                <c:pt idx="5478">
                  <c:v>0.57475922970663662</c:v>
                </c:pt>
                <c:pt idx="5479">
                  <c:v>0.56266738602470989</c:v>
                </c:pt>
                <c:pt idx="5480">
                  <c:v>0.57927860723135371</c:v>
                </c:pt>
                <c:pt idx="5481">
                  <c:v>0.59126400263470047</c:v>
                </c:pt>
                <c:pt idx="5482">
                  <c:v>0.5682751957831228</c:v>
                </c:pt>
                <c:pt idx="5483">
                  <c:v>0.55957689072092287</c:v>
                </c:pt>
                <c:pt idx="5484">
                  <c:v>0.57188554089995414</c:v>
                </c:pt>
                <c:pt idx="5485">
                  <c:v>0.58402530094667404</c:v>
                </c:pt>
                <c:pt idx="5486">
                  <c:v>0.59207033665640918</c:v>
                </c:pt>
                <c:pt idx="5487">
                  <c:v>0.59382970262228951</c:v>
                </c:pt>
                <c:pt idx="5488">
                  <c:v>0.56896611353146698</c:v>
                </c:pt>
                <c:pt idx="5489">
                  <c:v>0.56108551490692116</c:v>
                </c:pt>
                <c:pt idx="5490">
                  <c:v>0.57470546405459921</c:v>
                </c:pt>
                <c:pt idx="5491">
                  <c:v>0.57496995001144902</c:v>
                </c:pt>
                <c:pt idx="5492">
                  <c:v>0.55328734372073063</c:v>
                </c:pt>
                <c:pt idx="5493">
                  <c:v>0.58726477044229097</c:v>
                </c:pt>
                <c:pt idx="5494">
                  <c:v>0.58809335731782186</c:v>
                </c:pt>
                <c:pt idx="5495">
                  <c:v>0.55715661727380161</c:v>
                </c:pt>
                <c:pt idx="5496">
                  <c:v>0.55819431105203954</c:v>
                </c:pt>
                <c:pt idx="5497">
                  <c:v>0.5802830907838411</c:v>
                </c:pt>
                <c:pt idx="5498">
                  <c:v>0.58503931587163638</c:v>
                </c:pt>
                <c:pt idx="5499">
                  <c:v>0.58014345475357387</c:v>
                </c:pt>
                <c:pt idx="5500">
                  <c:v>0.55129601572436326</c:v>
                </c:pt>
                <c:pt idx="5501">
                  <c:v>0.52661579356554711</c:v>
                </c:pt>
                <c:pt idx="5502">
                  <c:v>0.5613568740822461</c:v>
                </c:pt>
                <c:pt idx="5503">
                  <c:v>0.54842221933454849</c:v>
                </c:pt>
                <c:pt idx="5504">
                  <c:v>0.53960408565726159</c:v>
                </c:pt>
                <c:pt idx="5505">
                  <c:v>0.55230469213004918</c:v>
                </c:pt>
                <c:pt idx="5506">
                  <c:v>0.55092218035698137</c:v>
                </c:pt>
                <c:pt idx="5507">
                  <c:v>0.53618534459357714</c:v>
                </c:pt>
                <c:pt idx="5508">
                  <c:v>0.52060941404216921</c:v>
                </c:pt>
                <c:pt idx="5509">
                  <c:v>0.54483383651047801</c:v>
                </c:pt>
                <c:pt idx="5510">
                  <c:v>0.53167162439115223</c:v>
                </c:pt>
                <c:pt idx="5511">
                  <c:v>0.56225752453615296</c:v>
                </c:pt>
                <c:pt idx="5512">
                  <c:v>0.53219784542855464</c:v>
                </c:pt>
                <c:pt idx="5513">
                  <c:v>0.54447063480310531</c:v>
                </c:pt>
                <c:pt idx="5514">
                  <c:v>0.53600170919773948</c:v>
                </c:pt>
                <c:pt idx="5515">
                  <c:v>0.52366155003823733</c:v>
                </c:pt>
                <c:pt idx="5516">
                  <c:v>0.52228261458974123</c:v>
                </c:pt>
                <c:pt idx="5517">
                  <c:v>0.52121185517536983</c:v>
                </c:pt>
                <c:pt idx="5518">
                  <c:v>0.53762960063843457</c:v>
                </c:pt>
                <c:pt idx="5519">
                  <c:v>0.51892264234321406</c:v>
                </c:pt>
                <c:pt idx="5520">
                  <c:v>0.51582074531726196</c:v>
                </c:pt>
                <c:pt idx="5521">
                  <c:v>0.52237588869691232</c:v>
                </c:pt>
                <c:pt idx="5522">
                  <c:v>0.54448848599600386</c:v>
                </c:pt>
                <c:pt idx="5523">
                  <c:v>0.4922336098061475</c:v>
                </c:pt>
                <c:pt idx="5524">
                  <c:v>0.52123134235466217</c:v>
                </c:pt>
                <c:pt idx="5525">
                  <c:v>0.52554376449690043</c:v>
                </c:pt>
                <c:pt idx="5526">
                  <c:v>0.50872049730440405</c:v>
                </c:pt>
                <c:pt idx="5527">
                  <c:v>0.53979397382806071</c:v>
                </c:pt>
                <c:pt idx="5528">
                  <c:v>0.5274495732368899</c:v>
                </c:pt>
                <c:pt idx="5529">
                  <c:v>0.51980778745967293</c:v>
                </c:pt>
                <c:pt idx="5530">
                  <c:v>0.49615497288012106</c:v>
                </c:pt>
                <c:pt idx="5531">
                  <c:v>0.48659453041403289</c:v>
                </c:pt>
                <c:pt idx="5532">
                  <c:v>0.49733609023882136</c:v>
                </c:pt>
                <c:pt idx="5533">
                  <c:v>0.50951528994656647</c:v>
                </c:pt>
                <c:pt idx="5534">
                  <c:v>0.51496219319047831</c:v>
                </c:pt>
                <c:pt idx="5535">
                  <c:v>0.52699371564487263</c:v>
                </c:pt>
                <c:pt idx="5536">
                  <c:v>0.50585865697263299</c:v>
                </c:pt>
                <c:pt idx="5537">
                  <c:v>0.49186952135689532</c:v>
                </c:pt>
                <c:pt idx="5538">
                  <c:v>0.51244250580263462</c:v>
                </c:pt>
                <c:pt idx="5539">
                  <c:v>0.50225309418827535</c:v>
                </c:pt>
                <c:pt idx="5540">
                  <c:v>0.47271214024618369</c:v>
                </c:pt>
                <c:pt idx="5541">
                  <c:v>0.51727073799699408</c:v>
                </c:pt>
                <c:pt idx="5542">
                  <c:v>0.5058808777061935</c:v>
                </c:pt>
                <c:pt idx="5543">
                  <c:v>0.52175141839216588</c:v>
                </c:pt>
                <c:pt idx="5544">
                  <c:v>0.51509485801411425</c:v>
                </c:pt>
                <c:pt idx="5545">
                  <c:v>0.48760933660918088</c:v>
                </c:pt>
                <c:pt idx="5546">
                  <c:v>0.51266959047109029</c:v>
                </c:pt>
                <c:pt idx="5547">
                  <c:v>0.50474182120464495</c:v>
                </c:pt>
                <c:pt idx="5548">
                  <c:v>0.49985032467055468</c:v>
                </c:pt>
                <c:pt idx="5549">
                  <c:v>0.48559055071390878</c:v>
                </c:pt>
                <c:pt idx="5550">
                  <c:v>0.48917097605986276</c:v>
                </c:pt>
                <c:pt idx="5551">
                  <c:v>0.48076026471428723</c:v>
                </c:pt>
                <c:pt idx="5552">
                  <c:v>0.4752468540381079</c:v>
                </c:pt>
                <c:pt idx="5553">
                  <c:v>0.51887556973833937</c:v>
                </c:pt>
                <c:pt idx="5554">
                  <c:v>0.50130168704644407</c:v>
                </c:pt>
                <c:pt idx="5555">
                  <c:v>0.55487930460405488</c:v>
                </c:pt>
                <c:pt idx="5556">
                  <c:v>0.53893172836740588</c:v>
                </c:pt>
                <c:pt idx="5557">
                  <c:v>0.52595638664164046</c:v>
                </c:pt>
                <c:pt idx="5558">
                  <c:v>0.52953827288986455</c:v>
                </c:pt>
                <c:pt idx="5559">
                  <c:v>0.54169578895290671</c:v>
                </c:pt>
                <c:pt idx="5560">
                  <c:v>0.51211848448599229</c:v>
                </c:pt>
                <c:pt idx="5561">
                  <c:v>0.5055386336402018</c:v>
                </c:pt>
                <c:pt idx="5562">
                  <c:v>0.5277036086944269</c:v>
                </c:pt>
                <c:pt idx="5563">
                  <c:v>0.5646541121141444</c:v>
                </c:pt>
                <c:pt idx="5564">
                  <c:v>0.54936612659883188</c:v>
                </c:pt>
                <c:pt idx="5565">
                  <c:v>0.5554882802968536</c:v>
                </c:pt>
                <c:pt idx="5566">
                  <c:v>0.58089339983709076</c:v>
                </c:pt>
                <c:pt idx="5567">
                  <c:v>0.55094318813278353</c:v>
                </c:pt>
                <c:pt idx="5568">
                  <c:v>0.55376521738663742</c:v>
                </c:pt>
                <c:pt idx="5569">
                  <c:v>0.56435318854894034</c:v>
                </c:pt>
                <c:pt idx="5570">
                  <c:v>0.56812060906345407</c:v>
                </c:pt>
                <c:pt idx="5571">
                  <c:v>0.57012759316635464</c:v>
                </c:pt>
                <c:pt idx="5572">
                  <c:v>0.56017597157065724</c:v>
                </c:pt>
                <c:pt idx="5573">
                  <c:v>0.54445067530887115</c:v>
                </c:pt>
                <c:pt idx="5574">
                  <c:v>0.55336411091387627</c:v>
                </c:pt>
                <c:pt idx="5575">
                  <c:v>0.5558294654462993</c:v>
                </c:pt>
                <c:pt idx="5576">
                  <c:v>0.56414696749584203</c:v>
                </c:pt>
                <c:pt idx="5577">
                  <c:v>0.59444117095448767</c:v>
                </c:pt>
                <c:pt idx="5578">
                  <c:v>0.5724021014522036</c:v>
                </c:pt>
                <c:pt idx="5579">
                  <c:v>0.57251252217956849</c:v>
                </c:pt>
                <c:pt idx="5580">
                  <c:v>0.59261194449172516</c:v>
                </c:pt>
                <c:pt idx="5581">
                  <c:v>0.58382900729848175</c:v>
                </c:pt>
                <c:pt idx="5582">
                  <c:v>0.57782658304646106</c:v>
                </c:pt>
                <c:pt idx="5583">
                  <c:v>0.57378069439825974</c:v>
                </c:pt>
                <c:pt idx="5584">
                  <c:v>0.53951356187646371</c:v>
                </c:pt>
                <c:pt idx="5585">
                  <c:v>0.51881849722385132</c:v>
                </c:pt>
                <c:pt idx="5586">
                  <c:v>0.53716918142036496</c:v>
                </c:pt>
                <c:pt idx="5587">
                  <c:v>0.56263885335341313</c:v>
                </c:pt>
                <c:pt idx="5588">
                  <c:v>0.55300116920376474</c:v>
                </c:pt>
                <c:pt idx="5589">
                  <c:v>0.58013991474494697</c:v>
                </c:pt>
                <c:pt idx="5590">
                  <c:v>0.54606480012199787</c:v>
                </c:pt>
                <c:pt idx="5591">
                  <c:v>0.55094587510057447</c:v>
                </c:pt>
                <c:pt idx="5592">
                  <c:v>0.54967785718563555</c:v>
                </c:pt>
                <c:pt idx="5593">
                  <c:v>0.5726137358877107</c:v>
                </c:pt>
                <c:pt idx="5594">
                  <c:v>0.54595918200172877</c:v>
                </c:pt>
                <c:pt idx="5595">
                  <c:v>0.55159709641383659</c:v>
                </c:pt>
                <c:pt idx="5596">
                  <c:v>0.5381097862449693</c:v>
                </c:pt>
                <c:pt idx="5597">
                  <c:v>0.50902944233649483</c:v>
                </c:pt>
                <c:pt idx="5598">
                  <c:v>0.74621464533042858</c:v>
                </c:pt>
                <c:pt idx="5599">
                  <c:v>0.49944045428071654</c:v>
                </c:pt>
                <c:pt idx="5600">
                  <c:v>0.55572873256371325</c:v>
                </c:pt>
                <c:pt idx="5601">
                  <c:v>0.56809348909112711</c:v>
                </c:pt>
                <c:pt idx="5602">
                  <c:v>0.54071991395196928</c:v>
                </c:pt>
                <c:pt idx="5603">
                  <c:v>0.55386943956486501</c:v>
                </c:pt>
                <c:pt idx="5604">
                  <c:v>0.53786214474035798</c:v>
                </c:pt>
                <c:pt idx="5605">
                  <c:v>0.56751617175230884</c:v>
                </c:pt>
                <c:pt idx="5606">
                  <c:v>0.57050709743355454</c:v>
                </c:pt>
                <c:pt idx="5607">
                  <c:v>0.57825527983466207</c:v>
                </c:pt>
                <c:pt idx="5608">
                  <c:v>0.58181715503251186</c:v>
                </c:pt>
                <c:pt idx="5609">
                  <c:v>0.52974441126190019</c:v>
                </c:pt>
                <c:pt idx="5610">
                  <c:v>0.58128161180926674</c:v>
                </c:pt>
                <c:pt idx="5611">
                  <c:v>0.56702165833428186</c:v>
                </c:pt>
                <c:pt idx="5612">
                  <c:v>0.54444621219088085</c:v>
                </c:pt>
                <c:pt idx="5613">
                  <c:v>0.56134208788431483</c:v>
                </c:pt>
                <c:pt idx="5614">
                  <c:v>0.57235292613560607</c:v>
                </c:pt>
                <c:pt idx="5615">
                  <c:v>0.57187751022817113</c:v>
                </c:pt>
                <c:pt idx="5616">
                  <c:v>0.57904615600170717</c:v>
                </c:pt>
                <c:pt idx="5617">
                  <c:v>0.56822496406879963</c:v>
                </c:pt>
                <c:pt idx="5618">
                  <c:v>0.54342580655122064</c:v>
                </c:pt>
                <c:pt idx="5619">
                  <c:v>0.5590634192748043</c:v>
                </c:pt>
                <c:pt idx="5620">
                  <c:v>0.55378718013508466</c:v>
                </c:pt>
                <c:pt idx="5621">
                  <c:v>0.54592335247745716</c:v>
                </c:pt>
                <c:pt idx="5622">
                  <c:v>0.53788845076966341</c:v>
                </c:pt>
                <c:pt idx="5623">
                  <c:v>0.56196410406348807</c:v>
                </c:pt>
                <c:pt idx="5624">
                  <c:v>0.56267594546057143</c:v>
                </c:pt>
                <c:pt idx="5625">
                  <c:v>0.56864060916442583</c:v>
                </c:pt>
                <c:pt idx="5626">
                  <c:v>0.55846112015547211</c:v>
                </c:pt>
                <c:pt idx="5627">
                  <c:v>0.53560232175479139</c:v>
                </c:pt>
                <c:pt idx="5628">
                  <c:v>0.53137454609256229</c:v>
                </c:pt>
                <c:pt idx="5629">
                  <c:v>0.5641511142025073</c:v>
                </c:pt>
                <c:pt idx="5630">
                  <c:v>0.55392669651902504</c:v>
                </c:pt>
                <c:pt idx="5631">
                  <c:v>0.54248769081939274</c:v>
                </c:pt>
                <c:pt idx="5632">
                  <c:v>0.5240985706712179</c:v>
                </c:pt>
                <c:pt idx="5633">
                  <c:v>0.5134346930401692</c:v>
                </c:pt>
                <c:pt idx="5634">
                  <c:v>0.5186196053463733</c:v>
                </c:pt>
                <c:pt idx="5635">
                  <c:v>0.5226309530307901</c:v>
                </c:pt>
                <c:pt idx="5636">
                  <c:v>0.53358727239126247</c:v>
                </c:pt>
                <c:pt idx="5637">
                  <c:v>0.53968305913943493</c:v>
                </c:pt>
                <c:pt idx="5638">
                  <c:v>0.50616030121525923</c:v>
                </c:pt>
                <c:pt idx="5639">
                  <c:v>0.51104108247930657</c:v>
                </c:pt>
                <c:pt idx="5640">
                  <c:v>0.54884104605502293</c:v>
                </c:pt>
                <c:pt idx="5641">
                  <c:v>0.55707293097878186</c:v>
                </c:pt>
                <c:pt idx="5642">
                  <c:v>0.53676468347209716</c:v>
                </c:pt>
                <c:pt idx="5643">
                  <c:v>0.54445699798084435</c:v>
                </c:pt>
                <c:pt idx="5644">
                  <c:v>0.51845129167060933</c:v>
                </c:pt>
                <c:pt idx="5645">
                  <c:v>0.50821597098620985</c:v>
                </c:pt>
                <c:pt idx="5646">
                  <c:v>0.5142498865518752</c:v>
                </c:pt>
                <c:pt idx="5647">
                  <c:v>0.49975950480487447</c:v>
                </c:pt>
                <c:pt idx="5648">
                  <c:v>0.51007010967418931</c:v>
                </c:pt>
                <c:pt idx="5649">
                  <c:v>0.49670829512147946</c:v>
                </c:pt>
                <c:pt idx="5650">
                  <c:v>0.50458883320281411</c:v>
                </c:pt>
                <c:pt idx="5651">
                  <c:v>0.48984110567139172</c:v>
                </c:pt>
                <c:pt idx="5652">
                  <c:v>0.50662042305319965</c:v>
                </c:pt>
                <c:pt idx="5653">
                  <c:v>0.50858115793793413</c:v>
                </c:pt>
                <c:pt idx="5654">
                  <c:v>0.56736143217851887</c:v>
                </c:pt>
                <c:pt idx="5655">
                  <c:v>0.56184668034404361</c:v>
                </c:pt>
                <c:pt idx="5656">
                  <c:v>0.57267217577103613</c:v>
                </c:pt>
                <c:pt idx="5657">
                  <c:v>0.54659225905006414</c:v>
                </c:pt>
                <c:pt idx="5658">
                  <c:v>0.55996608222143829</c:v>
                </c:pt>
                <c:pt idx="5659">
                  <c:v>0.57777365509108825</c:v>
                </c:pt>
                <c:pt idx="5660">
                  <c:v>0.57327505314430949</c:v>
                </c:pt>
                <c:pt idx="5661">
                  <c:v>0.58388029672711705</c:v>
                </c:pt>
                <c:pt idx="5662">
                  <c:v>0.56801552441424519</c:v>
                </c:pt>
                <c:pt idx="5663">
                  <c:v>0.55646484830049814</c:v>
                </c:pt>
                <c:pt idx="5664">
                  <c:v>0.55527732184131451</c:v>
                </c:pt>
                <c:pt idx="5665">
                  <c:v>0.52245049356184248</c:v>
                </c:pt>
                <c:pt idx="5666">
                  <c:v>0.51406777141428073</c:v>
                </c:pt>
                <c:pt idx="5667">
                  <c:v>0.47830916120929412</c:v>
                </c:pt>
                <c:pt idx="5668">
                  <c:v>0.48309253282924108</c:v>
                </c:pt>
                <c:pt idx="5669">
                  <c:v>0.51298467051180496</c:v>
                </c:pt>
                <c:pt idx="5670">
                  <c:v>0.49001483566692561</c:v>
                </c:pt>
                <c:pt idx="5671">
                  <c:v>0.50077283483078039</c:v>
                </c:pt>
                <c:pt idx="5672">
                  <c:v>0.52808599267882061</c:v>
                </c:pt>
                <c:pt idx="5673">
                  <c:v>0.52119903762772157</c:v>
                </c:pt>
                <c:pt idx="5674">
                  <c:v>0.50378088068865967</c:v>
                </c:pt>
                <c:pt idx="5675">
                  <c:v>0.47438397429023327</c:v>
                </c:pt>
                <c:pt idx="5676">
                  <c:v>0.509927712693098</c:v>
                </c:pt>
                <c:pt idx="5677">
                  <c:v>0.4876970816744981</c:v>
                </c:pt>
                <c:pt idx="5678">
                  <c:v>0.48411269642516264</c:v>
                </c:pt>
                <c:pt idx="5679">
                  <c:v>0.4802894300907331</c:v>
                </c:pt>
                <c:pt idx="5680">
                  <c:v>0.48499202274534381</c:v>
                </c:pt>
                <c:pt idx="5681">
                  <c:v>0.47531082135721975</c:v>
                </c:pt>
                <c:pt idx="5682">
                  <c:v>0.48787957983486768</c:v>
                </c:pt>
                <c:pt idx="5683">
                  <c:v>0.46876546986191897</c:v>
                </c:pt>
                <c:pt idx="5684">
                  <c:v>0.47814873718056583</c:v>
                </c:pt>
                <c:pt idx="5685">
                  <c:v>0.47276332193645254</c:v>
                </c:pt>
                <c:pt idx="5686">
                  <c:v>0.46213839193063855</c:v>
                </c:pt>
                <c:pt idx="5687">
                  <c:v>0.46994080503500929</c:v>
                </c:pt>
                <c:pt idx="5688">
                  <c:v>0.47804098445188598</c:v>
                </c:pt>
                <c:pt idx="5689">
                  <c:v>0.4879414310043973</c:v>
                </c:pt>
                <c:pt idx="5690">
                  <c:v>0.47957084772947733</c:v>
                </c:pt>
                <c:pt idx="5691">
                  <c:v>0.454910227837173</c:v>
                </c:pt>
                <c:pt idx="5692">
                  <c:v>0.47552475265704425</c:v>
                </c:pt>
                <c:pt idx="5693">
                  <c:v>0.46894429643122454</c:v>
                </c:pt>
                <c:pt idx="5694">
                  <c:v>0.48283300946583313</c:v>
                </c:pt>
                <c:pt idx="5695">
                  <c:v>0.4737204774198292</c:v>
                </c:pt>
                <c:pt idx="5696">
                  <c:v>0.47139587055454957</c:v>
                </c:pt>
                <c:pt idx="5697">
                  <c:v>0.4880765409320274</c:v>
                </c:pt>
                <c:pt idx="5698">
                  <c:v>0.48016869471623164</c:v>
                </c:pt>
                <c:pt idx="5699">
                  <c:v>0.46046287970629801</c:v>
                </c:pt>
                <c:pt idx="5700">
                  <c:v>0.48382513107735797</c:v>
                </c:pt>
                <c:pt idx="5701">
                  <c:v>0.48688946898603414</c:v>
                </c:pt>
                <c:pt idx="5702">
                  <c:v>0.49693614861075863</c:v>
                </c:pt>
                <c:pt idx="5703">
                  <c:v>0.47382697345635566</c:v>
                </c:pt>
                <c:pt idx="5704">
                  <c:v>0.50288725560608571</c:v>
                </c:pt>
                <c:pt idx="5705">
                  <c:v>0.47500645622964444</c:v>
                </c:pt>
                <c:pt idx="5706">
                  <c:v>0.45933985652363352</c:v>
                </c:pt>
                <c:pt idx="5707">
                  <c:v>0.49227527238360713</c:v>
                </c:pt>
                <c:pt idx="5708">
                  <c:v>0.47824563402745907</c:v>
                </c:pt>
                <c:pt idx="5709">
                  <c:v>0.46501622358797817</c:v>
                </c:pt>
                <c:pt idx="5710">
                  <c:v>0.46285451586512011</c:v>
                </c:pt>
                <c:pt idx="5711">
                  <c:v>0.47745090385529909</c:v>
                </c:pt>
                <c:pt idx="5712">
                  <c:v>0.45942701882957832</c:v>
                </c:pt>
                <c:pt idx="5713">
                  <c:v>0.49152095263841056</c:v>
                </c:pt>
                <c:pt idx="5714">
                  <c:v>0.46718218462558231</c:v>
                </c:pt>
                <c:pt idx="5715">
                  <c:v>0.46544813944403457</c:v>
                </c:pt>
                <c:pt idx="5716">
                  <c:v>0.44853782423911887</c:v>
                </c:pt>
                <c:pt idx="5717">
                  <c:v>0.45339800436856942</c:v>
                </c:pt>
                <c:pt idx="5718">
                  <c:v>0.47590889585653978</c:v>
                </c:pt>
                <c:pt idx="5719">
                  <c:v>0.46667874271120019</c:v>
                </c:pt>
                <c:pt idx="5720">
                  <c:v>0.48155541575557059</c:v>
                </c:pt>
                <c:pt idx="5721">
                  <c:v>0.47512790793108184</c:v>
                </c:pt>
                <c:pt idx="5722">
                  <c:v>0.47109183091935464</c:v>
                </c:pt>
                <c:pt idx="5723">
                  <c:v>0.48323572560673761</c:v>
                </c:pt>
                <c:pt idx="5724">
                  <c:v>0.48322915947335776</c:v>
                </c:pt>
                <c:pt idx="5725">
                  <c:v>0.49457142797690368</c:v>
                </c:pt>
                <c:pt idx="5726">
                  <c:v>0.49308298768634751</c:v>
                </c:pt>
                <c:pt idx="5727">
                  <c:v>0.49456669979513074</c:v>
                </c:pt>
                <c:pt idx="5728">
                  <c:v>0.47975981374389343</c:v>
                </c:pt>
                <c:pt idx="5729">
                  <c:v>0.48649579523326236</c:v>
                </c:pt>
                <c:pt idx="5730">
                  <c:v>0.47405417495174668</c:v>
                </c:pt>
                <c:pt idx="5731">
                  <c:v>0.50091620918403224</c:v>
                </c:pt>
                <c:pt idx="5732">
                  <c:v>0.48105474359604228</c:v>
                </c:pt>
                <c:pt idx="5733">
                  <c:v>0.50917294089456611</c:v>
                </c:pt>
                <c:pt idx="5734">
                  <c:v>0.51708235932438984</c:v>
                </c:pt>
                <c:pt idx="5735">
                  <c:v>0.49016784603080449</c:v>
                </c:pt>
                <c:pt idx="5736">
                  <c:v>0.61489215626212335</c:v>
                </c:pt>
                <c:pt idx="5737">
                  <c:v>0.60341244775592229</c:v>
                </c:pt>
                <c:pt idx="5738">
                  <c:v>0.59421548126550205</c:v>
                </c:pt>
                <c:pt idx="5739">
                  <c:v>0.58647005183713863</c:v>
                </c:pt>
                <c:pt idx="5740">
                  <c:v>0.56821275735422105</c:v>
                </c:pt>
                <c:pt idx="5741">
                  <c:v>0.54189149921886814</c:v>
                </c:pt>
                <c:pt idx="5742">
                  <c:v>0.54094743523060551</c:v>
                </c:pt>
                <c:pt idx="5743">
                  <c:v>0.58539202658380685</c:v>
                </c:pt>
                <c:pt idx="5744">
                  <c:v>0.59685111108504973</c:v>
                </c:pt>
                <c:pt idx="5745">
                  <c:v>0.57715376882919422</c:v>
                </c:pt>
                <c:pt idx="5746">
                  <c:v>0.56301854099607074</c:v>
                </c:pt>
                <c:pt idx="5747">
                  <c:v>0.57566957522780204</c:v>
                </c:pt>
                <c:pt idx="5748">
                  <c:v>0.59217864562863975</c:v>
                </c:pt>
                <c:pt idx="5749">
                  <c:v>0.5950368834352322</c:v>
                </c:pt>
                <c:pt idx="5750">
                  <c:v>0.59635228245699856</c:v>
                </c:pt>
                <c:pt idx="5751">
                  <c:v>0.6129800922993438</c:v>
                </c:pt>
                <c:pt idx="5752">
                  <c:v>0.58025123991020122</c:v>
                </c:pt>
                <c:pt idx="5753">
                  <c:v>0.60839026859076373</c:v>
                </c:pt>
                <c:pt idx="5754">
                  <c:v>0.6133714513948042</c:v>
                </c:pt>
                <c:pt idx="5755">
                  <c:v>0.5826245134309066</c:v>
                </c:pt>
                <c:pt idx="5756">
                  <c:v>0.59521284593823742</c:v>
                </c:pt>
                <c:pt idx="5757">
                  <c:v>0.60303735620711507</c:v>
                </c:pt>
                <c:pt idx="5758">
                  <c:v>0.59925135819097664</c:v>
                </c:pt>
                <c:pt idx="5759">
                  <c:v>0.59729766847080057</c:v>
                </c:pt>
                <c:pt idx="5760">
                  <c:v>0.61410591095803069</c:v>
                </c:pt>
                <c:pt idx="5761">
                  <c:v>0.5956834571757651</c:v>
                </c:pt>
                <c:pt idx="5762">
                  <c:v>0.57590729968268262</c:v>
                </c:pt>
                <c:pt idx="5763">
                  <c:v>0.58617126286524512</c:v>
                </c:pt>
                <c:pt idx="5764">
                  <c:v>0.58002422051820957</c:v>
                </c:pt>
                <c:pt idx="5765">
                  <c:v>0.56910634395027226</c:v>
                </c:pt>
                <c:pt idx="5766">
                  <c:v>0.57261385207818305</c:v>
                </c:pt>
                <c:pt idx="5767">
                  <c:v>0.59167908855102791</c:v>
                </c:pt>
                <c:pt idx="5768">
                  <c:v>0.57778685898099647</c:v>
                </c:pt>
                <c:pt idx="5769">
                  <c:v>0.60487215246287807</c:v>
                </c:pt>
                <c:pt idx="5770">
                  <c:v>0.56089683528265688</c:v>
                </c:pt>
                <c:pt idx="5771">
                  <c:v>0.55908343758220502</c:v>
                </c:pt>
                <c:pt idx="5772">
                  <c:v>0.57407249479365374</c:v>
                </c:pt>
                <c:pt idx="5773">
                  <c:v>0.61148315853605051</c:v>
                </c:pt>
                <c:pt idx="5774">
                  <c:v>0.57282491884078801</c:v>
                </c:pt>
                <c:pt idx="5775">
                  <c:v>0.56366176651922006</c:v>
                </c:pt>
                <c:pt idx="5776">
                  <c:v>0.54648812648553757</c:v>
                </c:pt>
                <c:pt idx="5777">
                  <c:v>0.5721210412316089</c:v>
                </c:pt>
                <c:pt idx="5778">
                  <c:v>0.56038934477004176</c:v>
                </c:pt>
                <c:pt idx="5779">
                  <c:v>0.57369180633899952</c:v>
                </c:pt>
                <c:pt idx="5780">
                  <c:v>0.56943103138587126</c:v>
                </c:pt>
                <c:pt idx="5781">
                  <c:v>0.54697390606345586</c:v>
                </c:pt>
                <c:pt idx="5782">
                  <c:v>0.54117233909844531</c:v>
                </c:pt>
                <c:pt idx="5783">
                  <c:v>0.5437126460863636</c:v>
                </c:pt>
                <c:pt idx="5784">
                  <c:v>0.5564954776564448</c:v>
                </c:pt>
                <c:pt idx="5785">
                  <c:v>0.58849972162579545</c:v>
                </c:pt>
                <c:pt idx="5786">
                  <c:v>0.55915403370826988</c:v>
                </c:pt>
                <c:pt idx="5787">
                  <c:v>0.55747953129264072</c:v>
                </c:pt>
                <c:pt idx="5788">
                  <c:v>0.5339654021757505</c:v>
                </c:pt>
                <c:pt idx="5789">
                  <c:v>0.53583064231980737</c:v>
                </c:pt>
                <c:pt idx="5790">
                  <c:v>0.56804041827183926</c:v>
                </c:pt>
                <c:pt idx="5791">
                  <c:v>0.54082093811127729</c:v>
                </c:pt>
                <c:pt idx="5792">
                  <c:v>0.51414474764033313</c:v>
                </c:pt>
                <c:pt idx="5793">
                  <c:v>0.52759020686142855</c:v>
                </c:pt>
                <c:pt idx="5794">
                  <c:v>0.52869422799529553</c:v>
                </c:pt>
                <c:pt idx="5795">
                  <c:v>0.51448612362729618</c:v>
                </c:pt>
                <c:pt idx="5796">
                  <c:v>0.5373343030104486</c:v>
                </c:pt>
                <c:pt idx="5797">
                  <c:v>0.55761125169156123</c:v>
                </c:pt>
                <c:pt idx="5798">
                  <c:v>0.57607862050796965</c:v>
                </c:pt>
                <c:pt idx="5799">
                  <c:v>0.59509061747863523</c:v>
                </c:pt>
                <c:pt idx="5800">
                  <c:v>0.56140540266206318</c:v>
                </c:pt>
                <c:pt idx="5801">
                  <c:v>0.56483418768936167</c:v>
                </c:pt>
                <c:pt idx="5802">
                  <c:v>0.60752857896421808</c:v>
                </c:pt>
                <c:pt idx="5803">
                  <c:v>0.62630987328767818</c:v>
                </c:pt>
                <c:pt idx="5804">
                  <c:v>0.58915061345859587</c:v>
                </c:pt>
                <c:pt idx="5805">
                  <c:v>0.5876888569593256</c:v>
                </c:pt>
                <c:pt idx="5806">
                  <c:v>0.57293697369558638</c:v>
                </c:pt>
                <c:pt idx="5807">
                  <c:v>0.56361313355760179</c:v>
                </c:pt>
                <c:pt idx="5808">
                  <c:v>0.56634862067673641</c:v>
                </c:pt>
                <c:pt idx="5809">
                  <c:v>0.50096239141528864</c:v>
                </c:pt>
                <c:pt idx="5810">
                  <c:v>0.5035807006118499</c:v>
                </c:pt>
                <c:pt idx="5811">
                  <c:v>0.4787795506175978</c:v>
                </c:pt>
                <c:pt idx="5812">
                  <c:v>0.4928279717196522</c:v>
                </c:pt>
                <c:pt idx="5813">
                  <c:v>0.49624599547157178</c:v>
                </c:pt>
                <c:pt idx="5814">
                  <c:v>0.52488207817310573</c:v>
                </c:pt>
                <c:pt idx="5815">
                  <c:v>0.51683484787782896</c:v>
                </c:pt>
                <c:pt idx="5816">
                  <c:v>0.54750543316667366</c:v>
                </c:pt>
                <c:pt idx="5817">
                  <c:v>0.533799629745488</c:v>
                </c:pt>
                <c:pt idx="5818">
                  <c:v>0.49493270347839097</c:v>
                </c:pt>
                <c:pt idx="5819">
                  <c:v>0.48790471676078767</c:v>
                </c:pt>
                <c:pt idx="5820">
                  <c:v>0.49351423377387904</c:v>
                </c:pt>
                <c:pt idx="5821">
                  <c:v>0.48622582338796727</c:v>
                </c:pt>
                <c:pt idx="5822">
                  <c:v>0.4838081676101606</c:v>
                </c:pt>
                <c:pt idx="5823">
                  <c:v>0.4937199429081171</c:v>
                </c:pt>
                <c:pt idx="5824">
                  <c:v>0.4859467469875442</c:v>
                </c:pt>
                <c:pt idx="5825">
                  <c:v>0.49510968688128681</c:v>
                </c:pt>
                <c:pt idx="5826">
                  <c:v>0.47699210529254343</c:v>
                </c:pt>
                <c:pt idx="5827">
                  <c:v>0.48168593724172415</c:v>
                </c:pt>
                <c:pt idx="5828">
                  <c:v>0.48525892633689782</c:v>
                </c:pt>
                <c:pt idx="5829">
                  <c:v>0.48210732113092436</c:v>
                </c:pt>
                <c:pt idx="5830">
                  <c:v>0.46241806483554249</c:v>
                </c:pt>
                <c:pt idx="5831">
                  <c:v>0.48222680347193247</c:v>
                </c:pt>
                <c:pt idx="5832">
                  <c:v>0.50377230343470769</c:v>
                </c:pt>
                <c:pt idx="5833">
                  <c:v>0.50771989735657574</c:v>
                </c:pt>
                <c:pt idx="5834">
                  <c:v>0.47988569747516618</c:v>
                </c:pt>
                <c:pt idx="5835">
                  <c:v>0.48106134268677797</c:v>
                </c:pt>
                <c:pt idx="5836">
                  <c:v>0.47305611146183385</c:v>
                </c:pt>
                <c:pt idx="5837">
                  <c:v>0.48996044709764142</c:v>
                </c:pt>
                <c:pt idx="5838">
                  <c:v>0.48796529359847268</c:v>
                </c:pt>
                <c:pt idx="5839">
                  <c:v>0.5025121951297733</c:v>
                </c:pt>
                <c:pt idx="5840">
                  <c:v>0.48647567713525813</c:v>
                </c:pt>
                <c:pt idx="5841">
                  <c:v>0.50154370293089767</c:v>
                </c:pt>
                <c:pt idx="5842">
                  <c:v>0.48191221523422739</c:v>
                </c:pt>
                <c:pt idx="5843">
                  <c:v>0.49263008113510531</c:v>
                </c:pt>
                <c:pt idx="5844">
                  <c:v>0.52186700788749396</c:v>
                </c:pt>
                <c:pt idx="5845">
                  <c:v>0.49721032735330445</c:v>
                </c:pt>
                <c:pt idx="5846">
                  <c:v>0.5210154959436113</c:v>
                </c:pt>
                <c:pt idx="5847">
                  <c:v>0.51903110029220823</c:v>
                </c:pt>
                <c:pt idx="5848">
                  <c:v>0.5226059226704336</c:v>
                </c:pt>
                <c:pt idx="5849">
                  <c:v>0.51174824097028659</c:v>
                </c:pt>
                <c:pt idx="5850">
                  <c:v>0.5327104378851002</c:v>
                </c:pt>
                <c:pt idx="5851">
                  <c:v>0.51125846296709476</c:v>
                </c:pt>
                <c:pt idx="5852">
                  <c:v>0.4980710053508669</c:v>
                </c:pt>
                <c:pt idx="5853">
                  <c:v>0.50367018025422172</c:v>
                </c:pt>
                <c:pt idx="5854">
                  <c:v>0.50812890582867587</c:v>
                </c:pt>
                <c:pt idx="5855">
                  <c:v>0.49524577889878396</c:v>
                </c:pt>
                <c:pt idx="5856">
                  <c:v>0.51897733482779718</c:v>
                </c:pt>
                <c:pt idx="5857">
                  <c:v>0.50839112662045394</c:v>
                </c:pt>
                <c:pt idx="5858">
                  <c:v>0.51144818039017081</c:v>
                </c:pt>
                <c:pt idx="5859">
                  <c:v>0.49767229254097839</c:v>
                </c:pt>
                <c:pt idx="5860">
                  <c:v>0.50041679861978772</c:v>
                </c:pt>
                <c:pt idx="5861">
                  <c:v>0.49775361053446321</c:v>
                </c:pt>
                <c:pt idx="5862">
                  <c:v>0.51370078353450299</c:v>
                </c:pt>
                <c:pt idx="5863">
                  <c:v>0.51239886312589866</c:v>
                </c:pt>
                <c:pt idx="5864">
                  <c:v>0.5261042294595043</c:v>
                </c:pt>
                <c:pt idx="5865">
                  <c:v>0.52072936684305249</c:v>
                </c:pt>
                <c:pt idx="5866">
                  <c:v>0.5497686140082525</c:v>
                </c:pt>
                <c:pt idx="5867">
                  <c:v>0.54068677591026248</c:v>
                </c:pt>
                <c:pt idx="5868">
                  <c:v>0.52652045413614157</c:v>
                </c:pt>
                <c:pt idx="5869">
                  <c:v>0.53499026086385715</c:v>
                </c:pt>
                <c:pt idx="5870">
                  <c:v>0.52075895708991726</c:v>
                </c:pt>
                <c:pt idx="5871">
                  <c:v>0.5163409885769974</c:v>
                </c:pt>
                <c:pt idx="5872">
                  <c:v>0.53625559334884865</c:v>
                </c:pt>
                <c:pt idx="5873">
                  <c:v>0.48517651355310576</c:v>
                </c:pt>
                <c:pt idx="5874">
                  <c:v>0.5366598082029983</c:v>
                </c:pt>
                <c:pt idx="5875">
                  <c:v>0.527653354717459</c:v>
                </c:pt>
                <c:pt idx="5876">
                  <c:v>0.54874334366599409</c:v>
                </c:pt>
                <c:pt idx="5877">
                  <c:v>0.54431291739036103</c:v>
                </c:pt>
                <c:pt idx="5878">
                  <c:v>0.55377929308803975</c:v>
                </c:pt>
                <c:pt idx="5879">
                  <c:v>0.51982891222229244</c:v>
                </c:pt>
                <c:pt idx="5880">
                  <c:v>0.50985938314550772</c:v>
                </c:pt>
                <c:pt idx="5881">
                  <c:v>0.52639730869777146</c:v>
                </c:pt>
                <c:pt idx="5882">
                  <c:v>0.50653560782478746</c:v>
                </c:pt>
                <c:pt idx="5883">
                  <c:v>0.50627646030954465</c:v>
                </c:pt>
                <c:pt idx="5884">
                  <c:v>0.46863912552608639</c:v>
                </c:pt>
                <c:pt idx="5885">
                  <c:v>0.47483636676735813</c:v>
                </c:pt>
                <c:pt idx="5886">
                  <c:v>0.47795227782801214</c:v>
                </c:pt>
                <c:pt idx="5887">
                  <c:v>0.51278482187320495</c:v>
                </c:pt>
                <c:pt idx="5888">
                  <c:v>0.52308203437050138</c:v>
                </c:pt>
                <c:pt idx="5889">
                  <c:v>0.52125370575804897</c:v>
                </c:pt>
                <c:pt idx="5890">
                  <c:v>0.48443409390372771</c:v>
                </c:pt>
                <c:pt idx="5891">
                  <c:v>0.50004234408667914</c:v>
                </c:pt>
                <c:pt idx="5892">
                  <c:v>0.51191970656538111</c:v>
                </c:pt>
                <c:pt idx="5893">
                  <c:v>0.51256967183507118</c:v>
                </c:pt>
                <c:pt idx="5894">
                  <c:v>0.53404261401216924</c:v>
                </c:pt>
                <c:pt idx="5895">
                  <c:v>0.50243790892717133</c:v>
                </c:pt>
                <c:pt idx="5896">
                  <c:v>0.5258181992977855</c:v>
                </c:pt>
                <c:pt idx="5897">
                  <c:v>0.53211086644477057</c:v>
                </c:pt>
                <c:pt idx="5898">
                  <c:v>0.54268055501158774</c:v>
                </c:pt>
                <c:pt idx="5899">
                  <c:v>0.52426042445382592</c:v>
                </c:pt>
                <c:pt idx="5900">
                  <c:v>0.52911183197191136</c:v>
                </c:pt>
                <c:pt idx="5901">
                  <c:v>0.52087769059077549</c:v>
                </c:pt>
                <c:pt idx="5902">
                  <c:v>0.51458294635282531</c:v>
                </c:pt>
                <c:pt idx="5903">
                  <c:v>0.53538438820198708</c:v>
                </c:pt>
                <c:pt idx="5904">
                  <c:v>0.53023684864939891</c:v>
                </c:pt>
                <c:pt idx="5905">
                  <c:v>0.54062436948821535</c:v>
                </c:pt>
                <c:pt idx="5906">
                  <c:v>0.54567407014920832</c:v>
                </c:pt>
                <c:pt idx="5907">
                  <c:v>0.53966212629771149</c:v>
                </c:pt>
                <c:pt idx="5908">
                  <c:v>0.51537597348610376</c:v>
                </c:pt>
                <c:pt idx="5909">
                  <c:v>0.51020508198844916</c:v>
                </c:pt>
                <c:pt idx="5910">
                  <c:v>0.53005798490848077</c:v>
                </c:pt>
                <c:pt idx="5911">
                  <c:v>0.53613631534845474</c:v>
                </c:pt>
                <c:pt idx="5912">
                  <c:v>0.53449887406035657</c:v>
                </c:pt>
                <c:pt idx="5913">
                  <c:v>0.53217591102245088</c:v>
                </c:pt>
                <c:pt idx="5914">
                  <c:v>0.50945670516666053</c:v>
                </c:pt>
                <c:pt idx="5915">
                  <c:v>0.51691252407416899</c:v>
                </c:pt>
                <c:pt idx="5916">
                  <c:v>0.50175248382223336</c:v>
                </c:pt>
                <c:pt idx="5917">
                  <c:v>0.49497827595860933</c:v>
                </c:pt>
                <c:pt idx="5918">
                  <c:v>0.52809049839789046</c:v>
                </c:pt>
                <c:pt idx="5919">
                  <c:v>0.51762430487351463</c:v>
                </c:pt>
                <c:pt idx="5920">
                  <c:v>0.48907310662655668</c:v>
                </c:pt>
                <c:pt idx="5921">
                  <c:v>0.48951088337066656</c:v>
                </c:pt>
                <c:pt idx="5922">
                  <c:v>0.48309710202191924</c:v>
                </c:pt>
                <c:pt idx="5923">
                  <c:v>0.48192796437651231</c:v>
                </c:pt>
                <c:pt idx="5924">
                  <c:v>0.5057914458830548</c:v>
                </c:pt>
                <c:pt idx="5925">
                  <c:v>0.46742221440228388</c:v>
                </c:pt>
                <c:pt idx="5926">
                  <c:v>0.48876907787893537</c:v>
                </c:pt>
                <c:pt idx="5927">
                  <c:v>0.50258865295023936</c:v>
                </c:pt>
                <c:pt idx="5928">
                  <c:v>0.51247840428890845</c:v>
                </c:pt>
                <c:pt idx="5929">
                  <c:v>0.52789542233579401</c:v>
                </c:pt>
                <c:pt idx="5930">
                  <c:v>0.52540402091804805</c:v>
                </c:pt>
                <c:pt idx="5931">
                  <c:v>0.53557309311644419</c:v>
                </c:pt>
                <c:pt idx="5932">
                  <c:v>0.54774062485192931</c:v>
                </c:pt>
                <c:pt idx="5933">
                  <c:v>0.52712869109694116</c:v>
                </c:pt>
                <c:pt idx="5934">
                  <c:v>0.52335959041641711</c:v>
                </c:pt>
                <c:pt idx="5935">
                  <c:v>0.53072783262236967</c:v>
                </c:pt>
                <c:pt idx="5936">
                  <c:v>0.53611369432045008</c:v>
                </c:pt>
                <c:pt idx="5937">
                  <c:v>0.52756829627602819</c:v>
                </c:pt>
                <c:pt idx="5938">
                  <c:v>0.52833927027036609</c:v>
                </c:pt>
                <c:pt idx="5939">
                  <c:v>0.53504119332201105</c:v>
                </c:pt>
                <c:pt idx="5940">
                  <c:v>0.53194808477181732</c:v>
                </c:pt>
                <c:pt idx="5941">
                  <c:v>0.52556176341279404</c:v>
                </c:pt>
                <c:pt idx="5942">
                  <c:v>0.52581586992079188</c:v>
                </c:pt>
                <c:pt idx="5943">
                  <c:v>0.53577208732629877</c:v>
                </c:pt>
                <c:pt idx="5944">
                  <c:v>0.53679244404524007</c:v>
                </c:pt>
                <c:pt idx="5945">
                  <c:v>0.52903194006094179</c:v>
                </c:pt>
                <c:pt idx="5946">
                  <c:v>0.52252065217790578</c:v>
                </c:pt>
                <c:pt idx="5947">
                  <c:v>0.52262508666951391</c:v>
                </c:pt>
                <c:pt idx="5948">
                  <c:v>0.52436612943134164</c:v>
                </c:pt>
                <c:pt idx="5949">
                  <c:v>0.52161933442979236</c:v>
                </c:pt>
                <c:pt idx="5950">
                  <c:v>0.51619745786993443</c:v>
                </c:pt>
                <c:pt idx="5951">
                  <c:v>0.50903132547369678</c:v>
                </c:pt>
                <c:pt idx="5952">
                  <c:v>0.53148824150014851</c:v>
                </c:pt>
                <c:pt idx="5953">
                  <c:v>0.52246001388998442</c:v>
                </c:pt>
                <c:pt idx="5954">
                  <c:v>0.52985276463387343</c:v>
                </c:pt>
                <c:pt idx="5955">
                  <c:v>0.52608120912689393</c:v>
                </c:pt>
                <c:pt idx="5956">
                  <c:v>0.5310297009430528</c:v>
                </c:pt>
                <c:pt idx="5957">
                  <c:v>0.54026063303380456</c:v>
                </c:pt>
                <c:pt idx="5958">
                  <c:v>0.53100399914430529</c:v>
                </c:pt>
                <c:pt idx="5959">
                  <c:v>0.54064900796463589</c:v>
                </c:pt>
                <c:pt idx="5960">
                  <c:v>0.52763982380696917</c:v>
                </c:pt>
                <c:pt idx="5961">
                  <c:v>0.52710249933263709</c:v>
                </c:pt>
                <c:pt idx="5962">
                  <c:v>0.52554842615820818</c:v>
                </c:pt>
                <c:pt idx="5963">
                  <c:v>0.5348294423370834</c:v>
                </c:pt>
                <c:pt idx="5964">
                  <c:v>0.54507122184746781</c:v>
                </c:pt>
                <c:pt idx="5965">
                  <c:v>0.53494629197309307</c:v>
                </c:pt>
                <c:pt idx="5966">
                  <c:v>0.53440918288900785</c:v>
                </c:pt>
                <c:pt idx="5967">
                  <c:v>0.53944383818018748</c:v>
                </c:pt>
                <c:pt idx="5968">
                  <c:v>0.5517910779526416</c:v>
                </c:pt>
                <c:pt idx="5969">
                  <c:v>0.51634323706782292</c:v>
                </c:pt>
                <c:pt idx="5970">
                  <c:v>0.50609787656074834</c:v>
                </c:pt>
                <c:pt idx="5971">
                  <c:v>0.50558812322350222</c:v>
                </c:pt>
                <c:pt idx="5972">
                  <c:v>0.51789350864213402</c:v>
                </c:pt>
                <c:pt idx="5973">
                  <c:v>0.48908254248222888</c:v>
                </c:pt>
                <c:pt idx="5974">
                  <c:v>0.48842985865597044</c:v>
                </c:pt>
                <c:pt idx="5975">
                  <c:v>0.48785627745236476</c:v>
                </c:pt>
                <c:pt idx="5976">
                  <c:v>0.47841482675427704</c:v>
                </c:pt>
                <c:pt idx="5977">
                  <c:v>0.48406910361787664</c:v>
                </c:pt>
                <c:pt idx="5978">
                  <c:v>0.52010226055696374</c:v>
                </c:pt>
                <c:pt idx="5979">
                  <c:v>0.5032709887113711</c:v>
                </c:pt>
                <c:pt idx="5980">
                  <c:v>0.50906871750732219</c:v>
                </c:pt>
                <c:pt idx="5981">
                  <c:v>0.51772082609870473</c:v>
                </c:pt>
                <c:pt idx="5982">
                  <c:v>0.51373631204698911</c:v>
                </c:pt>
                <c:pt idx="5983">
                  <c:v>0.50422680062867331</c:v>
                </c:pt>
                <c:pt idx="5984">
                  <c:v>0.48092274071962937</c:v>
                </c:pt>
                <c:pt idx="5985">
                  <c:v>0.4864250944196486</c:v>
                </c:pt>
                <c:pt idx="5986">
                  <c:v>0.49090993278449158</c:v>
                </c:pt>
                <c:pt idx="5987">
                  <c:v>0.50457741808306666</c:v>
                </c:pt>
                <c:pt idx="5988">
                  <c:v>0.50767038025264388</c:v>
                </c:pt>
                <c:pt idx="5989">
                  <c:v>0.47998522769016921</c:v>
                </c:pt>
                <c:pt idx="5990">
                  <c:v>0.49281931501984705</c:v>
                </c:pt>
                <c:pt idx="5991">
                  <c:v>0.48862036723771307</c:v>
                </c:pt>
                <c:pt idx="5992">
                  <c:v>0.4947787220455106</c:v>
                </c:pt>
                <c:pt idx="5993">
                  <c:v>0.53169090319101098</c:v>
                </c:pt>
                <c:pt idx="5994">
                  <c:v>0.5309178038998672</c:v>
                </c:pt>
                <c:pt idx="5995">
                  <c:v>0.50233424205131416</c:v>
                </c:pt>
                <c:pt idx="5996">
                  <c:v>0.50688436700998218</c:v>
                </c:pt>
                <c:pt idx="5997">
                  <c:v>0.50432131439229999</c:v>
                </c:pt>
                <c:pt idx="5998">
                  <c:v>0.48848613154491405</c:v>
                </c:pt>
                <c:pt idx="5999">
                  <c:v>0.48290686871948324</c:v>
                </c:pt>
                <c:pt idx="6000">
                  <c:v>0.52499930096233671</c:v>
                </c:pt>
                <c:pt idx="6001">
                  <c:v>0.49877066212605831</c:v>
                </c:pt>
                <c:pt idx="6002">
                  <c:v>0.52082808042988205</c:v>
                </c:pt>
                <c:pt idx="6003">
                  <c:v>0.50350305493348047</c:v>
                </c:pt>
                <c:pt idx="6004">
                  <c:v>0.51052141826064767</c:v>
                </c:pt>
                <c:pt idx="6005">
                  <c:v>0.50250823534032574</c:v>
                </c:pt>
                <c:pt idx="6006">
                  <c:v>0.524147289029948</c:v>
                </c:pt>
                <c:pt idx="6007">
                  <c:v>0.52146512032791226</c:v>
                </c:pt>
                <c:pt idx="6008">
                  <c:v>0.51332323001995472</c:v>
                </c:pt>
                <c:pt idx="6009">
                  <c:v>0.50983038346728338</c:v>
                </c:pt>
                <c:pt idx="6010">
                  <c:v>0.50549307112022157</c:v>
                </c:pt>
                <c:pt idx="6011">
                  <c:v>0.53558397500386246</c:v>
                </c:pt>
                <c:pt idx="6012">
                  <c:v>0.53426579077551239</c:v>
                </c:pt>
                <c:pt idx="6013">
                  <c:v>0.55713374060770959</c:v>
                </c:pt>
                <c:pt idx="6014">
                  <c:v>0.51258995090756931</c:v>
                </c:pt>
                <c:pt idx="6015">
                  <c:v>0.52005203717707127</c:v>
                </c:pt>
                <c:pt idx="6016">
                  <c:v>0.50186353734225631</c:v>
                </c:pt>
                <c:pt idx="6017">
                  <c:v>0.51495038405705829</c:v>
                </c:pt>
                <c:pt idx="6018">
                  <c:v>0.53161314438568008</c:v>
                </c:pt>
                <c:pt idx="6019">
                  <c:v>0.52138119439426345</c:v>
                </c:pt>
                <c:pt idx="6020">
                  <c:v>0.56845025718623854</c:v>
                </c:pt>
                <c:pt idx="6021">
                  <c:v>0.54505983229625954</c:v>
                </c:pt>
                <c:pt idx="6022">
                  <c:v>0.52199066111438908</c:v>
                </c:pt>
                <c:pt idx="6023">
                  <c:v>0.5557636414478605</c:v>
                </c:pt>
                <c:pt idx="6024">
                  <c:v>0.54040781595099641</c:v>
                </c:pt>
                <c:pt idx="6025">
                  <c:v>0.55287679767860443</c:v>
                </c:pt>
                <c:pt idx="6026">
                  <c:v>0.5398187847625604</c:v>
                </c:pt>
                <c:pt idx="6027">
                  <c:v>0.54818629036013822</c:v>
                </c:pt>
                <c:pt idx="6028">
                  <c:v>0.4989045104656939</c:v>
                </c:pt>
                <c:pt idx="6029">
                  <c:v>0.49346376719312623</c:v>
                </c:pt>
                <c:pt idx="6030">
                  <c:v>0.52274917591015335</c:v>
                </c:pt>
                <c:pt idx="6031">
                  <c:v>0.54648948382411122</c:v>
                </c:pt>
                <c:pt idx="6032">
                  <c:v>0.55786832217773852</c:v>
                </c:pt>
                <c:pt idx="6033">
                  <c:v>0.54140474231712454</c:v>
                </c:pt>
                <c:pt idx="6034">
                  <c:v>0.52014552930767222</c:v>
                </c:pt>
                <c:pt idx="6035">
                  <c:v>0.5434935272056387</c:v>
                </c:pt>
                <c:pt idx="6036">
                  <c:v>0.54898117869407614</c:v>
                </c:pt>
                <c:pt idx="6037">
                  <c:v>0.53307316911164304</c:v>
                </c:pt>
                <c:pt idx="6038">
                  <c:v>0.56287621188040082</c:v>
                </c:pt>
                <c:pt idx="6039">
                  <c:v>0.53477835827113529</c:v>
                </c:pt>
                <c:pt idx="6040">
                  <c:v>0.54910740660418589</c:v>
                </c:pt>
                <c:pt idx="6041">
                  <c:v>0.56719593152072156</c:v>
                </c:pt>
                <c:pt idx="6042">
                  <c:v>0.57373387687978239</c:v>
                </c:pt>
                <c:pt idx="6043">
                  <c:v>0.54222384240185861</c:v>
                </c:pt>
                <c:pt idx="6044">
                  <c:v>0.55001225308688628</c:v>
                </c:pt>
                <c:pt idx="6045">
                  <c:v>0.55578538258744481</c:v>
                </c:pt>
                <c:pt idx="6046">
                  <c:v>0.53880627544109372</c:v>
                </c:pt>
                <c:pt idx="6047">
                  <c:v>0.56758000339968728</c:v>
                </c:pt>
                <c:pt idx="6048">
                  <c:v>0.5593613210265127</c:v>
                </c:pt>
                <c:pt idx="6049">
                  <c:v>0.55769591658880446</c:v>
                </c:pt>
                <c:pt idx="6050">
                  <c:v>0.5715308859834215</c:v>
                </c:pt>
                <c:pt idx="6051">
                  <c:v>0.55485061875587682</c:v>
                </c:pt>
                <c:pt idx="6052">
                  <c:v>0.54244111167443354</c:v>
                </c:pt>
                <c:pt idx="6053">
                  <c:v>0.53018765565225578</c:v>
                </c:pt>
                <c:pt idx="6054">
                  <c:v>0.54884423696842266</c:v>
                </c:pt>
                <c:pt idx="6055">
                  <c:v>0.53679723887361186</c:v>
                </c:pt>
                <c:pt idx="6056">
                  <c:v>0.56270804184268342</c:v>
                </c:pt>
                <c:pt idx="6057">
                  <c:v>0.54740706040972387</c:v>
                </c:pt>
                <c:pt idx="6058">
                  <c:v>0.53009437863015629</c:v>
                </c:pt>
                <c:pt idx="6059">
                  <c:v>0.54112461923471433</c:v>
                </c:pt>
                <c:pt idx="6060">
                  <c:v>0.53409454648933197</c:v>
                </c:pt>
                <c:pt idx="6061">
                  <c:v>0.5226007078304421</c:v>
                </c:pt>
                <c:pt idx="6062">
                  <c:v>0.55758707587204015</c:v>
                </c:pt>
                <c:pt idx="6063">
                  <c:v>0.54256103661803545</c:v>
                </c:pt>
                <c:pt idx="6064">
                  <c:v>0.51740111630093411</c:v>
                </c:pt>
                <c:pt idx="6065">
                  <c:v>0.50619171326589496</c:v>
                </c:pt>
                <c:pt idx="6066">
                  <c:v>0.50532433969164359</c:v>
                </c:pt>
                <c:pt idx="6067">
                  <c:v>0.48331979188996949</c:v>
                </c:pt>
                <c:pt idx="6068">
                  <c:v>0.52502782384593905</c:v>
                </c:pt>
                <c:pt idx="6069">
                  <c:v>0.47605258989844929</c:v>
                </c:pt>
                <c:pt idx="6070">
                  <c:v>0.50377393721042552</c:v>
                </c:pt>
                <c:pt idx="6071">
                  <c:v>0.51249401720272048</c:v>
                </c:pt>
                <c:pt idx="6072">
                  <c:v>0.52312018931443072</c:v>
                </c:pt>
                <c:pt idx="6073">
                  <c:v>0.53117582703706934</c:v>
                </c:pt>
                <c:pt idx="6074">
                  <c:v>0.5293519330056119</c:v>
                </c:pt>
                <c:pt idx="6075">
                  <c:v>0.53869460566881233</c:v>
                </c:pt>
                <c:pt idx="6076">
                  <c:v>0.54849628933862915</c:v>
                </c:pt>
                <c:pt idx="6077">
                  <c:v>0.53099709392422823</c:v>
                </c:pt>
                <c:pt idx="6078">
                  <c:v>0.52763982380696917</c:v>
                </c:pt>
                <c:pt idx="6079">
                  <c:v>0.53643950029643661</c:v>
                </c:pt>
                <c:pt idx="6080">
                  <c:v>0.54420389523119117</c:v>
                </c:pt>
                <c:pt idx="6081">
                  <c:v>0.52604499489814505</c:v>
                </c:pt>
                <c:pt idx="6082">
                  <c:v>0.53186743676690462</c:v>
                </c:pt>
                <c:pt idx="6083">
                  <c:v>0.54284011059314408</c:v>
                </c:pt>
                <c:pt idx="6084">
                  <c:v>0.53027771047017802</c:v>
                </c:pt>
                <c:pt idx="6085">
                  <c:v>0.5226876571048219</c:v>
                </c:pt>
                <c:pt idx="6086">
                  <c:v>0.52947103548486618</c:v>
                </c:pt>
                <c:pt idx="6087">
                  <c:v>0.53345225520208273</c:v>
                </c:pt>
                <c:pt idx="6088">
                  <c:v>0.53353998301091976</c:v>
                </c:pt>
                <c:pt idx="6089">
                  <c:v>0.53359362809822586</c:v>
                </c:pt>
                <c:pt idx="6090">
                  <c:v>0.52450348148956893</c:v>
                </c:pt>
                <c:pt idx="6091">
                  <c:v>0.52376193990219411</c:v>
                </c:pt>
                <c:pt idx="6092">
                  <c:v>0.52303749432536384</c:v>
                </c:pt>
                <c:pt idx="6093">
                  <c:v>0.52011314370913231</c:v>
                </c:pt>
                <c:pt idx="6094">
                  <c:v>0.51482709876099875</c:v>
                </c:pt>
                <c:pt idx="6095">
                  <c:v>0.51550758436192756</c:v>
                </c:pt>
                <c:pt idx="6096">
                  <c:v>0.53111306148418091</c:v>
                </c:pt>
                <c:pt idx="6097">
                  <c:v>0.52346564496537229</c:v>
                </c:pt>
                <c:pt idx="6098">
                  <c:v>0.53265604664711741</c:v>
                </c:pt>
                <c:pt idx="6099">
                  <c:v>0.52590166039607433</c:v>
                </c:pt>
                <c:pt idx="6100">
                  <c:v>0.53289126843350554</c:v>
                </c:pt>
                <c:pt idx="6101">
                  <c:v>0.53612936487865437</c:v>
                </c:pt>
                <c:pt idx="6102">
                  <c:v>0.53355828918834469</c:v>
                </c:pt>
                <c:pt idx="6103">
                  <c:v>0.54145330524790725</c:v>
                </c:pt>
                <c:pt idx="6104">
                  <c:v>0.53495478199042845</c:v>
                </c:pt>
                <c:pt idx="6105">
                  <c:v>0.53649544005235039</c:v>
                </c:pt>
                <c:pt idx="6106">
                  <c:v>0.53058014771060602</c:v>
                </c:pt>
                <c:pt idx="6107">
                  <c:v>0.54833179504241569</c:v>
                </c:pt>
                <c:pt idx="6108">
                  <c:v>0.5482098890259568</c:v>
                </c:pt>
                <c:pt idx="6109">
                  <c:v>0.53672884447176517</c:v>
                </c:pt>
                <c:pt idx="6110">
                  <c:v>0.53580762596387033</c:v>
                </c:pt>
                <c:pt idx="6111">
                  <c:v>0.53909354553278943</c:v>
                </c:pt>
                <c:pt idx="6112">
                  <c:v>0.55488898716306367</c:v>
                </c:pt>
                <c:pt idx="6113">
                  <c:v>0.51556284108845774</c:v>
                </c:pt>
                <c:pt idx="6114">
                  <c:v>0.50909736462114241</c:v>
                </c:pt>
                <c:pt idx="6115">
                  <c:v>0.50394041396088918</c:v>
                </c:pt>
                <c:pt idx="6116">
                  <c:v>0.52142838838702643</c:v>
                </c:pt>
                <c:pt idx="6117">
                  <c:v>0.49115458405667795</c:v>
                </c:pt>
                <c:pt idx="6118">
                  <c:v>0.48708659656640296</c:v>
                </c:pt>
                <c:pt idx="6119">
                  <c:v>0.48552779584784761</c:v>
                </c:pt>
                <c:pt idx="6120">
                  <c:v>0.4847879682283317</c:v>
                </c:pt>
                <c:pt idx="6121">
                  <c:v>0.4870471216103362</c:v>
                </c:pt>
                <c:pt idx="6122">
                  <c:v>0.51804570234650027</c:v>
                </c:pt>
                <c:pt idx="6123">
                  <c:v>0.50549903791269546</c:v>
                </c:pt>
                <c:pt idx="6124">
                  <c:v>0.51345839355446787</c:v>
                </c:pt>
                <c:pt idx="6125">
                  <c:v>0.51470842517472815</c:v>
                </c:pt>
                <c:pt idx="6126">
                  <c:v>0.51256460191898745</c:v>
                </c:pt>
                <c:pt idx="6127">
                  <c:v>0.49622812496097524</c:v>
                </c:pt>
                <c:pt idx="6128">
                  <c:v>0.48372248484840613</c:v>
                </c:pt>
                <c:pt idx="6129">
                  <c:v>0.49207852838004601</c:v>
                </c:pt>
                <c:pt idx="6130">
                  <c:v>0.5045280850082865</c:v>
                </c:pt>
                <c:pt idx="6131">
                  <c:v>0.4982365106093018</c:v>
                </c:pt>
                <c:pt idx="6132">
                  <c:v>0.5139056645905673</c:v>
                </c:pt>
                <c:pt idx="6133">
                  <c:v>0.47972556705584291</c:v>
                </c:pt>
                <c:pt idx="6134">
                  <c:v>0.51408678408256026</c:v>
                </c:pt>
                <c:pt idx="6135">
                  <c:v>0.49680362906765857</c:v>
                </c:pt>
                <c:pt idx="6136">
                  <c:v>0.51123544506152008</c:v>
                </c:pt>
                <c:pt idx="6137">
                  <c:v>0.55432086100059141</c:v>
                </c:pt>
                <c:pt idx="6138">
                  <c:v>0.54268428943144609</c:v>
                </c:pt>
                <c:pt idx="6139">
                  <c:v>0.52236519254350566</c:v>
                </c:pt>
                <c:pt idx="6140">
                  <c:v>0.52523339249510725</c:v>
                </c:pt>
                <c:pt idx="6141">
                  <c:v>0.51864933968464433</c:v>
                </c:pt>
                <c:pt idx="6142">
                  <c:v>0.52007315006263155</c:v>
                </c:pt>
                <c:pt idx="6143">
                  <c:v>0.50177532596688801</c:v>
                </c:pt>
                <c:pt idx="6144">
                  <c:v>0.54133731947747066</c:v>
                </c:pt>
                <c:pt idx="6145">
                  <c:v>0.52072046318835119</c:v>
                </c:pt>
                <c:pt idx="6146">
                  <c:v>0.54098030345099379</c:v>
                </c:pt>
                <c:pt idx="6147">
                  <c:v>0.52737285651067911</c:v>
                </c:pt>
                <c:pt idx="6148">
                  <c:v>0.56482992920797215</c:v>
                </c:pt>
                <c:pt idx="6149">
                  <c:v>0.53174720260152453</c:v>
                </c:pt>
                <c:pt idx="6150">
                  <c:v>0.55126050176925201</c:v>
                </c:pt>
                <c:pt idx="6151">
                  <c:v>0.53574653818148443</c:v>
                </c:pt>
                <c:pt idx="6152">
                  <c:v>0.53599741122488576</c:v>
                </c:pt>
                <c:pt idx="6153">
                  <c:v>0.52618298080782855</c:v>
                </c:pt>
                <c:pt idx="6154">
                  <c:v>0.53489471471902506</c:v>
                </c:pt>
                <c:pt idx="6155">
                  <c:v>0.55133079461829027</c:v>
                </c:pt>
                <c:pt idx="6156">
                  <c:v>0.56093765717856503</c:v>
                </c:pt>
                <c:pt idx="6157">
                  <c:v>0.59121402316553351</c:v>
                </c:pt>
                <c:pt idx="6158">
                  <c:v>0.54481736208216203</c:v>
                </c:pt>
                <c:pt idx="6159">
                  <c:v>0.52900868901086151</c:v>
                </c:pt>
                <c:pt idx="6160">
                  <c:v>0.53116585674060612</c:v>
                </c:pt>
                <c:pt idx="6161">
                  <c:v>0.54129074166239211</c:v>
                </c:pt>
                <c:pt idx="6162">
                  <c:v>0.54653279303683233</c:v>
                </c:pt>
                <c:pt idx="6163">
                  <c:v>0.53840191725560627</c:v>
                </c:pt>
                <c:pt idx="6164">
                  <c:v>0.60921597069498412</c:v>
                </c:pt>
                <c:pt idx="6165">
                  <c:v>0.5662910920142985</c:v>
                </c:pt>
                <c:pt idx="6166">
                  <c:v>0.56884482515287893</c:v>
                </c:pt>
                <c:pt idx="6167">
                  <c:v>0.58046695822154393</c:v>
                </c:pt>
                <c:pt idx="6168">
                  <c:v>0.57350075713461779</c:v>
                </c:pt>
                <c:pt idx="6169">
                  <c:v>0.55941414549880752</c:v>
                </c:pt>
                <c:pt idx="6170">
                  <c:v>0.55634206801760222</c:v>
                </c:pt>
                <c:pt idx="6171">
                  <c:v>0.51109075226695855</c:v>
                </c:pt>
                <c:pt idx="6172">
                  <c:v>0.53152145027190412</c:v>
                </c:pt>
                <c:pt idx="6173">
                  <c:v>0.532837918517437</c:v>
                </c:pt>
                <c:pt idx="6174">
                  <c:v>0.57841306587221297</c:v>
                </c:pt>
                <c:pt idx="6175">
                  <c:v>0.57106144869379372</c:v>
                </c:pt>
                <c:pt idx="6176">
                  <c:v>0.56603082107379954</c:v>
                </c:pt>
                <c:pt idx="6177">
                  <c:v>0.54809016171142733</c:v>
                </c:pt>
                <c:pt idx="6178">
                  <c:v>0.55072781024179984</c:v>
                </c:pt>
                <c:pt idx="6179">
                  <c:v>0.58864722318520568</c:v>
                </c:pt>
                <c:pt idx="6180">
                  <c:v>0.60261943643017823</c:v>
                </c:pt>
                <c:pt idx="6181">
                  <c:v>0.59683034257272372</c:v>
                </c:pt>
                <c:pt idx="6182">
                  <c:v>0.65850401753577215</c:v>
                </c:pt>
                <c:pt idx="6183">
                  <c:v>0.54438905543084704</c:v>
                </c:pt>
                <c:pt idx="6184">
                  <c:v>0.57841512955393992</c:v>
                </c:pt>
                <c:pt idx="6185">
                  <c:v>0.60819890591498194</c:v>
                </c:pt>
                <c:pt idx="6186">
                  <c:v>0.5749971061893695</c:v>
                </c:pt>
                <c:pt idx="6187">
                  <c:v>0.58868596623593705</c:v>
                </c:pt>
                <c:pt idx="6188">
                  <c:v>0.59509083813861763</c:v>
                </c:pt>
                <c:pt idx="6189">
                  <c:v>0.55734163317279783</c:v>
                </c:pt>
                <c:pt idx="6190">
                  <c:v>0.56532032632478957</c:v>
                </c:pt>
                <c:pt idx="6191">
                  <c:v>0.55649728640912766</c:v>
                </c:pt>
                <c:pt idx="6192">
                  <c:v>0.61217944923162593</c:v>
                </c:pt>
                <c:pt idx="6193">
                  <c:v>0.58224045528270973</c:v>
                </c:pt>
                <c:pt idx="6194">
                  <c:v>0.5515902670750652</c:v>
                </c:pt>
                <c:pt idx="6195">
                  <c:v>0.57978131085036388</c:v>
                </c:pt>
                <c:pt idx="6196">
                  <c:v>0.56703637011727037</c:v>
                </c:pt>
                <c:pt idx="6197">
                  <c:v>0.58563497635989004</c:v>
                </c:pt>
                <c:pt idx="6198">
                  <c:v>0.58432172407182936</c:v>
                </c:pt>
                <c:pt idx="6199">
                  <c:v>0.5687625407087058</c:v>
                </c:pt>
                <c:pt idx="6200">
                  <c:v>0.59497541766112272</c:v>
                </c:pt>
                <c:pt idx="6201">
                  <c:v>0.53705999022602635</c:v>
                </c:pt>
                <c:pt idx="6202">
                  <c:v>0.54225424670773359</c:v>
                </c:pt>
                <c:pt idx="6203">
                  <c:v>0.59037453306066967</c:v>
                </c:pt>
                <c:pt idx="6204">
                  <c:v>0.54621756123994947</c:v>
                </c:pt>
                <c:pt idx="6205">
                  <c:v>0.56338068768906757</c:v>
                </c:pt>
                <c:pt idx="6206">
                  <c:v>0.53104389382180561</c:v>
                </c:pt>
                <c:pt idx="6207">
                  <c:v>0.53026349252980465</c:v>
                </c:pt>
                <c:pt idx="6208">
                  <c:v>0.51069149286724369</c:v>
                </c:pt>
                <c:pt idx="6209">
                  <c:v>0.5075467652419533</c:v>
                </c:pt>
                <c:pt idx="6210">
                  <c:v>0.5057871093265256</c:v>
                </c:pt>
                <c:pt idx="6211">
                  <c:v>0.51125966735879924</c:v>
                </c:pt>
                <c:pt idx="6212">
                  <c:v>0.49656075606958172</c:v>
                </c:pt>
                <c:pt idx="6213">
                  <c:v>0.48246838646649748</c:v>
                </c:pt>
                <c:pt idx="6214">
                  <c:v>0.48135189017665325</c:v>
                </c:pt>
                <c:pt idx="6215">
                  <c:v>0.50664923211313306</c:v>
                </c:pt>
                <c:pt idx="6216">
                  <c:v>0.51545192299753484</c:v>
                </c:pt>
                <c:pt idx="6217">
                  <c:v>0.50951072169278366</c:v>
                </c:pt>
                <c:pt idx="6218">
                  <c:v>0.50125759497100442</c:v>
                </c:pt>
                <c:pt idx="6219">
                  <c:v>0.51026289526618829</c:v>
                </c:pt>
                <c:pt idx="6220">
                  <c:v>0.50887392082749816</c:v>
                </c:pt>
                <c:pt idx="6221">
                  <c:v>0.54626818160774926</c:v>
                </c:pt>
                <c:pt idx="6222">
                  <c:v>0.52870464085209146</c:v>
                </c:pt>
                <c:pt idx="6223">
                  <c:v>0.52952480057967333</c:v>
                </c:pt>
                <c:pt idx="6224">
                  <c:v>0.52289277276556034</c:v>
                </c:pt>
                <c:pt idx="6225">
                  <c:v>0.51332376276670133</c:v>
                </c:pt>
                <c:pt idx="6226">
                  <c:v>0.5254038913850686</c:v>
                </c:pt>
                <c:pt idx="6227">
                  <c:v>0.52742855806967348</c:v>
                </c:pt>
                <c:pt idx="6228">
                  <c:v>0.53109465194376793</c:v>
                </c:pt>
                <c:pt idx="6229">
                  <c:v>0.52420561395648935</c:v>
                </c:pt>
                <c:pt idx="6230">
                  <c:v>0.5211902743927247</c:v>
                </c:pt>
                <c:pt idx="6231">
                  <c:v>0.52174854458905451</c:v>
                </c:pt>
                <c:pt idx="6232">
                  <c:v>0.51235107804042834</c:v>
                </c:pt>
                <c:pt idx="6233">
                  <c:v>0.52419756064655298</c:v>
                </c:pt>
                <c:pt idx="6234">
                  <c:v>0.52848501809283466</c:v>
                </c:pt>
                <c:pt idx="6235">
                  <c:v>0.52012245317709205</c:v>
                </c:pt>
                <c:pt idx="6236">
                  <c:v>0.51015812818795125</c:v>
                </c:pt>
                <c:pt idx="6237">
                  <c:v>0.49649707457797881</c:v>
                </c:pt>
                <c:pt idx="6238">
                  <c:v>0.51208749821571042</c:v>
                </c:pt>
                <c:pt idx="6239">
                  <c:v>0.50024265153635639</c:v>
                </c:pt>
                <c:pt idx="6240">
                  <c:v>0.5152325212498674</c:v>
                </c:pt>
                <c:pt idx="6241">
                  <c:v>0.51335825672750413</c:v>
                </c:pt>
                <c:pt idx="6242">
                  <c:v>0.51534283253890056</c:v>
                </c:pt>
                <c:pt idx="6243">
                  <c:v>0.51043669116213963</c:v>
                </c:pt>
                <c:pt idx="6244">
                  <c:v>0.51017328811273743</c:v>
                </c:pt>
                <c:pt idx="6245">
                  <c:v>0.52506256737339629</c:v>
                </c:pt>
                <c:pt idx="6246">
                  <c:v>0.52593439347106408</c:v>
                </c:pt>
                <c:pt idx="6247">
                  <c:v>0.53346853068516475</c:v>
                </c:pt>
                <c:pt idx="6248">
                  <c:v>0.54210320106377907</c:v>
                </c:pt>
                <c:pt idx="6249">
                  <c:v>0.51902203030161309</c:v>
                </c:pt>
                <c:pt idx="6250">
                  <c:v>0.51486877284122101</c:v>
                </c:pt>
                <c:pt idx="6251">
                  <c:v>0.52374828720378119</c:v>
                </c:pt>
                <c:pt idx="6252">
                  <c:v>0.53832811708006167</c:v>
                </c:pt>
                <c:pt idx="6253">
                  <c:v>0.53569467638453505</c:v>
                </c:pt>
                <c:pt idx="6254">
                  <c:v>0.5280957764664912</c:v>
                </c:pt>
                <c:pt idx="6255">
                  <c:v>0.52797616741346487</c:v>
                </c:pt>
                <c:pt idx="6256">
                  <c:v>0.51441359205437887</c:v>
                </c:pt>
                <c:pt idx="6257">
                  <c:v>0.51604262964776504</c:v>
                </c:pt>
                <c:pt idx="6258">
                  <c:v>0.51269213235217681</c:v>
                </c:pt>
                <c:pt idx="6259">
                  <c:v>0.51578697612825053</c:v>
                </c:pt>
                <c:pt idx="6260">
                  <c:v>0.50241783308489651</c:v>
                </c:pt>
                <c:pt idx="6261">
                  <c:v>0.50346191071937729</c:v>
                </c:pt>
                <c:pt idx="6262">
                  <c:v>0.48634545366763765</c:v>
                </c:pt>
                <c:pt idx="6263">
                  <c:v>0.48126572139017065</c:v>
                </c:pt>
                <c:pt idx="6264">
                  <c:v>0.4821307909154976</c:v>
                </c:pt>
                <c:pt idx="6265">
                  <c:v>0.46759375217276822</c:v>
                </c:pt>
                <c:pt idx="6266">
                  <c:v>0.45811759262678403</c:v>
                </c:pt>
                <c:pt idx="6267">
                  <c:v>0.45776854167466763</c:v>
                </c:pt>
                <c:pt idx="6268">
                  <c:v>0.46935272447465576</c:v>
                </c:pt>
                <c:pt idx="6269">
                  <c:v>0.46033785813161504</c:v>
                </c:pt>
                <c:pt idx="6270">
                  <c:v>0.47456763809988595</c:v>
                </c:pt>
                <c:pt idx="6271">
                  <c:v>0.4691178884200401</c:v>
                </c:pt>
                <c:pt idx="6272">
                  <c:v>0.48445573020335836</c:v>
                </c:pt>
                <c:pt idx="6273">
                  <c:v>0.46624508088252631</c:v>
                </c:pt>
                <c:pt idx="6274">
                  <c:v>0.48047219407087266</c:v>
                </c:pt>
                <c:pt idx="6275">
                  <c:v>0.48614784752950424</c:v>
                </c:pt>
                <c:pt idx="6276">
                  <c:v>0.49203321009653106</c:v>
                </c:pt>
                <c:pt idx="6277">
                  <c:v>0.48580770910117133</c:v>
                </c:pt>
                <c:pt idx="6278">
                  <c:v>0.49955979919266102</c:v>
                </c:pt>
                <c:pt idx="6279">
                  <c:v>0.47509125782221051</c:v>
                </c:pt>
                <c:pt idx="6280">
                  <c:v>0.47406744171243675</c:v>
                </c:pt>
                <c:pt idx="6281">
                  <c:v>0.4812869425782606</c:v>
                </c:pt>
                <c:pt idx="6282">
                  <c:v>0.46026306869941475</c:v>
                </c:pt>
                <c:pt idx="6283">
                  <c:v>0.50218969540886571</c:v>
                </c:pt>
                <c:pt idx="6284">
                  <c:v>0.48811578128867683</c:v>
                </c:pt>
                <c:pt idx="6285">
                  <c:v>0.5012040485748599</c:v>
                </c:pt>
                <c:pt idx="6286">
                  <c:v>0.48537896525515217</c:v>
                </c:pt>
                <c:pt idx="6287">
                  <c:v>0.48671264316201385</c:v>
                </c:pt>
                <c:pt idx="6288">
                  <c:v>0.50297087667581686</c:v>
                </c:pt>
                <c:pt idx="6289">
                  <c:v>0.4946771033127822</c:v>
                </c:pt>
                <c:pt idx="6290">
                  <c:v>0.48525452191126972</c:v>
                </c:pt>
                <c:pt idx="6291">
                  <c:v>0.49329336430601867</c:v>
                </c:pt>
                <c:pt idx="6292">
                  <c:v>0.46649260157450945</c:v>
                </c:pt>
                <c:pt idx="6293">
                  <c:v>0.49034734318495726</c:v>
                </c:pt>
                <c:pt idx="6294">
                  <c:v>0.48303684192998086</c:v>
                </c:pt>
                <c:pt idx="6295">
                  <c:v>0.49743377319461285</c:v>
                </c:pt>
                <c:pt idx="6296">
                  <c:v>0.50626901514564149</c:v>
                </c:pt>
                <c:pt idx="6297">
                  <c:v>0.50477374352055204</c:v>
                </c:pt>
                <c:pt idx="6298">
                  <c:v>0.47783638292191877</c:v>
                </c:pt>
                <c:pt idx="6299">
                  <c:v>0.4902038075847322</c:v>
                </c:pt>
                <c:pt idx="6300">
                  <c:v>0.5068828800702273</c:v>
                </c:pt>
                <c:pt idx="6301">
                  <c:v>0.5177769884139396</c:v>
                </c:pt>
                <c:pt idx="6302">
                  <c:v>0.50185601614075526</c:v>
                </c:pt>
                <c:pt idx="6303">
                  <c:v>0.47835463518932042</c:v>
                </c:pt>
                <c:pt idx="6304">
                  <c:v>0.4952067609565759</c:v>
                </c:pt>
                <c:pt idx="6305">
                  <c:v>0.50905526750625563</c:v>
                </c:pt>
                <c:pt idx="6306">
                  <c:v>0.49446795247166686</c:v>
                </c:pt>
                <c:pt idx="6307">
                  <c:v>0.49291550639237686</c:v>
                </c:pt>
                <c:pt idx="6308">
                  <c:v>0.50090538237175364</c:v>
                </c:pt>
                <c:pt idx="6309">
                  <c:v>0.48725817895983464</c:v>
                </c:pt>
                <c:pt idx="6310">
                  <c:v>0.46218738889493799</c:v>
                </c:pt>
                <c:pt idx="6311">
                  <c:v>0.5990100051956232</c:v>
                </c:pt>
                <c:pt idx="6312">
                  <c:v>0.59778368085995737</c:v>
                </c:pt>
                <c:pt idx="6313">
                  <c:v>0.59710904136010634</c:v>
                </c:pt>
                <c:pt idx="6314">
                  <c:v>0.58744267446284604</c:v>
                </c:pt>
                <c:pt idx="6315">
                  <c:v>0.56725016434084585</c:v>
                </c:pt>
                <c:pt idx="6316">
                  <c:v>0.53304796978523228</c:v>
                </c:pt>
                <c:pt idx="6317">
                  <c:v>0.56412801061828977</c:v>
                </c:pt>
                <c:pt idx="6318">
                  <c:v>0.55058530648903914</c:v>
                </c:pt>
                <c:pt idx="6319">
                  <c:v>0.61913644474167273</c:v>
                </c:pt>
                <c:pt idx="6320">
                  <c:v>0.59744440717467162</c:v>
                </c:pt>
                <c:pt idx="6321">
                  <c:v>0.58106983033086423</c:v>
                </c:pt>
                <c:pt idx="6322">
                  <c:v>0.5772802308143995</c:v>
                </c:pt>
                <c:pt idx="6323">
                  <c:v>0.58872224272238372</c:v>
                </c:pt>
                <c:pt idx="6324">
                  <c:v>0.61995980188416999</c:v>
                </c:pt>
                <c:pt idx="6325">
                  <c:v>0.60958683301461281</c:v>
                </c:pt>
                <c:pt idx="6326">
                  <c:v>0.61890662739157576</c:v>
                </c:pt>
                <c:pt idx="6327">
                  <c:v>0.67618550797730903</c:v>
                </c:pt>
                <c:pt idx="6328">
                  <c:v>0.56697092828456885</c:v>
                </c:pt>
                <c:pt idx="6329">
                  <c:v>0.61195578976053511</c:v>
                </c:pt>
                <c:pt idx="6330">
                  <c:v>0.61841003233756831</c:v>
                </c:pt>
                <c:pt idx="6331">
                  <c:v>0.60460001188399615</c:v>
                </c:pt>
                <c:pt idx="6332">
                  <c:v>0.59903712037172052</c:v>
                </c:pt>
                <c:pt idx="6333">
                  <c:v>0.61842425254976974</c:v>
                </c:pt>
                <c:pt idx="6334">
                  <c:v>0.5697462365029109</c:v>
                </c:pt>
                <c:pt idx="6335">
                  <c:v>0.57984359368368699</c:v>
                </c:pt>
                <c:pt idx="6336">
                  <c:v>0.57582899532391441</c:v>
                </c:pt>
                <c:pt idx="6337">
                  <c:v>0.63621750651113707</c:v>
                </c:pt>
                <c:pt idx="6338">
                  <c:v>0.59244757939286474</c:v>
                </c:pt>
                <c:pt idx="6339">
                  <c:v>0.58303341576799794</c:v>
                </c:pt>
                <c:pt idx="6340">
                  <c:v>0.58763902553050251</c:v>
                </c:pt>
                <c:pt idx="6341">
                  <c:v>0.60129539467422033</c:v>
                </c:pt>
                <c:pt idx="6342">
                  <c:v>0.60204761375884697</c:v>
                </c:pt>
                <c:pt idx="6343">
                  <c:v>0.61677012501880435</c:v>
                </c:pt>
                <c:pt idx="6344">
                  <c:v>0.57864207469795059</c:v>
                </c:pt>
                <c:pt idx="6345">
                  <c:v>0.60922195141370028</c:v>
                </c:pt>
                <c:pt idx="6346">
                  <c:v>0.55288761929436303</c:v>
                </c:pt>
                <c:pt idx="6347">
                  <c:v>0.57959566645418281</c:v>
                </c:pt>
                <c:pt idx="6348">
                  <c:v>0.60628729361817202</c:v>
                </c:pt>
                <c:pt idx="6349">
                  <c:v>0.56128746998279067</c:v>
                </c:pt>
                <c:pt idx="6350">
                  <c:v>0.56503322510181153</c:v>
                </c:pt>
                <c:pt idx="6351">
                  <c:v>0.54230769829800585</c:v>
                </c:pt>
                <c:pt idx="6352">
                  <c:v>0.54928668775597678</c:v>
                </c:pt>
                <c:pt idx="6353">
                  <c:v>0.52694699352632224</c:v>
                </c:pt>
                <c:pt idx="6354">
                  <c:v>0.51884203725726619</c:v>
                </c:pt>
                <c:pt idx="6355">
                  <c:v>0.51960961077639256</c:v>
                </c:pt>
                <c:pt idx="6356">
                  <c:v>0.5132357174966391</c:v>
                </c:pt>
                <c:pt idx="6357">
                  <c:v>0.51814805720195645</c:v>
                </c:pt>
                <c:pt idx="6358">
                  <c:v>0.48582572978689653</c:v>
                </c:pt>
                <c:pt idx="6359">
                  <c:v>0.49271514184281573</c:v>
                </c:pt>
                <c:pt idx="6360">
                  <c:v>0.51898233043260933</c:v>
                </c:pt>
                <c:pt idx="6361">
                  <c:v>0.51316231059468775</c:v>
                </c:pt>
                <c:pt idx="6362">
                  <c:v>0.50310807310727601</c:v>
                </c:pt>
                <c:pt idx="6363">
                  <c:v>0.51460021014047208</c:v>
                </c:pt>
                <c:pt idx="6364">
                  <c:v>0.51572684722919049</c:v>
                </c:pt>
                <c:pt idx="6365">
                  <c:v>0.52377299177227998</c:v>
                </c:pt>
                <c:pt idx="6366">
                  <c:v>0.54044197628136204</c:v>
                </c:pt>
                <c:pt idx="6367">
                  <c:v>0.53472321115793509</c:v>
                </c:pt>
                <c:pt idx="6368">
                  <c:v>0.5303973276797781</c:v>
                </c:pt>
                <c:pt idx="6369">
                  <c:v>0.52140734128421806</c:v>
                </c:pt>
                <c:pt idx="6370">
                  <c:v>0.52087075336292565</c:v>
                </c:pt>
                <c:pt idx="6371">
                  <c:v>0.52349049572154038</c:v>
                </c:pt>
                <c:pt idx="6372">
                  <c:v>0.53146780407068395</c:v>
                </c:pt>
                <c:pt idx="6373">
                  <c:v>0.53731413885332091</c:v>
                </c:pt>
                <c:pt idx="6374">
                  <c:v>0.5242136671170925</c:v>
                </c:pt>
                <c:pt idx="6375">
                  <c:v>0.52537798401258673</c:v>
                </c:pt>
                <c:pt idx="6376">
                  <c:v>0.5142672964814925</c:v>
                </c:pt>
                <c:pt idx="6377">
                  <c:v>0.52287622636503772</c:v>
                </c:pt>
                <c:pt idx="6378">
                  <c:v>0.52712069180937815</c:v>
                </c:pt>
                <c:pt idx="6379">
                  <c:v>0.52731186026664345</c:v>
                </c:pt>
                <c:pt idx="6380">
                  <c:v>0.51985738310272134</c:v>
                </c:pt>
                <c:pt idx="6381">
                  <c:v>0.50714436800200768</c:v>
                </c:pt>
                <c:pt idx="6382">
                  <c:v>0.49799278216932935</c:v>
                </c:pt>
                <c:pt idx="6383">
                  <c:v>0.50147842120496611</c:v>
                </c:pt>
                <c:pt idx="6384">
                  <c:v>0.51009895917060588</c:v>
                </c:pt>
                <c:pt idx="6385">
                  <c:v>0.51914018823662667</c:v>
                </c:pt>
                <c:pt idx="6386">
                  <c:v>0.5111556759031437</c:v>
                </c:pt>
                <c:pt idx="6387">
                  <c:v>0.51559596525173323</c:v>
                </c:pt>
                <c:pt idx="6388">
                  <c:v>0.51474785388950028</c:v>
                </c:pt>
                <c:pt idx="6389">
                  <c:v>0.51653815019868199</c:v>
                </c:pt>
                <c:pt idx="6390">
                  <c:v>0.52707411238568458</c:v>
                </c:pt>
                <c:pt idx="6391">
                  <c:v>0.53042908345991813</c:v>
                </c:pt>
                <c:pt idx="6392">
                  <c:v>0.53435538467182508</c:v>
                </c:pt>
                <c:pt idx="6393">
                  <c:v>0.54419359934682388</c:v>
                </c:pt>
                <c:pt idx="6394">
                  <c:v>0.51651911233678394</c:v>
                </c:pt>
                <c:pt idx="6395">
                  <c:v>0.51626162262034281</c:v>
                </c:pt>
                <c:pt idx="6396">
                  <c:v>0.53179672983510096</c:v>
                </c:pt>
                <c:pt idx="6397">
                  <c:v>0.53320448738951398</c:v>
                </c:pt>
                <c:pt idx="6398">
                  <c:v>0.54048163893484991</c:v>
                </c:pt>
                <c:pt idx="6399">
                  <c:v>0.52335568607374128</c:v>
                </c:pt>
                <c:pt idx="6400">
                  <c:v>0.52977493246131413</c:v>
                </c:pt>
                <c:pt idx="6401">
                  <c:v>0.5174930701674485</c:v>
                </c:pt>
                <c:pt idx="6402">
                  <c:v>0.50925576383984295</c:v>
                </c:pt>
                <c:pt idx="6403">
                  <c:v>0.52717513566181839</c:v>
                </c:pt>
                <c:pt idx="6404">
                  <c:v>0.51929391628670185</c:v>
                </c:pt>
                <c:pt idx="6405">
                  <c:v>0.49657459863657188</c:v>
                </c:pt>
                <c:pt idx="6406">
                  <c:v>0.50153713414464629</c:v>
                </c:pt>
                <c:pt idx="6407">
                  <c:v>0.49138074633555601</c:v>
                </c:pt>
                <c:pt idx="6408">
                  <c:v>0.48329781348206163</c:v>
                </c:pt>
                <c:pt idx="6409">
                  <c:v>0.48153220145959963</c:v>
                </c:pt>
                <c:pt idx="6410">
                  <c:v>0.47190208191664801</c:v>
                </c:pt>
                <c:pt idx="6411">
                  <c:v>0.45808416729668561</c:v>
                </c:pt>
                <c:pt idx="6412">
                  <c:v>0.4744490884292904</c:v>
                </c:pt>
                <c:pt idx="6413">
                  <c:v>0.47022079488773189</c:v>
                </c:pt>
                <c:pt idx="6414">
                  <c:v>0.46986588486604536</c:v>
                </c:pt>
                <c:pt idx="6415">
                  <c:v>0.47414470160656286</c:v>
                </c:pt>
                <c:pt idx="6416">
                  <c:v>0.47949829056903159</c:v>
                </c:pt>
                <c:pt idx="6417">
                  <c:v>0.48792434514636274</c:v>
                </c:pt>
                <c:pt idx="6418">
                  <c:v>0.47211623410738673</c:v>
                </c:pt>
                <c:pt idx="6419">
                  <c:v>0.49785782440941101</c:v>
                </c:pt>
                <c:pt idx="6420">
                  <c:v>0.5119235814668629</c:v>
                </c:pt>
                <c:pt idx="6421">
                  <c:v>0.52116516085924636</c:v>
                </c:pt>
                <c:pt idx="6422">
                  <c:v>0.49518607030515943</c:v>
                </c:pt>
                <c:pt idx="6423">
                  <c:v>0.50768144450954977</c:v>
                </c:pt>
                <c:pt idx="6424">
                  <c:v>0.49703931432904574</c:v>
                </c:pt>
                <c:pt idx="6425">
                  <c:v>0.50563814942648011</c:v>
                </c:pt>
                <c:pt idx="6426">
                  <c:v>0.51456687713381577</c:v>
                </c:pt>
                <c:pt idx="6427">
                  <c:v>0.48655217761227387</c:v>
                </c:pt>
                <c:pt idx="6428">
                  <c:v>0.51816070168751882</c:v>
                </c:pt>
                <c:pt idx="6429">
                  <c:v>0.51732656264945798</c:v>
                </c:pt>
                <c:pt idx="6430">
                  <c:v>0.52297979384973137</c:v>
                </c:pt>
                <c:pt idx="6431">
                  <c:v>0.5074019181803171</c:v>
                </c:pt>
                <c:pt idx="6432">
                  <c:v>0.51610880230876011</c:v>
                </c:pt>
                <c:pt idx="6433">
                  <c:v>0.52115103385845762</c:v>
                </c:pt>
                <c:pt idx="6434">
                  <c:v>0.52205019013370213</c:v>
                </c:pt>
                <c:pt idx="6435">
                  <c:v>0.52514928442481978</c:v>
                </c:pt>
                <c:pt idx="6436">
                  <c:v>0.52485549116991914</c:v>
                </c:pt>
                <c:pt idx="6437">
                  <c:v>0.49685799740453362</c:v>
                </c:pt>
                <c:pt idx="6438">
                  <c:v>0.51181640765343672</c:v>
                </c:pt>
                <c:pt idx="6439">
                  <c:v>0.50899393022040229</c:v>
                </c:pt>
                <c:pt idx="6440">
                  <c:v>0.53110347327925966</c:v>
                </c:pt>
                <c:pt idx="6441">
                  <c:v>0.53650541500803761</c:v>
                </c:pt>
                <c:pt idx="6442">
                  <c:v>0.52669793921355634</c:v>
                </c:pt>
                <c:pt idx="6443">
                  <c:v>0.51630871483775054</c:v>
                </c:pt>
                <c:pt idx="6444">
                  <c:v>0.52042509884336197</c:v>
                </c:pt>
                <c:pt idx="6445">
                  <c:v>0.54228676699038958</c:v>
                </c:pt>
                <c:pt idx="6446">
                  <c:v>0.56361325218120684</c:v>
                </c:pt>
                <c:pt idx="6447">
                  <c:v>0.54415427426485252</c:v>
                </c:pt>
                <c:pt idx="6448">
                  <c:v>0.5100541409894358</c:v>
                </c:pt>
                <c:pt idx="6449">
                  <c:v>0.53173443693510924</c:v>
                </c:pt>
                <c:pt idx="6450">
                  <c:v>0.53112316083111566</c:v>
                </c:pt>
                <c:pt idx="6451">
                  <c:v>0.54403664992874312</c:v>
                </c:pt>
                <c:pt idx="6452">
                  <c:v>0.53271591484536962</c:v>
                </c:pt>
                <c:pt idx="6453">
                  <c:v>0.52418794843597483</c:v>
                </c:pt>
                <c:pt idx="6454">
                  <c:v>0.5288192943204002</c:v>
                </c:pt>
                <c:pt idx="6455">
                  <c:v>0.52309362445196517</c:v>
                </c:pt>
                <c:pt idx="6456">
                  <c:v>0.53287968225465387</c:v>
                </c:pt>
                <c:pt idx="6457">
                  <c:v>0.5132676875860136</c:v>
                </c:pt>
                <c:pt idx="6458">
                  <c:v>0.52603387135024227</c:v>
                </c:pt>
                <c:pt idx="6459">
                  <c:v>0.54204573509027276</c:v>
                </c:pt>
                <c:pt idx="6460">
                  <c:v>0.47971966714361286</c:v>
                </c:pt>
                <c:pt idx="6461">
                  <c:v>0.48587794298480635</c:v>
                </c:pt>
                <c:pt idx="6462">
                  <c:v>0.51482178967380043</c:v>
                </c:pt>
                <c:pt idx="6463">
                  <c:v>0.54769792813232199</c:v>
                </c:pt>
                <c:pt idx="6464">
                  <c:v>0.53018816810802971</c:v>
                </c:pt>
                <c:pt idx="6465">
                  <c:v>0.53936494661657708</c:v>
                </c:pt>
                <c:pt idx="6466">
                  <c:v>0.54931709199248524</c:v>
                </c:pt>
                <c:pt idx="6467">
                  <c:v>0.62307471029291639</c:v>
                </c:pt>
                <c:pt idx="6468">
                  <c:v>0.59418032412630539</c:v>
                </c:pt>
                <c:pt idx="6469">
                  <c:v>0.57871678018113648</c:v>
                </c:pt>
                <c:pt idx="6470">
                  <c:v>0.54521715498705758</c:v>
                </c:pt>
                <c:pt idx="6471">
                  <c:v>0.53995409218674373</c:v>
                </c:pt>
                <c:pt idx="6472">
                  <c:v>0.55095210391651617</c:v>
                </c:pt>
                <c:pt idx="6473">
                  <c:v>0.54453348262218138</c:v>
                </c:pt>
                <c:pt idx="6474">
                  <c:v>0.56267226016858907</c:v>
                </c:pt>
                <c:pt idx="6475">
                  <c:v>0.52813825614631116</c:v>
                </c:pt>
                <c:pt idx="6476">
                  <c:v>0.55869693320466918</c:v>
                </c:pt>
                <c:pt idx="6477">
                  <c:v>0.55084009372315512</c:v>
                </c:pt>
                <c:pt idx="6478">
                  <c:v>0.57619479429179166</c:v>
                </c:pt>
                <c:pt idx="6479">
                  <c:v>0.56746161941082884</c:v>
                </c:pt>
                <c:pt idx="6480">
                  <c:v>0.55608940292400266</c:v>
                </c:pt>
                <c:pt idx="6481">
                  <c:v>0.51781706224559365</c:v>
                </c:pt>
                <c:pt idx="6482">
                  <c:v>0.51283055919607834</c:v>
                </c:pt>
                <c:pt idx="6483">
                  <c:v>0.50640016671622268</c:v>
                </c:pt>
                <c:pt idx="6484">
                  <c:v>0.55251125781363408</c:v>
                </c:pt>
                <c:pt idx="6485">
                  <c:v>0.56171183017936555</c:v>
                </c:pt>
                <c:pt idx="6486">
                  <c:v>0.55558024786508031</c:v>
                </c:pt>
                <c:pt idx="6487">
                  <c:v>0.55418486557415936</c:v>
                </c:pt>
                <c:pt idx="6488">
                  <c:v>0.53734551891764004</c:v>
                </c:pt>
                <c:pt idx="6489">
                  <c:v>0.51847603616000781</c:v>
                </c:pt>
                <c:pt idx="6490">
                  <c:v>0.52797694002112194</c:v>
                </c:pt>
                <c:pt idx="6491">
                  <c:v>0.53349790130250996</c:v>
                </c:pt>
                <c:pt idx="6492">
                  <c:v>0.49844413050019271</c:v>
                </c:pt>
                <c:pt idx="6493">
                  <c:v>0.51226296884760381</c:v>
                </c:pt>
                <c:pt idx="6494">
                  <c:v>0.48665189133602049</c:v>
                </c:pt>
                <c:pt idx="6495">
                  <c:v>0.46862480615052449</c:v>
                </c:pt>
                <c:pt idx="6496">
                  <c:v>0.48065100417683415</c:v>
                </c:pt>
                <c:pt idx="6497">
                  <c:v>0.47933672096525259</c:v>
                </c:pt>
                <c:pt idx="6498">
                  <c:v>0.48684403063172171</c:v>
                </c:pt>
                <c:pt idx="6499">
                  <c:v>0.48293543759546226</c:v>
                </c:pt>
                <c:pt idx="6500">
                  <c:v>0.45573752192210931</c:v>
                </c:pt>
                <c:pt idx="6501">
                  <c:v>0.47505285915243994</c:v>
                </c:pt>
                <c:pt idx="6502">
                  <c:v>0.50457891293724932</c:v>
                </c:pt>
                <c:pt idx="6503">
                  <c:v>0.5218219512345692</c:v>
                </c:pt>
                <c:pt idx="6504">
                  <c:v>0.52293745792540547</c:v>
                </c:pt>
                <c:pt idx="6505">
                  <c:v>0.51610827296747797</c:v>
                </c:pt>
                <c:pt idx="6506">
                  <c:v>0.51929812005016729</c:v>
                </c:pt>
                <c:pt idx="6507">
                  <c:v>0.5267653490339087</c:v>
                </c:pt>
                <c:pt idx="6508">
                  <c:v>0.52385372690276322</c:v>
                </c:pt>
                <c:pt idx="6509">
                  <c:v>0.53371004819220313</c:v>
                </c:pt>
                <c:pt idx="6510">
                  <c:v>0.52854289200884785</c:v>
                </c:pt>
                <c:pt idx="6511">
                  <c:v>0.53077555712906654</c:v>
                </c:pt>
                <c:pt idx="6512">
                  <c:v>0.52396083054578579</c:v>
                </c:pt>
                <c:pt idx="6513">
                  <c:v>0.5224701860647718</c:v>
                </c:pt>
                <c:pt idx="6514">
                  <c:v>0.53164378991208849</c:v>
                </c:pt>
                <c:pt idx="6515">
                  <c:v>0.52119642175519132</c:v>
                </c:pt>
                <c:pt idx="6516">
                  <c:v>0.52848733319755659</c:v>
                </c:pt>
                <c:pt idx="6517">
                  <c:v>0.51725925544112483</c:v>
                </c:pt>
                <c:pt idx="6518">
                  <c:v>0.51951810400527976</c:v>
                </c:pt>
                <c:pt idx="6519">
                  <c:v>0.51673297589097611</c:v>
                </c:pt>
                <c:pt idx="6520">
                  <c:v>0.53135205898089521</c:v>
                </c:pt>
                <c:pt idx="6521">
                  <c:v>0.53566355633339857</c:v>
                </c:pt>
                <c:pt idx="6522">
                  <c:v>0.51845379250751744</c:v>
                </c:pt>
                <c:pt idx="6523">
                  <c:v>0.5111096279742392</c:v>
                </c:pt>
                <c:pt idx="6524">
                  <c:v>0.51180665111764645</c:v>
                </c:pt>
                <c:pt idx="6525">
                  <c:v>0.51588205285905564</c:v>
                </c:pt>
                <c:pt idx="6526">
                  <c:v>0.50388093613669283</c:v>
                </c:pt>
                <c:pt idx="6527">
                  <c:v>0.51922362858862325</c:v>
                </c:pt>
                <c:pt idx="6528">
                  <c:v>0.51241688127629248</c:v>
                </c:pt>
                <c:pt idx="6529">
                  <c:v>0.53036774661830521</c:v>
                </c:pt>
                <c:pt idx="6530">
                  <c:v>0.54063637623001692</c:v>
                </c:pt>
                <c:pt idx="6531">
                  <c:v>0.52353889206576809</c:v>
                </c:pt>
                <c:pt idx="6532">
                  <c:v>0.54171150890461195</c:v>
                </c:pt>
                <c:pt idx="6533">
                  <c:v>0.53091192051470648</c:v>
                </c:pt>
                <c:pt idx="6534">
                  <c:v>0.52359209580119281</c:v>
                </c:pt>
                <c:pt idx="6535">
                  <c:v>0.52246510000716007</c:v>
                </c:pt>
                <c:pt idx="6536">
                  <c:v>0.51730597566956005</c:v>
                </c:pt>
                <c:pt idx="6537">
                  <c:v>0.516773146168646</c:v>
                </c:pt>
                <c:pt idx="6538">
                  <c:v>0.52182456334209049</c:v>
                </c:pt>
                <c:pt idx="6539">
                  <c:v>0.53234549126354314</c:v>
                </c:pt>
                <c:pt idx="6540">
                  <c:v>0.53944935629065682</c:v>
                </c:pt>
                <c:pt idx="6541">
                  <c:v>0.54270582395946987</c:v>
                </c:pt>
                <c:pt idx="6542">
                  <c:v>0.54003162438568575</c:v>
                </c:pt>
                <c:pt idx="6543">
                  <c:v>0.53149833212628861</c:v>
                </c:pt>
                <c:pt idx="6544">
                  <c:v>0.52860525859530383</c:v>
                </c:pt>
                <c:pt idx="6545">
                  <c:v>0.51631916438473324</c:v>
                </c:pt>
                <c:pt idx="6546">
                  <c:v>0.49899179261194176</c:v>
                </c:pt>
                <c:pt idx="6547">
                  <c:v>0.4906846476388228</c:v>
                </c:pt>
                <c:pt idx="6548">
                  <c:v>0.47028933032136094</c:v>
                </c:pt>
                <c:pt idx="6549">
                  <c:v>0.48771558923899244</c:v>
                </c:pt>
                <c:pt idx="6550">
                  <c:v>0.5041658657442466</c:v>
                </c:pt>
                <c:pt idx="6551">
                  <c:v>0.48017890102874516</c:v>
                </c:pt>
                <c:pt idx="6552">
                  <c:v>0.480499487120921</c:v>
                </c:pt>
                <c:pt idx="6553">
                  <c:v>0.46238242292101761</c:v>
                </c:pt>
                <c:pt idx="6554">
                  <c:v>0.47452890184071544</c:v>
                </c:pt>
                <c:pt idx="6555">
                  <c:v>0.4898089102001939</c:v>
                </c:pt>
                <c:pt idx="6556">
                  <c:v>0.49223850326903701</c:v>
                </c:pt>
                <c:pt idx="6557">
                  <c:v>0.48050293454207482</c:v>
                </c:pt>
                <c:pt idx="6558">
                  <c:v>0.50413240232733103</c:v>
                </c:pt>
                <c:pt idx="6559">
                  <c:v>0.49174622440354532</c:v>
                </c:pt>
                <c:pt idx="6560">
                  <c:v>0.49028850213532288</c:v>
                </c:pt>
                <c:pt idx="6561">
                  <c:v>0.47585314718615479</c:v>
                </c:pt>
                <c:pt idx="6562">
                  <c:v>0.48756835457950692</c:v>
                </c:pt>
                <c:pt idx="6563">
                  <c:v>0.47826772521499383</c:v>
                </c:pt>
                <c:pt idx="6564">
                  <c:v>0.49245292260838475</c:v>
                </c:pt>
                <c:pt idx="6565">
                  <c:v>0.51022413036858782</c:v>
                </c:pt>
                <c:pt idx="6566">
                  <c:v>0.48260092110259556</c:v>
                </c:pt>
                <c:pt idx="6567">
                  <c:v>0.49175952144564117</c:v>
                </c:pt>
                <c:pt idx="6568">
                  <c:v>0.4884563741085397</c:v>
                </c:pt>
                <c:pt idx="6569">
                  <c:v>0.47297997301876743</c:v>
                </c:pt>
                <c:pt idx="6570">
                  <c:v>0.46397894392314815</c:v>
                </c:pt>
                <c:pt idx="6571">
                  <c:v>0.49356929420944562</c:v>
                </c:pt>
                <c:pt idx="6572">
                  <c:v>0.47728220338031191</c:v>
                </c:pt>
                <c:pt idx="6573">
                  <c:v>0.46835294370591918</c:v>
                </c:pt>
                <c:pt idx="6574">
                  <c:v>0.4793080584038607</c:v>
                </c:pt>
                <c:pt idx="6575">
                  <c:v>0.48935004114392555</c:v>
                </c:pt>
                <c:pt idx="6576">
                  <c:v>0.48673699815099913</c:v>
                </c:pt>
                <c:pt idx="6577">
                  <c:v>0.51193159839465119</c:v>
                </c:pt>
                <c:pt idx="6578">
                  <c:v>0.49855300165646044</c:v>
                </c:pt>
                <c:pt idx="6579">
                  <c:v>0.50396817656392667</c:v>
                </c:pt>
                <c:pt idx="6580">
                  <c:v>0.50630001326022889</c:v>
                </c:pt>
                <c:pt idx="6581">
                  <c:v>0.47965073296196853</c:v>
                </c:pt>
                <c:pt idx="6582">
                  <c:v>0.50294455073464184</c:v>
                </c:pt>
                <c:pt idx="6583">
                  <c:v>0.48735249917988294</c:v>
                </c:pt>
                <c:pt idx="6584">
                  <c:v>0.48965830492902529</c:v>
                </c:pt>
                <c:pt idx="6585">
                  <c:v>0.48739802574870966</c:v>
                </c:pt>
                <c:pt idx="6586">
                  <c:v>0.48572511654973644</c:v>
                </c:pt>
                <c:pt idx="6587">
                  <c:v>0.49635514200805247</c:v>
                </c:pt>
                <c:pt idx="6588">
                  <c:v>0.5126698572457552</c:v>
                </c:pt>
                <c:pt idx="6589">
                  <c:v>0.47586781094149638</c:v>
                </c:pt>
                <c:pt idx="6590">
                  <c:v>0.48002578115027533</c:v>
                </c:pt>
                <c:pt idx="6591">
                  <c:v>0.49955924929132051</c:v>
                </c:pt>
                <c:pt idx="6592">
                  <c:v>0.50438589829931213</c:v>
                </c:pt>
                <c:pt idx="6593">
                  <c:v>0.50114529058450852</c:v>
                </c:pt>
                <c:pt idx="6594">
                  <c:v>0.51129927660251528</c:v>
                </c:pt>
                <c:pt idx="6595">
                  <c:v>0.53589854610786236</c:v>
                </c:pt>
                <c:pt idx="6596">
                  <c:v>0.50737288896026078</c:v>
                </c:pt>
                <c:pt idx="6597">
                  <c:v>0.49505204322198615</c:v>
                </c:pt>
                <c:pt idx="6598">
                  <c:v>0.55793875553469374</c:v>
                </c:pt>
                <c:pt idx="6599">
                  <c:v>0.56091390455386514</c:v>
                </c:pt>
                <c:pt idx="6600">
                  <c:v>0.55943498604005415</c:v>
                </c:pt>
                <c:pt idx="6601">
                  <c:v>0.56639635896520701</c:v>
                </c:pt>
                <c:pt idx="6602">
                  <c:v>0.55657674350913922</c:v>
                </c:pt>
                <c:pt idx="6603">
                  <c:v>0.56512815852993803</c:v>
                </c:pt>
                <c:pt idx="6604">
                  <c:v>0.52251608830033747</c:v>
                </c:pt>
                <c:pt idx="6605">
                  <c:v>0.5102007892803877</c:v>
                </c:pt>
                <c:pt idx="6606">
                  <c:v>0.57746054789294143</c:v>
                </c:pt>
                <c:pt idx="6607">
                  <c:v>0.58400956902858392</c:v>
                </c:pt>
                <c:pt idx="6608">
                  <c:v>0.57445412253396477</c:v>
                </c:pt>
                <c:pt idx="6609">
                  <c:v>0.56714698676305841</c:v>
                </c:pt>
                <c:pt idx="6610">
                  <c:v>0.58042393725002517</c:v>
                </c:pt>
                <c:pt idx="6611">
                  <c:v>0.60947680300335016</c:v>
                </c:pt>
                <c:pt idx="6612">
                  <c:v>0.61315147436533779</c:v>
                </c:pt>
                <c:pt idx="6613">
                  <c:v>0.61410675578538043</c:v>
                </c:pt>
                <c:pt idx="6614">
                  <c:v>0.64688060003421588</c:v>
                </c:pt>
                <c:pt idx="6615">
                  <c:v>0.56957181383434219</c:v>
                </c:pt>
                <c:pt idx="6616">
                  <c:v>0.60896406494072797</c:v>
                </c:pt>
                <c:pt idx="6617">
                  <c:v>0.59370874444097199</c:v>
                </c:pt>
                <c:pt idx="6618">
                  <c:v>0.5880314615465132</c:v>
                </c:pt>
                <c:pt idx="6619">
                  <c:v>0.60167123239330345</c:v>
                </c:pt>
                <c:pt idx="6620">
                  <c:v>0.56341736046344226</c:v>
                </c:pt>
                <c:pt idx="6621">
                  <c:v>0.58400232536390206</c:v>
                </c:pt>
                <c:pt idx="6622">
                  <c:v>0.59346196497548631</c:v>
                </c:pt>
                <c:pt idx="6623">
                  <c:v>0.58982264374091919</c:v>
                </c:pt>
                <c:pt idx="6624">
                  <c:v>0.56344453667063787</c:v>
                </c:pt>
                <c:pt idx="6625">
                  <c:v>0.56991953692694253</c:v>
                </c:pt>
                <c:pt idx="6626">
                  <c:v>0.53331236262019843</c:v>
                </c:pt>
                <c:pt idx="6627">
                  <c:v>0.53910597120084514</c:v>
                </c:pt>
                <c:pt idx="6628">
                  <c:v>0.53901659888346365</c:v>
                </c:pt>
                <c:pt idx="6629">
                  <c:v>0.59227226946383427</c:v>
                </c:pt>
                <c:pt idx="6630">
                  <c:v>0.5656296725358918</c:v>
                </c:pt>
                <c:pt idx="6631">
                  <c:v>0.59046843507700908</c:v>
                </c:pt>
                <c:pt idx="6632">
                  <c:v>0.57888974508630742</c:v>
                </c:pt>
                <c:pt idx="6633">
                  <c:v>0.56261566917761019</c:v>
                </c:pt>
                <c:pt idx="6634">
                  <c:v>0.53040693148724904</c:v>
                </c:pt>
                <c:pt idx="6635">
                  <c:v>0.57787181354083295</c:v>
                </c:pt>
                <c:pt idx="6636">
                  <c:v>0.54529103118713551</c:v>
                </c:pt>
                <c:pt idx="6637">
                  <c:v>0.54517792248243091</c:v>
                </c:pt>
                <c:pt idx="6638">
                  <c:v>0.51546053772291478</c:v>
                </c:pt>
                <c:pt idx="6639">
                  <c:v>0.50671292986974137</c:v>
                </c:pt>
                <c:pt idx="6640">
                  <c:v>0.49671189300886065</c:v>
                </c:pt>
                <c:pt idx="6641">
                  <c:v>0.51149713490365079</c:v>
                </c:pt>
                <c:pt idx="6642">
                  <c:v>0.51258648218598535</c:v>
                </c:pt>
                <c:pt idx="6643">
                  <c:v>0.51296454315934903</c:v>
                </c:pt>
                <c:pt idx="6644">
                  <c:v>0.50247874060017372</c:v>
                </c:pt>
                <c:pt idx="6645">
                  <c:v>0.48513373799536219</c:v>
                </c:pt>
                <c:pt idx="6646">
                  <c:v>0.5016125323617262</c:v>
                </c:pt>
                <c:pt idx="6647">
                  <c:v>0.53418354101338184</c:v>
                </c:pt>
                <c:pt idx="6648">
                  <c:v>0.53153715969070248</c:v>
                </c:pt>
                <c:pt idx="6649">
                  <c:v>0.53242197195919094</c:v>
                </c:pt>
                <c:pt idx="6650">
                  <c:v>0.53020853773532062</c:v>
                </c:pt>
                <c:pt idx="6651">
                  <c:v>0.53260432406958824</c:v>
                </c:pt>
                <c:pt idx="6652">
                  <c:v>0.52548199276023821</c:v>
                </c:pt>
                <c:pt idx="6653">
                  <c:v>0.54212077590602559</c:v>
                </c:pt>
                <c:pt idx="6654">
                  <c:v>0.53504828791683456</c:v>
                </c:pt>
                <c:pt idx="6655">
                  <c:v>0.53689753959342279</c:v>
                </c:pt>
                <c:pt idx="6656">
                  <c:v>0.53605960127509567</c:v>
                </c:pt>
                <c:pt idx="6657">
                  <c:v>0.52843292497362382</c:v>
                </c:pt>
                <c:pt idx="6658">
                  <c:v>0.53419420389837102</c:v>
                </c:pt>
                <c:pt idx="6659">
                  <c:v>0.53420994386917875</c:v>
                </c:pt>
                <c:pt idx="6660">
                  <c:v>0.53140597499087117</c:v>
                </c:pt>
                <c:pt idx="6661">
                  <c:v>0.52453424343481114</c:v>
                </c:pt>
                <c:pt idx="6662">
                  <c:v>0.51821404155871342</c:v>
                </c:pt>
                <c:pt idx="6663">
                  <c:v>0.52155373478414613</c:v>
                </c:pt>
                <c:pt idx="6664">
                  <c:v>0.52470281135646768</c:v>
                </c:pt>
                <c:pt idx="6665">
                  <c:v>0.54169790993197853</c:v>
                </c:pt>
                <c:pt idx="6666">
                  <c:v>0.54174718858830007</c:v>
                </c:pt>
                <c:pt idx="6667">
                  <c:v>0.51756904604692588</c:v>
                </c:pt>
                <c:pt idx="6668">
                  <c:v>0.51723694937869025</c:v>
                </c:pt>
                <c:pt idx="6669">
                  <c:v>0.51640116475918563</c:v>
                </c:pt>
                <c:pt idx="6670">
                  <c:v>0.51790167970226741</c:v>
                </c:pt>
                <c:pt idx="6671">
                  <c:v>0.51717306058802337</c:v>
                </c:pt>
                <c:pt idx="6672">
                  <c:v>0.52016047569250612</c:v>
                </c:pt>
                <c:pt idx="6673">
                  <c:v>0.52476988293179072</c:v>
                </c:pt>
                <c:pt idx="6674">
                  <c:v>0.53277322772813562</c:v>
                </c:pt>
                <c:pt idx="6675">
                  <c:v>0.53849078770409486</c:v>
                </c:pt>
                <c:pt idx="6676">
                  <c:v>0.53338740151696162</c:v>
                </c:pt>
                <c:pt idx="6677">
                  <c:v>0.54190845911704288</c:v>
                </c:pt>
                <c:pt idx="6678">
                  <c:v>0.53059678716938408</c:v>
                </c:pt>
                <c:pt idx="6679">
                  <c:v>0.53750200731457853</c:v>
                </c:pt>
                <c:pt idx="6680">
                  <c:v>0.52718274693625911</c:v>
                </c:pt>
                <c:pt idx="6681">
                  <c:v>0.52836821790518362</c:v>
                </c:pt>
                <c:pt idx="6682">
                  <c:v>0.52742391654594767</c:v>
                </c:pt>
                <c:pt idx="6683">
                  <c:v>0.54639236171164984</c:v>
                </c:pt>
                <c:pt idx="6684">
                  <c:v>0.53303791510044374</c:v>
                </c:pt>
                <c:pt idx="6685">
                  <c:v>0.54774050181265865</c:v>
                </c:pt>
                <c:pt idx="6686">
                  <c:v>0.54884975964774985</c:v>
                </c:pt>
                <c:pt idx="6687">
                  <c:v>0.54456446932335134</c:v>
                </c:pt>
                <c:pt idx="6688">
                  <c:v>0.54059147431801535</c:v>
                </c:pt>
                <c:pt idx="6689">
                  <c:v>0.53080370317304337</c:v>
                </c:pt>
                <c:pt idx="6690">
                  <c:v>0.50666262158906805</c:v>
                </c:pt>
                <c:pt idx="6691">
                  <c:v>0.49449771811333831</c:v>
                </c:pt>
                <c:pt idx="6692">
                  <c:v>0.47947914151889692</c:v>
                </c:pt>
                <c:pt idx="6693">
                  <c:v>0.47847284525850076</c:v>
                </c:pt>
                <c:pt idx="6694">
                  <c:v>0.49932809159954583</c:v>
                </c:pt>
                <c:pt idx="6695">
                  <c:v>0.49655826436066591</c:v>
                </c:pt>
                <c:pt idx="6696">
                  <c:v>0.48622369695934087</c:v>
                </c:pt>
                <c:pt idx="6697">
                  <c:v>0.47837917472424396</c:v>
                </c:pt>
                <c:pt idx="6698">
                  <c:v>0.4780963085621811</c:v>
                </c:pt>
                <c:pt idx="6699">
                  <c:v>0.47788378507525425</c:v>
                </c:pt>
                <c:pt idx="6700">
                  <c:v>0.49610869228388887</c:v>
                </c:pt>
                <c:pt idx="6701">
                  <c:v>0.47797972969642077</c:v>
                </c:pt>
                <c:pt idx="6702">
                  <c:v>0.50846992361474741</c:v>
                </c:pt>
                <c:pt idx="6703">
                  <c:v>0.48384765297633942</c:v>
                </c:pt>
                <c:pt idx="6704">
                  <c:v>0.4997887725844764</c:v>
                </c:pt>
                <c:pt idx="6705">
                  <c:v>0.49995266318045034</c:v>
                </c:pt>
                <c:pt idx="6706">
                  <c:v>0.50398600357428602</c:v>
                </c:pt>
                <c:pt idx="6707">
                  <c:v>0.5066720886461602</c:v>
                </c:pt>
                <c:pt idx="6708">
                  <c:v>0.48724898623870971</c:v>
                </c:pt>
                <c:pt idx="6709">
                  <c:v>0.54116971589134888</c:v>
                </c:pt>
                <c:pt idx="6710">
                  <c:v>0.53381131845766072</c:v>
                </c:pt>
                <c:pt idx="6711">
                  <c:v>0.51030205905368753</c:v>
                </c:pt>
                <c:pt idx="6712">
                  <c:v>0.52217979418161364</c:v>
                </c:pt>
                <c:pt idx="6713">
                  <c:v>0.52933447558742808</c:v>
                </c:pt>
                <c:pt idx="6714">
                  <c:v>0.48744764710048977</c:v>
                </c:pt>
                <c:pt idx="6715">
                  <c:v>0.50359949695213879</c:v>
                </c:pt>
                <c:pt idx="6716">
                  <c:v>0.51286669227555504</c:v>
                </c:pt>
                <c:pt idx="6717">
                  <c:v>0.51788138355990554</c:v>
                </c:pt>
                <c:pt idx="6718">
                  <c:v>0.50761788865661106</c:v>
                </c:pt>
                <c:pt idx="6719">
                  <c:v>0.52000705412843928</c:v>
                </c:pt>
                <c:pt idx="6720">
                  <c:v>0.52291439939372053</c:v>
                </c:pt>
                <c:pt idx="6721">
                  <c:v>0.53157240802586714</c:v>
                </c:pt>
                <c:pt idx="6722">
                  <c:v>0.542492921320467</c:v>
                </c:pt>
                <c:pt idx="6723">
                  <c:v>0.52740779975895391</c:v>
                </c:pt>
                <c:pt idx="6724">
                  <c:v>0.53285307106925539</c:v>
                </c:pt>
                <c:pt idx="6725">
                  <c:v>0.55423614157840773</c:v>
                </c:pt>
                <c:pt idx="6726">
                  <c:v>0.52505932649024478</c:v>
                </c:pt>
                <c:pt idx="6727">
                  <c:v>0.53224936142122448</c:v>
                </c:pt>
                <c:pt idx="6728">
                  <c:v>0.52422327875846386</c:v>
                </c:pt>
                <c:pt idx="6729">
                  <c:v>0.51155370660729438</c:v>
                </c:pt>
                <c:pt idx="6730">
                  <c:v>0.51083605081769001</c:v>
                </c:pt>
                <c:pt idx="6731">
                  <c:v>0.51276401846506947</c:v>
                </c:pt>
                <c:pt idx="6732">
                  <c:v>0.53540097119536201</c:v>
                </c:pt>
                <c:pt idx="6733">
                  <c:v>0.53147176389776241</c:v>
                </c:pt>
                <c:pt idx="6734">
                  <c:v>0.51677274976958398</c:v>
                </c:pt>
                <c:pt idx="6735">
                  <c:v>0.51157216102999059</c:v>
                </c:pt>
                <c:pt idx="6736">
                  <c:v>0.54871977396999039</c:v>
                </c:pt>
                <c:pt idx="6737">
                  <c:v>0.52806500828562897</c:v>
                </c:pt>
                <c:pt idx="6738">
                  <c:v>0.53332495479799646</c:v>
                </c:pt>
                <c:pt idx="6739">
                  <c:v>0.55164416714929165</c:v>
                </c:pt>
                <c:pt idx="6740">
                  <c:v>0.55583502077678137</c:v>
                </c:pt>
                <c:pt idx="6741">
                  <c:v>0.53410419584984226</c:v>
                </c:pt>
                <c:pt idx="6742">
                  <c:v>0.52629196773561771</c:v>
                </c:pt>
                <c:pt idx="6743">
                  <c:v>0.52761868896996011</c:v>
                </c:pt>
                <c:pt idx="6744">
                  <c:v>0.53388830363665229</c:v>
                </c:pt>
                <c:pt idx="6745">
                  <c:v>0.4929079682153224</c:v>
                </c:pt>
                <c:pt idx="6746">
                  <c:v>0.48892450007190147</c:v>
                </c:pt>
                <c:pt idx="6747">
                  <c:v>0.50185232386689682</c:v>
                </c:pt>
                <c:pt idx="6748">
                  <c:v>0.51196633670506497</c:v>
                </c:pt>
                <c:pt idx="6749">
                  <c:v>0.53058270766883686</c:v>
                </c:pt>
                <c:pt idx="6750">
                  <c:v>0.52697293653874555</c:v>
                </c:pt>
                <c:pt idx="6751">
                  <c:v>0.53290947466150584</c:v>
                </c:pt>
                <c:pt idx="6752">
                  <c:v>0.54359726222468907</c:v>
                </c:pt>
                <c:pt idx="6753">
                  <c:v>0.53391548656181553</c:v>
                </c:pt>
                <c:pt idx="6754">
                  <c:v>0.51058267423676496</c:v>
                </c:pt>
                <c:pt idx="6755">
                  <c:v>0.58517795124063832</c:v>
                </c:pt>
                <c:pt idx="6756">
                  <c:v>0.50590634885582997</c:v>
                </c:pt>
                <c:pt idx="6757">
                  <c:v>0.53797956555756188</c:v>
                </c:pt>
                <c:pt idx="6758">
                  <c:v>0.54019390869958872</c:v>
                </c:pt>
                <c:pt idx="6759">
                  <c:v>0.58960448481549976</c:v>
                </c:pt>
                <c:pt idx="6760">
                  <c:v>0.53030102176157079</c:v>
                </c:pt>
                <c:pt idx="6761">
                  <c:v>0.55670970215986515</c:v>
                </c:pt>
                <c:pt idx="6762">
                  <c:v>0.57301858716782061</c:v>
                </c:pt>
                <c:pt idx="6763">
                  <c:v>0.52842970914421217</c:v>
                </c:pt>
                <c:pt idx="6764">
                  <c:v>0.53849455832519089</c:v>
                </c:pt>
                <c:pt idx="6765">
                  <c:v>0.56764124004803296</c:v>
                </c:pt>
                <c:pt idx="6766">
                  <c:v>0.53631522006650667</c:v>
                </c:pt>
                <c:pt idx="6767">
                  <c:v>0.55373221050458343</c:v>
                </c:pt>
                <c:pt idx="6768">
                  <c:v>0.54185346174473537</c:v>
                </c:pt>
                <c:pt idx="6769">
                  <c:v>0.52659396294215099</c:v>
                </c:pt>
                <c:pt idx="6770">
                  <c:v>0.5453762763762805</c:v>
                </c:pt>
                <c:pt idx="6771">
                  <c:v>0.52922175565743745</c:v>
                </c:pt>
                <c:pt idx="6772">
                  <c:v>0.52319076061519643</c:v>
                </c:pt>
                <c:pt idx="6773">
                  <c:v>0.53125941513403985</c:v>
                </c:pt>
                <c:pt idx="6774">
                  <c:v>0.51520281726873973</c:v>
                </c:pt>
                <c:pt idx="6775">
                  <c:v>0.50146788214477711</c:v>
                </c:pt>
                <c:pt idx="6776">
                  <c:v>0.48927600274254746</c:v>
                </c:pt>
                <c:pt idx="6777">
                  <c:v>0.51969794837623917</c:v>
                </c:pt>
                <c:pt idx="6778">
                  <c:v>0.52298252925982081</c:v>
                </c:pt>
                <c:pt idx="6779">
                  <c:v>0.5107978729024607</c:v>
                </c:pt>
                <c:pt idx="6780">
                  <c:v>0.50077269773895949</c:v>
                </c:pt>
                <c:pt idx="6781">
                  <c:v>0.50074898020257985</c:v>
                </c:pt>
                <c:pt idx="6782">
                  <c:v>0.50452890047655963</c:v>
                </c:pt>
                <c:pt idx="6783">
                  <c:v>0.48334062753535639</c:v>
                </c:pt>
                <c:pt idx="6784">
                  <c:v>0.49035225794767417</c:v>
                </c:pt>
                <c:pt idx="6785">
                  <c:v>0.46209673267126083</c:v>
                </c:pt>
                <c:pt idx="6786">
                  <c:v>0.46541066325243879</c:v>
                </c:pt>
                <c:pt idx="6787">
                  <c:v>0.47524772638309842</c:v>
                </c:pt>
                <c:pt idx="6788">
                  <c:v>0.49904217148105734</c:v>
                </c:pt>
                <c:pt idx="6789">
                  <c:v>0.48133482982759551</c:v>
                </c:pt>
                <c:pt idx="6790">
                  <c:v>0.50504369888571043</c:v>
                </c:pt>
                <c:pt idx="6791">
                  <c:v>0.50200723564508243</c:v>
                </c:pt>
                <c:pt idx="6792">
                  <c:v>0.50773878522747606</c:v>
                </c:pt>
                <c:pt idx="6793">
                  <c:v>0.51394596422673189</c:v>
                </c:pt>
                <c:pt idx="6794">
                  <c:v>0.51640645457429757</c:v>
                </c:pt>
                <c:pt idx="6795">
                  <c:v>0.52517818626125723</c:v>
                </c:pt>
                <c:pt idx="6796">
                  <c:v>0.51698516780730841</c:v>
                </c:pt>
                <c:pt idx="6797">
                  <c:v>0.5176117766389563</c:v>
                </c:pt>
                <c:pt idx="6798">
                  <c:v>0.53807053542404815</c:v>
                </c:pt>
                <c:pt idx="6799">
                  <c:v>0.53224808634664522</c:v>
                </c:pt>
                <c:pt idx="6800">
                  <c:v>0.53499786310252129</c:v>
                </c:pt>
                <c:pt idx="6801">
                  <c:v>0.52495755045501125</c:v>
                </c:pt>
                <c:pt idx="6802">
                  <c:v>0.53153447763503647</c:v>
                </c:pt>
                <c:pt idx="6803">
                  <c:v>0.52303189393792637</c:v>
                </c:pt>
                <c:pt idx="6804">
                  <c:v>0.52226591445341441</c:v>
                </c:pt>
                <c:pt idx="6805">
                  <c:v>0.51527190241387488</c:v>
                </c:pt>
                <c:pt idx="6806">
                  <c:v>0.51108124716761516</c:v>
                </c:pt>
                <c:pt idx="6807">
                  <c:v>0.52682990801786012</c:v>
                </c:pt>
                <c:pt idx="6808">
                  <c:v>0.53637054431703768</c:v>
                </c:pt>
                <c:pt idx="6809">
                  <c:v>0.52534222930039021</c:v>
                </c:pt>
                <c:pt idx="6810">
                  <c:v>0.50924258851866855</c:v>
                </c:pt>
                <c:pt idx="6811">
                  <c:v>0.512521371809599</c:v>
                </c:pt>
                <c:pt idx="6812">
                  <c:v>0.50158708179553635</c:v>
                </c:pt>
                <c:pt idx="6813">
                  <c:v>0.52061989158984001</c:v>
                </c:pt>
                <c:pt idx="6814">
                  <c:v>0.52137844887949358</c:v>
                </c:pt>
                <c:pt idx="6815">
                  <c:v>0.51538975937531939</c:v>
                </c:pt>
                <c:pt idx="6816">
                  <c:v>0.52539780329145291</c:v>
                </c:pt>
                <c:pt idx="6817">
                  <c:v>0.51424257683141161</c:v>
                </c:pt>
                <c:pt idx="6818">
                  <c:v>0.53728716782958452</c:v>
                </c:pt>
                <c:pt idx="6819">
                  <c:v>0.54126226804445166</c:v>
                </c:pt>
                <c:pt idx="6820">
                  <c:v>0.53939492459043614</c:v>
                </c:pt>
                <c:pt idx="6821">
                  <c:v>0.54144319361997917</c:v>
                </c:pt>
                <c:pt idx="6822">
                  <c:v>0.53314901280602445</c:v>
                </c:pt>
                <c:pt idx="6823">
                  <c:v>0.52650288252631439</c:v>
                </c:pt>
                <c:pt idx="6824">
                  <c:v>0.52197851932571926</c:v>
                </c:pt>
                <c:pt idx="6825">
                  <c:v>0.53705545050577186</c:v>
                </c:pt>
                <c:pt idx="6826">
                  <c:v>0.51583769513609712</c:v>
                </c:pt>
                <c:pt idx="6827">
                  <c:v>0.5303115242422356</c:v>
                </c:pt>
                <c:pt idx="6828">
                  <c:v>0.5316425130583281</c:v>
                </c:pt>
                <c:pt idx="6829">
                  <c:v>0.5271164340639799</c:v>
                </c:pt>
                <c:pt idx="6830">
                  <c:v>0.53108442408410839</c:v>
                </c:pt>
                <c:pt idx="6831">
                  <c:v>0.51796730618982634</c:v>
                </c:pt>
                <c:pt idx="6832">
                  <c:v>0.49174496466265583</c:v>
                </c:pt>
                <c:pt idx="6833">
                  <c:v>0.49069629350869448</c:v>
                </c:pt>
                <c:pt idx="6834">
                  <c:v>0.48635409865514739</c:v>
                </c:pt>
                <c:pt idx="6835">
                  <c:v>0.49351841582407491</c:v>
                </c:pt>
                <c:pt idx="6836">
                  <c:v>0.48834296689277268</c:v>
                </c:pt>
                <c:pt idx="6837">
                  <c:v>0.47467159729403058</c:v>
                </c:pt>
                <c:pt idx="6838">
                  <c:v>0.45273547455506513</c:v>
                </c:pt>
                <c:pt idx="6839">
                  <c:v>0.49332097913320611</c:v>
                </c:pt>
                <c:pt idx="6840">
                  <c:v>0.48781433001282892</c:v>
                </c:pt>
                <c:pt idx="6841">
                  <c:v>0.47251408339958501</c:v>
                </c:pt>
                <c:pt idx="6842">
                  <c:v>0.48115343257608084</c:v>
                </c:pt>
                <c:pt idx="6843">
                  <c:v>0.48530083718462391</c:v>
                </c:pt>
                <c:pt idx="6844">
                  <c:v>0.46526533807150711</c:v>
                </c:pt>
                <c:pt idx="6845">
                  <c:v>0.477724938579136</c:v>
                </c:pt>
                <c:pt idx="6846">
                  <c:v>0.49422989303988923</c:v>
                </c:pt>
                <c:pt idx="6847">
                  <c:v>0.47000305695452776</c:v>
                </c:pt>
                <c:pt idx="6848">
                  <c:v>0.48152675595123839</c:v>
                </c:pt>
                <c:pt idx="6849">
                  <c:v>0.47287955508444574</c:v>
                </c:pt>
                <c:pt idx="6850">
                  <c:v>0.45989570627104048</c:v>
                </c:pt>
                <c:pt idx="6851">
                  <c:v>0.49383557666679029</c:v>
                </c:pt>
                <c:pt idx="6852">
                  <c:v>0.47691650899832572</c:v>
                </c:pt>
                <c:pt idx="6853">
                  <c:v>0.46113971798989556</c:v>
                </c:pt>
                <c:pt idx="6854">
                  <c:v>0.4651324650328505</c:v>
                </c:pt>
                <c:pt idx="6855">
                  <c:v>0.48986865972505483</c:v>
                </c:pt>
                <c:pt idx="6856">
                  <c:v>0.48772448954259556</c:v>
                </c:pt>
                <c:pt idx="6857">
                  <c:v>0.46869994070571713</c:v>
                </c:pt>
                <c:pt idx="6858">
                  <c:v>0.46982554920703318</c:v>
                </c:pt>
                <c:pt idx="6859">
                  <c:v>0.48037464330891261</c:v>
                </c:pt>
                <c:pt idx="6860">
                  <c:v>0.47146950064641419</c:v>
                </c:pt>
                <c:pt idx="6861">
                  <c:v>0.4871165894746623</c:v>
                </c:pt>
                <c:pt idx="6862">
                  <c:v>0.49053280181744624</c:v>
                </c:pt>
                <c:pt idx="6863">
                  <c:v>0.47893238962347279</c:v>
                </c:pt>
                <c:pt idx="6864">
                  <c:v>0.50069578240466939</c:v>
                </c:pt>
                <c:pt idx="6865">
                  <c:v>0.4934425750573358</c:v>
                </c:pt>
                <c:pt idx="6866">
                  <c:v>0.48411668509098527</c:v>
                </c:pt>
                <c:pt idx="6867">
                  <c:v>0.46613908464755277</c:v>
                </c:pt>
                <c:pt idx="6868">
                  <c:v>0.47410782265463652</c:v>
                </c:pt>
                <c:pt idx="6869">
                  <c:v>0.49624170107490706</c:v>
                </c:pt>
                <c:pt idx="6870">
                  <c:v>0.50364416904730736</c:v>
                </c:pt>
                <c:pt idx="6871">
                  <c:v>0.49474411040039867</c:v>
                </c:pt>
                <c:pt idx="6872">
                  <c:v>0.49872906710107562</c:v>
                </c:pt>
                <c:pt idx="6873">
                  <c:v>0.49959086748743181</c:v>
                </c:pt>
                <c:pt idx="6874">
                  <c:v>0.45868633624187105</c:v>
                </c:pt>
                <c:pt idx="6875">
                  <c:v>0.4903717760277097</c:v>
                </c:pt>
                <c:pt idx="6876">
                  <c:v>0.49130887480967089</c:v>
                </c:pt>
                <c:pt idx="6877">
                  <c:v>0.4823897329868852</c:v>
                </c:pt>
                <c:pt idx="6878">
                  <c:v>0.47689376960758734</c:v>
                </c:pt>
                <c:pt idx="6879">
                  <c:v>0.48877527892288475</c:v>
                </c:pt>
                <c:pt idx="6880">
                  <c:v>0.49630819019760486</c:v>
                </c:pt>
                <c:pt idx="6881">
                  <c:v>0.53377231250663426</c:v>
                </c:pt>
                <c:pt idx="6882">
                  <c:v>0.52302811689166795</c:v>
                </c:pt>
                <c:pt idx="6883">
                  <c:v>0.48801640314565242</c:v>
                </c:pt>
                <c:pt idx="6884">
                  <c:v>0.49931626225760933</c:v>
                </c:pt>
                <c:pt idx="6885">
                  <c:v>0.54287196490582501</c:v>
                </c:pt>
                <c:pt idx="6886">
                  <c:v>0.56388434108017438</c:v>
                </c:pt>
                <c:pt idx="6887">
                  <c:v>0.56751734737389492</c:v>
                </c:pt>
                <c:pt idx="6888">
                  <c:v>0.56878633681555901</c:v>
                </c:pt>
                <c:pt idx="6889">
                  <c:v>0.58274042521294822</c:v>
                </c:pt>
                <c:pt idx="6890">
                  <c:v>0.54590210046647358</c:v>
                </c:pt>
                <c:pt idx="6891">
                  <c:v>0.52478220636943484</c:v>
                </c:pt>
                <c:pt idx="6892">
                  <c:v>0.53684127311127516</c:v>
                </c:pt>
                <c:pt idx="6893">
                  <c:v>0.53467642570278795</c:v>
                </c:pt>
                <c:pt idx="6894">
                  <c:v>0.56633447499086909</c:v>
                </c:pt>
                <c:pt idx="6895">
                  <c:v>0.58211770316702272</c:v>
                </c:pt>
                <c:pt idx="6896">
                  <c:v>0.56661211771293818</c:v>
                </c:pt>
                <c:pt idx="6897">
                  <c:v>0.58039072716649254</c:v>
                </c:pt>
                <c:pt idx="6898">
                  <c:v>0.58721196924151586</c:v>
                </c:pt>
                <c:pt idx="6899">
                  <c:v>0.56182809923979926</c:v>
                </c:pt>
                <c:pt idx="6900">
                  <c:v>0.60832103243584668</c:v>
                </c:pt>
                <c:pt idx="6901">
                  <c:v>0.55627608038267662</c:v>
                </c:pt>
                <c:pt idx="6902">
                  <c:v>0.59314933136714254</c:v>
                </c:pt>
                <c:pt idx="6903">
                  <c:v>0.57720343829101173</c:v>
                </c:pt>
                <c:pt idx="6904">
                  <c:v>0.62126894908357777</c:v>
                </c:pt>
                <c:pt idx="6905">
                  <c:v>0.56500543866609165</c:v>
                </c:pt>
                <c:pt idx="6906">
                  <c:v>0.59422675748091347</c:v>
                </c:pt>
                <c:pt idx="6907">
                  <c:v>0.62041154148910249</c:v>
                </c:pt>
                <c:pt idx="6908">
                  <c:v>0.57510086181726017</c:v>
                </c:pt>
                <c:pt idx="6909">
                  <c:v>0.5744063361538454</c:v>
                </c:pt>
                <c:pt idx="6910">
                  <c:v>0.60044750619410026</c:v>
                </c:pt>
                <c:pt idx="6911">
                  <c:v>0.5691400768432574</c:v>
                </c:pt>
                <c:pt idx="6912">
                  <c:v>0.59101983898027943</c:v>
                </c:pt>
                <c:pt idx="6913">
                  <c:v>0.58440778464080101</c:v>
                </c:pt>
                <c:pt idx="6914">
                  <c:v>0.55527429876918333</c:v>
                </c:pt>
                <c:pt idx="6915">
                  <c:v>0.57560253671252248</c:v>
                </c:pt>
                <c:pt idx="6916">
                  <c:v>0.55237688564966436</c:v>
                </c:pt>
                <c:pt idx="6917">
                  <c:v>0.55340491832786398</c:v>
                </c:pt>
                <c:pt idx="6918">
                  <c:v>0.55549093929100657</c:v>
                </c:pt>
                <c:pt idx="6919">
                  <c:v>0.55250748524948246</c:v>
                </c:pt>
                <c:pt idx="6920">
                  <c:v>0.54411159569885115</c:v>
                </c:pt>
                <c:pt idx="6921">
                  <c:v>0.5270457235831445</c:v>
                </c:pt>
                <c:pt idx="6922">
                  <c:v>0.54304649999288079</c:v>
                </c:pt>
                <c:pt idx="6923">
                  <c:v>0.55683490885484732</c:v>
                </c:pt>
                <c:pt idx="6924">
                  <c:v>0.55498955197934519</c:v>
                </c:pt>
                <c:pt idx="6925">
                  <c:v>0.53400286686999676</c:v>
                </c:pt>
                <c:pt idx="6926">
                  <c:v>0.53309085867437134</c:v>
                </c:pt>
                <c:pt idx="6927">
                  <c:v>0.5329433387617537</c:v>
                </c:pt>
                <c:pt idx="6928">
                  <c:v>0.50768927027716504</c:v>
                </c:pt>
                <c:pt idx="6929">
                  <c:v>0.51153043686959909</c:v>
                </c:pt>
                <c:pt idx="6930">
                  <c:v>0.49677900198330066</c:v>
                </c:pt>
                <c:pt idx="6931">
                  <c:v>0.49468113515186102</c:v>
                </c:pt>
                <c:pt idx="6932">
                  <c:v>0.49370545168800062</c:v>
                </c:pt>
                <c:pt idx="6933">
                  <c:v>0.50371389191500759</c:v>
                </c:pt>
                <c:pt idx="6934">
                  <c:v>0.50955962638395058</c:v>
                </c:pt>
                <c:pt idx="6935">
                  <c:v>0.5072799824145876</c:v>
                </c:pt>
                <c:pt idx="6936">
                  <c:v>0.51967261714278068</c:v>
                </c:pt>
                <c:pt idx="6937">
                  <c:v>0.52548872721275197</c:v>
                </c:pt>
                <c:pt idx="6938">
                  <c:v>0.53021481497505274</c:v>
                </c:pt>
                <c:pt idx="6939">
                  <c:v>0.53462785985859207</c:v>
                </c:pt>
                <c:pt idx="6940">
                  <c:v>0.54150460876935813</c:v>
                </c:pt>
                <c:pt idx="6941">
                  <c:v>0.53048618680300808</c:v>
                </c:pt>
                <c:pt idx="6942">
                  <c:v>0.53721242161395377</c:v>
                </c:pt>
                <c:pt idx="6943">
                  <c:v>0.54967626479137865</c:v>
                </c:pt>
                <c:pt idx="6944">
                  <c:v>0.54740004172691725</c:v>
                </c:pt>
                <c:pt idx="6945">
                  <c:v>0.54626534208478406</c:v>
                </c:pt>
                <c:pt idx="6946">
                  <c:v>0.54285690905702644</c:v>
                </c:pt>
                <c:pt idx="6947">
                  <c:v>0.53576260143310739</c:v>
                </c:pt>
                <c:pt idx="6948">
                  <c:v>0.53622135481746025</c:v>
                </c:pt>
                <c:pt idx="6949">
                  <c:v>0.53730594689705558</c:v>
                </c:pt>
                <c:pt idx="6950">
                  <c:v>0.53235059039562771</c:v>
                </c:pt>
                <c:pt idx="6951">
                  <c:v>0.51108205042349431</c:v>
                </c:pt>
                <c:pt idx="6952">
                  <c:v>0.53343127418725089</c:v>
                </c:pt>
                <c:pt idx="6953">
                  <c:v>0.54599402029079636</c:v>
                </c:pt>
                <c:pt idx="6954">
                  <c:v>0.53823933909507826</c:v>
                </c:pt>
                <c:pt idx="6955">
                  <c:v>0.52277302513677881</c:v>
                </c:pt>
                <c:pt idx="6956">
                  <c:v>0.5186610486662504</c:v>
                </c:pt>
                <c:pt idx="6957">
                  <c:v>0.51229901567799363</c:v>
                </c:pt>
                <c:pt idx="6958">
                  <c:v>0.5248410946011145</c:v>
                </c:pt>
                <c:pt idx="6959">
                  <c:v>0.53297350868695825</c:v>
                </c:pt>
                <c:pt idx="6960">
                  <c:v>0.52545181595027834</c:v>
                </c:pt>
                <c:pt idx="6961">
                  <c:v>0.5337648158475965</c:v>
                </c:pt>
                <c:pt idx="6962">
                  <c:v>0.52227948336309549</c:v>
                </c:pt>
                <c:pt idx="6963">
                  <c:v>0.54180531773857044</c:v>
                </c:pt>
                <c:pt idx="6964">
                  <c:v>0.54596128226143548</c:v>
                </c:pt>
                <c:pt idx="6965">
                  <c:v>0.54757190526700628</c:v>
                </c:pt>
                <c:pt idx="6966">
                  <c:v>0.54981955689558859</c:v>
                </c:pt>
                <c:pt idx="6967">
                  <c:v>0.55040619387065415</c:v>
                </c:pt>
                <c:pt idx="6968">
                  <c:v>0.53516330553288938</c:v>
                </c:pt>
                <c:pt idx="6969">
                  <c:v>0.53424675286423662</c:v>
                </c:pt>
                <c:pt idx="6970">
                  <c:v>0.54651835711246788</c:v>
                </c:pt>
                <c:pt idx="6971">
                  <c:v>0.52994891362567487</c:v>
                </c:pt>
                <c:pt idx="6972">
                  <c:v>0.53148798603821601</c:v>
                </c:pt>
                <c:pt idx="6973">
                  <c:v>0.53816362454949451</c:v>
                </c:pt>
                <c:pt idx="6974">
                  <c:v>0.54143982302501859</c:v>
                </c:pt>
                <c:pt idx="6975">
                  <c:v>0.53665236122212812</c:v>
                </c:pt>
                <c:pt idx="6976">
                  <c:v>0.53087610688583364</c:v>
                </c:pt>
                <c:pt idx="6977">
                  <c:v>0.50153302860278537</c:v>
                </c:pt>
                <c:pt idx="6978">
                  <c:v>0.4865799411192252</c:v>
                </c:pt>
                <c:pt idx="6979">
                  <c:v>0.49315582189551116</c:v>
                </c:pt>
                <c:pt idx="6980">
                  <c:v>0.49612587487727133</c:v>
                </c:pt>
                <c:pt idx="6981">
                  <c:v>0.50357920231783404</c:v>
                </c:pt>
                <c:pt idx="6982">
                  <c:v>0.47851426168787142</c:v>
                </c:pt>
                <c:pt idx="6983">
                  <c:v>0.46703300614332133</c:v>
                </c:pt>
                <c:pt idx="6984">
                  <c:v>0.48989733657742063</c:v>
                </c:pt>
                <c:pt idx="6985">
                  <c:v>0.5021981673332222</c:v>
                </c:pt>
                <c:pt idx="6986">
                  <c:v>0.47651122179022154</c:v>
                </c:pt>
                <c:pt idx="6987">
                  <c:v>0.49466778823108448</c:v>
                </c:pt>
                <c:pt idx="6988">
                  <c:v>0.49564381150282955</c:v>
                </c:pt>
                <c:pt idx="6989">
                  <c:v>0.46792701364570022</c:v>
                </c:pt>
                <c:pt idx="6990">
                  <c:v>0.47175612840704184</c:v>
                </c:pt>
                <c:pt idx="6991">
                  <c:v>0.52079967311610897</c:v>
                </c:pt>
                <c:pt idx="6992">
                  <c:v>0.48821668894444747</c:v>
                </c:pt>
                <c:pt idx="6993">
                  <c:v>0.49866956000680174</c:v>
                </c:pt>
                <c:pt idx="6994">
                  <c:v>0.49832944174204663</c:v>
                </c:pt>
                <c:pt idx="6995">
                  <c:v>0.48534317013831946</c:v>
                </c:pt>
                <c:pt idx="6996">
                  <c:v>0.51065276620887401</c:v>
                </c:pt>
                <c:pt idx="6997">
                  <c:v>0.51081341238875855</c:v>
                </c:pt>
                <c:pt idx="6998">
                  <c:v>0.4847229634854085</c:v>
                </c:pt>
                <c:pt idx="6999">
                  <c:v>0.49192674947747961</c:v>
                </c:pt>
                <c:pt idx="7000">
                  <c:v>0.51143854934448774</c:v>
                </c:pt>
                <c:pt idx="7001">
                  <c:v>0.52199862489895854</c:v>
                </c:pt>
                <c:pt idx="7002">
                  <c:v>0.50216851487491354</c:v>
                </c:pt>
                <c:pt idx="7003">
                  <c:v>0.51156721318200415</c:v>
                </c:pt>
                <c:pt idx="7004">
                  <c:v>0.5092692076331129</c:v>
                </c:pt>
                <c:pt idx="7005">
                  <c:v>0.49799581754670152</c:v>
                </c:pt>
                <c:pt idx="7006">
                  <c:v>0.51397030179977532</c:v>
                </c:pt>
                <c:pt idx="7007">
                  <c:v>0.51275268285531261</c:v>
                </c:pt>
                <c:pt idx="7008">
                  <c:v>0.4986632231228863</c:v>
                </c:pt>
                <c:pt idx="7009">
                  <c:v>0.53253475640674219</c:v>
                </c:pt>
                <c:pt idx="7010">
                  <c:v>0.54328610711166214</c:v>
                </c:pt>
                <c:pt idx="7011">
                  <c:v>0.54904926536060161</c:v>
                </c:pt>
                <c:pt idx="7012">
                  <c:v>0.50034174141840515</c:v>
                </c:pt>
                <c:pt idx="7013">
                  <c:v>0.51701461807734705</c:v>
                </c:pt>
                <c:pt idx="7014">
                  <c:v>0.53418036748515318</c:v>
                </c:pt>
                <c:pt idx="7015">
                  <c:v>0.56729709790928862</c:v>
                </c:pt>
                <c:pt idx="7016">
                  <c:v>0.54360210672774101</c:v>
                </c:pt>
                <c:pt idx="7017">
                  <c:v>0.53849757479849703</c:v>
                </c:pt>
                <c:pt idx="7018">
                  <c:v>0.55219181244423776</c:v>
                </c:pt>
                <c:pt idx="7019">
                  <c:v>0.50444503513755357</c:v>
                </c:pt>
                <c:pt idx="7020">
                  <c:v>0.53581926075778963</c:v>
                </c:pt>
                <c:pt idx="7021">
                  <c:v>0.53637711202490057</c:v>
                </c:pt>
                <c:pt idx="7022">
                  <c:v>0.52789580871162356</c:v>
                </c:pt>
                <c:pt idx="7023">
                  <c:v>0.52276116584899224</c:v>
                </c:pt>
                <c:pt idx="7024">
                  <c:v>0.53514076042694037</c:v>
                </c:pt>
                <c:pt idx="7025">
                  <c:v>0.54098317773982096</c:v>
                </c:pt>
                <c:pt idx="7026">
                  <c:v>0.57695008763140276</c:v>
                </c:pt>
                <c:pt idx="7027">
                  <c:v>0.58679326442696544</c:v>
                </c:pt>
                <c:pt idx="7028">
                  <c:v>0.54834617081487458</c:v>
                </c:pt>
                <c:pt idx="7029">
                  <c:v>0.56042662949279498</c:v>
                </c:pt>
                <c:pt idx="7030">
                  <c:v>0.53185276028197004</c:v>
                </c:pt>
                <c:pt idx="7031">
                  <c:v>0.52515654246594845</c:v>
                </c:pt>
                <c:pt idx="7032">
                  <c:v>0.54467934871713974</c:v>
                </c:pt>
                <c:pt idx="7033">
                  <c:v>0.50212300739527194</c:v>
                </c:pt>
                <c:pt idx="7034">
                  <c:v>0.48101371221674027</c:v>
                </c:pt>
                <c:pt idx="7035">
                  <c:v>0.4523293477898177</c:v>
                </c:pt>
                <c:pt idx="7036">
                  <c:v>0.49640444287048879</c:v>
                </c:pt>
                <c:pt idx="7037">
                  <c:v>0.51549671770358574</c:v>
                </c:pt>
                <c:pt idx="7038">
                  <c:v>0.52385424688716453</c:v>
                </c:pt>
                <c:pt idx="7039">
                  <c:v>0.52607448385559685</c:v>
                </c:pt>
                <c:pt idx="7040">
                  <c:v>0.52897156182531124</c:v>
                </c:pt>
                <c:pt idx="7041">
                  <c:v>0.53310702045072333</c:v>
                </c:pt>
                <c:pt idx="7042">
                  <c:v>0.53785811688228868</c:v>
                </c:pt>
                <c:pt idx="7043">
                  <c:v>0.56258202019776371</c:v>
                </c:pt>
                <c:pt idx="7044">
                  <c:v>0.59328307569612193</c:v>
                </c:pt>
                <c:pt idx="7045">
                  <c:v>0.57862167740950221</c:v>
                </c:pt>
                <c:pt idx="7046">
                  <c:v>0.48540112265860685</c:v>
                </c:pt>
                <c:pt idx="7047">
                  <c:v>0.52907509893130944</c:v>
                </c:pt>
                <c:pt idx="7048">
                  <c:v>0.52810929317896216</c:v>
                </c:pt>
                <c:pt idx="7049">
                  <c:v>0.538044869507597</c:v>
                </c:pt>
                <c:pt idx="7050">
                  <c:v>0.5375219108139373</c:v>
                </c:pt>
                <c:pt idx="7051">
                  <c:v>0.5210964836257943</c:v>
                </c:pt>
                <c:pt idx="7052">
                  <c:v>0.52937208518194312</c:v>
                </c:pt>
                <c:pt idx="7053">
                  <c:v>0.55378657344424331</c:v>
                </c:pt>
                <c:pt idx="7054">
                  <c:v>0.52283023187718491</c:v>
                </c:pt>
                <c:pt idx="7055">
                  <c:v>0.51544701915445801</c:v>
                </c:pt>
                <c:pt idx="7056">
                  <c:v>0.49855245047883867</c:v>
                </c:pt>
                <c:pt idx="7057">
                  <c:v>0.50730186045420156</c:v>
                </c:pt>
                <c:pt idx="7058">
                  <c:v>0.51629059287536772</c:v>
                </c:pt>
                <c:pt idx="7059">
                  <c:v>0.52033861272805915</c:v>
                </c:pt>
                <c:pt idx="7060">
                  <c:v>0.51913361744927022</c:v>
                </c:pt>
                <c:pt idx="7061">
                  <c:v>0.51709054566005874</c:v>
                </c:pt>
                <c:pt idx="7062">
                  <c:v>0.53033150387013028</c:v>
                </c:pt>
                <c:pt idx="7063">
                  <c:v>0.52226604492571849</c:v>
                </c:pt>
                <c:pt idx="7064">
                  <c:v>0.51064003523825541</c:v>
                </c:pt>
                <c:pt idx="7065">
                  <c:v>0.5094104767346973</c:v>
                </c:pt>
                <c:pt idx="7066">
                  <c:v>0.49302730732318673</c:v>
                </c:pt>
                <c:pt idx="7067">
                  <c:v>0.53020341339072374</c:v>
                </c:pt>
                <c:pt idx="7068">
                  <c:v>0.50167916199530238</c:v>
                </c:pt>
                <c:pt idx="7069">
                  <c:v>0.48319075987945492</c:v>
                </c:pt>
                <c:pt idx="7070">
                  <c:v>0.47731548567814769</c:v>
                </c:pt>
                <c:pt idx="7071">
                  <c:v>0.483227161065233</c:v>
                </c:pt>
                <c:pt idx="7072">
                  <c:v>0.46328245838145216</c:v>
                </c:pt>
                <c:pt idx="7073">
                  <c:v>0.45556656032016218</c:v>
                </c:pt>
                <c:pt idx="7074">
                  <c:v>0.46529762023003707</c:v>
                </c:pt>
                <c:pt idx="7075">
                  <c:v>0.46652316089198836</c:v>
                </c:pt>
                <c:pt idx="7076">
                  <c:v>0.47787294662449625</c:v>
                </c:pt>
                <c:pt idx="7077">
                  <c:v>0.48908733074848454</c:v>
                </c:pt>
                <c:pt idx="7078">
                  <c:v>0.50899931103071094</c:v>
                </c:pt>
                <c:pt idx="7079">
                  <c:v>0.51428417414394589</c:v>
                </c:pt>
                <c:pt idx="7080">
                  <c:v>0.52175350841884816</c:v>
                </c:pt>
                <c:pt idx="7081">
                  <c:v>0.53267948539287591</c:v>
                </c:pt>
                <c:pt idx="7082">
                  <c:v>0.52669871409852242</c:v>
                </c:pt>
                <c:pt idx="7083">
                  <c:v>0.52248766078318254</c:v>
                </c:pt>
                <c:pt idx="7084">
                  <c:v>0.51933319361552077</c:v>
                </c:pt>
                <c:pt idx="7085">
                  <c:v>0.53432696028157811</c:v>
                </c:pt>
                <c:pt idx="7086">
                  <c:v>0.52484939538372555</c:v>
                </c:pt>
                <c:pt idx="7087">
                  <c:v>0.51552653410340643</c:v>
                </c:pt>
                <c:pt idx="7088">
                  <c:v>0.53411321019030644</c:v>
                </c:pt>
                <c:pt idx="7089">
                  <c:v>0.52394965348737566</c:v>
                </c:pt>
                <c:pt idx="7090">
                  <c:v>0.51458002472086573</c:v>
                </c:pt>
                <c:pt idx="7091">
                  <c:v>0.53174196872367885</c:v>
                </c:pt>
                <c:pt idx="7092">
                  <c:v>0.53046531806613439</c:v>
                </c:pt>
                <c:pt idx="7093">
                  <c:v>0.52772860466095839</c:v>
                </c:pt>
                <c:pt idx="7094">
                  <c:v>0.5307264251176248</c:v>
                </c:pt>
                <c:pt idx="7095">
                  <c:v>0.54098180308232047</c:v>
                </c:pt>
                <c:pt idx="7096">
                  <c:v>0.53819645257634541</c:v>
                </c:pt>
                <c:pt idx="7097">
                  <c:v>0.53354036439748653</c:v>
                </c:pt>
                <c:pt idx="7098">
                  <c:v>0.52819746331356554</c:v>
                </c:pt>
                <c:pt idx="7099">
                  <c:v>0.51836467485346471</c:v>
                </c:pt>
                <c:pt idx="7100">
                  <c:v>0.51405022052014993</c:v>
                </c:pt>
                <c:pt idx="7101">
                  <c:v>0.51423872256562853</c:v>
                </c:pt>
                <c:pt idx="7102">
                  <c:v>0.50910489594300123</c:v>
                </c:pt>
                <c:pt idx="7103">
                  <c:v>0.51996206642010212</c:v>
                </c:pt>
                <c:pt idx="7104">
                  <c:v>0.51768232566811245</c:v>
                </c:pt>
                <c:pt idx="7105">
                  <c:v>0.52677503349332244</c:v>
                </c:pt>
                <c:pt idx="7106">
                  <c:v>0.52273132071381523</c:v>
                </c:pt>
                <c:pt idx="7107">
                  <c:v>0.52980481038136495</c:v>
                </c:pt>
                <c:pt idx="7108">
                  <c:v>0.54482652838255896</c:v>
                </c:pt>
                <c:pt idx="7109">
                  <c:v>0.54187304210651033</c:v>
                </c:pt>
                <c:pt idx="7110">
                  <c:v>0.54213610657059408</c:v>
                </c:pt>
                <c:pt idx="7111">
                  <c:v>0.51192678825573712</c:v>
                </c:pt>
                <c:pt idx="7112">
                  <c:v>0.52181424542584542</c:v>
                </c:pt>
                <c:pt idx="7113">
                  <c:v>0.52696261114731724</c:v>
                </c:pt>
                <c:pt idx="7114">
                  <c:v>0.53344437154568958</c:v>
                </c:pt>
                <c:pt idx="7115">
                  <c:v>0.54673398233737813</c:v>
                </c:pt>
                <c:pt idx="7116">
                  <c:v>0.55532629267832212</c:v>
                </c:pt>
                <c:pt idx="7117">
                  <c:v>0.54651058372366679</c:v>
                </c:pt>
                <c:pt idx="7118">
                  <c:v>0.53651753616482123</c:v>
                </c:pt>
                <c:pt idx="7119">
                  <c:v>0.53700853728422981</c:v>
                </c:pt>
                <c:pt idx="7120">
                  <c:v>0.50989858333617077</c:v>
                </c:pt>
                <c:pt idx="7121">
                  <c:v>0.50226648326401357</c:v>
                </c:pt>
                <c:pt idx="7122">
                  <c:v>0.48089949257979725</c:v>
                </c:pt>
                <c:pt idx="7123">
                  <c:v>0.46100437459865007</c:v>
                </c:pt>
                <c:pt idx="7124">
                  <c:v>0.46508915719630334</c:v>
                </c:pt>
                <c:pt idx="7125">
                  <c:v>0.46747032285657952</c:v>
                </c:pt>
                <c:pt idx="7126">
                  <c:v>0.45526858560226352</c:v>
                </c:pt>
                <c:pt idx="7127">
                  <c:v>0.46236505017126139</c:v>
                </c:pt>
                <c:pt idx="7128">
                  <c:v>0.46009357858400241</c:v>
                </c:pt>
                <c:pt idx="7129">
                  <c:v>0.44140603334403572</c:v>
                </c:pt>
                <c:pt idx="7130">
                  <c:v>0.51768667691524295</c:v>
                </c:pt>
                <c:pt idx="7131">
                  <c:v>0.52084431234638617</c:v>
                </c:pt>
                <c:pt idx="7132">
                  <c:v>0.5312049696682376</c:v>
                </c:pt>
                <c:pt idx="7133">
                  <c:v>0.53288693956768596</c:v>
                </c:pt>
                <c:pt idx="7134">
                  <c:v>0.53236830941412938</c:v>
                </c:pt>
                <c:pt idx="7135">
                  <c:v>0.55179826981966984</c:v>
                </c:pt>
                <c:pt idx="7136">
                  <c:v>0.54315208267960491</c:v>
                </c:pt>
                <c:pt idx="7137">
                  <c:v>0.53779505085811841</c:v>
                </c:pt>
                <c:pt idx="7138">
                  <c:v>0.55678719236960506</c:v>
                </c:pt>
                <c:pt idx="7139">
                  <c:v>0.56599012121194991</c:v>
                </c:pt>
                <c:pt idx="7140">
                  <c:v>0.55415577011367068</c:v>
                </c:pt>
                <c:pt idx="7141">
                  <c:v>0.51397921193627139</c:v>
                </c:pt>
                <c:pt idx="7142">
                  <c:v>0.54672534951738405</c:v>
                </c:pt>
                <c:pt idx="7143">
                  <c:v>0.55210216970193016</c:v>
                </c:pt>
                <c:pt idx="7144">
                  <c:v>0.5796566040596528</c:v>
                </c:pt>
                <c:pt idx="7145">
                  <c:v>0.52699345752542903</c:v>
                </c:pt>
                <c:pt idx="7146">
                  <c:v>0.51320800818204748</c:v>
                </c:pt>
                <c:pt idx="7147">
                  <c:v>0.65225833471649675</c:v>
                </c:pt>
                <c:pt idx="7148">
                  <c:v>0.51142102564409064</c:v>
                </c:pt>
                <c:pt idx="7149">
                  <c:v>0.5028798885411303</c:v>
                </c:pt>
                <c:pt idx="7150">
                  <c:v>0.51513862851411907</c:v>
                </c:pt>
                <c:pt idx="7151">
                  <c:v>0.49668560006793544</c:v>
                </c:pt>
                <c:pt idx="7152">
                  <c:v>0.50158927115018415</c:v>
                </c:pt>
                <c:pt idx="7153">
                  <c:v>0.50014312716854836</c:v>
                </c:pt>
                <c:pt idx="7154">
                  <c:v>0.51874155581216252</c:v>
                </c:pt>
                <c:pt idx="7155">
                  <c:v>0.51748528716540876</c:v>
                </c:pt>
                <c:pt idx="7156">
                  <c:v>0.52831276541041738</c:v>
                </c:pt>
                <c:pt idx="7157">
                  <c:v>0.52823259766392261</c:v>
                </c:pt>
                <c:pt idx="7158">
                  <c:v>0.50284823602536199</c:v>
                </c:pt>
                <c:pt idx="7159">
                  <c:v>0.51600848061069426</c:v>
                </c:pt>
                <c:pt idx="7160">
                  <c:v>0.50525840268781474</c:v>
                </c:pt>
                <c:pt idx="7161">
                  <c:v>0.48772618481783991</c:v>
                </c:pt>
                <c:pt idx="7162">
                  <c:v>0.51353427975860577</c:v>
                </c:pt>
                <c:pt idx="7163">
                  <c:v>0.51129646660630346</c:v>
                </c:pt>
                <c:pt idx="7164">
                  <c:v>0.47476359643917543</c:v>
                </c:pt>
                <c:pt idx="7165">
                  <c:v>0.48604347974584217</c:v>
                </c:pt>
                <c:pt idx="7166">
                  <c:v>0.49460466286086024</c:v>
                </c:pt>
                <c:pt idx="7167">
                  <c:v>0.51342297545418192</c:v>
                </c:pt>
                <c:pt idx="7168">
                  <c:v>0.51208162125986167</c:v>
                </c:pt>
                <c:pt idx="7169">
                  <c:v>0.49493506558420264</c:v>
                </c:pt>
                <c:pt idx="7170">
                  <c:v>0.47900143791074862</c:v>
                </c:pt>
                <c:pt idx="7171">
                  <c:v>0.51721239818674625</c:v>
                </c:pt>
                <c:pt idx="7172">
                  <c:v>0.50788095754697138</c:v>
                </c:pt>
                <c:pt idx="7173">
                  <c:v>0.4904373447364474</c:v>
                </c:pt>
                <c:pt idx="7174">
                  <c:v>0.49547689872655637</c:v>
                </c:pt>
                <c:pt idx="7175">
                  <c:v>0.48645130748671689</c:v>
                </c:pt>
                <c:pt idx="7176">
                  <c:v>0.48130013360499524</c:v>
                </c:pt>
                <c:pt idx="7177">
                  <c:v>0.49867837638713436</c:v>
                </c:pt>
                <c:pt idx="7178">
                  <c:v>0.5115788472214966</c:v>
                </c:pt>
                <c:pt idx="7179">
                  <c:v>0.53904685196573121</c:v>
                </c:pt>
                <c:pt idx="7180">
                  <c:v>0.54682005449994975</c:v>
                </c:pt>
                <c:pt idx="7181">
                  <c:v>0.53858441510807331</c:v>
                </c:pt>
                <c:pt idx="7182">
                  <c:v>0.53853628434630674</c:v>
                </c:pt>
                <c:pt idx="7183">
                  <c:v>0.54952287761009466</c:v>
                </c:pt>
                <c:pt idx="7184">
                  <c:v>0.54440505016288854</c:v>
                </c:pt>
                <c:pt idx="7185">
                  <c:v>0.54691584829474327</c:v>
                </c:pt>
                <c:pt idx="7186">
                  <c:v>0.5478069379464191</c:v>
                </c:pt>
                <c:pt idx="7187">
                  <c:v>0.54782981915061879</c:v>
                </c:pt>
                <c:pt idx="7188">
                  <c:v>0.55374446702932678</c:v>
                </c:pt>
                <c:pt idx="7189">
                  <c:v>0.53940182299446915</c:v>
                </c:pt>
                <c:pt idx="7190">
                  <c:v>0.54557750741476996</c:v>
                </c:pt>
                <c:pt idx="7191">
                  <c:v>0.5370283372995539</c:v>
                </c:pt>
                <c:pt idx="7192">
                  <c:v>0.55666896303656421</c:v>
                </c:pt>
                <c:pt idx="7193">
                  <c:v>0.55270604796124212</c:v>
                </c:pt>
                <c:pt idx="7194">
                  <c:v>0.54384711840211786</c:v>
                </c:pt>
                <c:pt idx="7195">
                  <c:v>0.54586119977457859</c:v>
                </c:pt>
                <c:pt idx="7196">
                  <c:v>0.55183678694488214</c:v>
                </c:pt>
                <c:pt idx="7197">
                  <c:v>0.53311860056627758</c:v>
                </c:pt>
                <c:pt idx="7198">
                  <c:v>0.54103716084828335</c:v>
                </c:pt>
                <c:pt idx="7199">
                  <c:v>0.54021706933929614</c:v>
                </c:pt>
                <c:pt idx="7200">
                  <c:v>0.52689084289420041</c:v>
                </c:pt>
                <c:pt idx="7201">
                  <c:v>0.53599222831869564</c:v>
                </c:pt>
                <c:pt idx="7202">
                  <c:v>0.52953981255584737</c:v>
                </c:pt>
                <c:pt idx="7203">
                  <c:v>0.53198802040697779</c:v>
                </c:pt>
                <c:pt idx="7204">
                  <c:v>0.53411828860957911</c:v>
                </c:pt>
                <c:pt idx="7205">
                  <c:v>0.54043234158843556</c:v>
                </c:pt>
                <c:pt idx="7206">
                  <c:v>0.52149544471373299</c:v>
                </c:pt>
                <c:pt idx="7207">
                  <c:v>0.52992186586115408</c:v>
                </c:pt>
                <c:pt idx="7208">
                  <c:v>0.54216527073111709</c:v>
                </c:pt>
                <c:pt idx="7209">
                  <c:v>0.57404099581515933</c:v>
                </c:pt>
                <c:pt idx="7210">
                  <c:v>0.54324980773183518</c:v>
                </c:pt>
                <c:pt idx="7211">
                  <c:v>0.54758581388230954</c:v>
                </c:pt>
                <c:pt idx="7212">
                  <c:v>0.55569055908417775</c:v>
                </c:pt>
                <c:pt idx="7213">
                  <c:v>0.54491124556928394</c:v>
                </c:pt>
                <c:pt idx="7214">
                  <c:v>0.52973081709610281</c:v>
                </c:pt>
                <c:pt idx="7215">
                  <c:v>0.55276990453873875</c:v>
                </c:pt>
                <c:pt idx="7216">
                  <c:v>0.55280882203803083</c:v>
                </c:pt>
                <c:pt idx="7217">
                  <c:v>0.54195945952613467</c:v>
                </c:pt>
                <c:pt idx="7218">
                  <c:v>0.53416551506481302</c:v>
                </c:pt>
                <c:pt idx="7219">
                  <c:v>0.54932518308392519</c:v>
                </c:pt>
                <c:pt idx="7220">
                  <c:v>0.54960006802714279</c:v>
                </c:pt>
                <c:pt idx="7221">
                  <c:v>0.5315283471598875</c:v>
                </c:pt>
                <c:pt idx="7222">
                  <c:v>0.49986502443631697</c:v>
                </c:pt>
                <c:pt idx="7223">
                  <c:v>0.49892530007621883</c:v>
                </c:pt>
                <c:pt idx="7224">
                  <c:v>0.51401684527228053</c:v>
                </c:pt>
                <c:pt idx="7225">
                  <c:v>0.48808176377396889</c:v>
                </c:pt>
                <c:pt idx="7226">
                  <c:v>0.49537405518084032</c:v>
                </c:pt>
                <c:pt idx="7227">
                  <c:v>0.5113333965343656</c:v>
                </c:pt>
                <c:pt idx="7228">
                  <c:v>0.52030938701107232</c:v>
                </c:pt>
                <c:pt idx="7229">
                  <c:v>0.51144015453360037</c:v>
                </c:pt>
                <c:pt idx="7230">
                  <c:v>0.50632126396437505</c:v>
                </c:pt>
                <c:pt idx="7231">
                  <c:v>0.5409468103353996</c:v>
                </c:pt>
                <c:pt idx="7232">
                  <c:v>0.49030970830115822</c:v>
                </c:pt>
                <c:pt idx="7233">
                  <c:v>0.50303988944349254</c:v>
                </c:pt>
                <c:pt idx="7234">
                  <c:v>0.51765621726978128</c:v>
                </c:pt>
                <c:pt idx="7235">
                  <c:v>0.48765610792440733</c:v>
                </c:pt>
                <c:pt idx="7236">
                  <c:v>0.46933400711150941</c:v>
                </c:pt>
                <c:pt idx="7237">
                  <c:v>0.49640582764536645</c:v>
                </c:pt>
                <c:pt idx="7238">
                  <c:v>0.47665862954673971</c:v>
                </c:pt>
                <c:pt idx="7239">
                  <c:v>0.47633316420385424</c:v>
                </c:pt>
                <c:pt idx="7240">
                  <c:v>0.51336837798761692</c:v>
                </c:pt>
                <c:pt idx="7241">
                  <c:v>0.4902203826109291</c:v>
                </c:pt>
                <c:pt idx="7242">
                  <c:v>0.49008270642039714</c:v>
                </c:pt>
                <c:pt idx="7243">
                  <c:v>0.48541972832293556</c:v>
                </c:pt>
                <c:pt idx="7244">
                  <c:v>0.48923503691048492</c:v>
                </c:pt>
                <c:pt idx="7245">
                  <c:v>0.48338629120715876</c:v>
                </c:pt>
                <c:pt idx="7246">
                  <c:v>0.49359912150493884</c:v>
                </c:pt>
                <c:pt idx="7247">
                  <c:v>0.49991076912199711</c:v>
                </c:pt>
                <c:pt idx="7248">
                  <c:v>0.49096209922867007</c:v>
                </c:pt>
                <c:pt idx="7249">
                  <c:v>0.49170241126843645</c:v>
                </c:pt>
                <c:pt idx="7250">
                  <c:v>0.52305637882042044</c:v>
                </c:pt>
                <c:pt idx="7251">
                  <c:v>0.50937526456940485</c:v>
                </c:pt>
                <c:pt idx="7252">
                  <c:v>0.4907319307367014</c:v>
                </c:pt>
                <c:pt idx="7253">
                  <c:v>0.50644008631803006</c:v>
                </c:pt>
                <c:pt idx="7254">
                  <c:v>0.51119529463196334</c:v>
                </c:pt>
                <c:pt idx="7255">
                  <c:v>0.50637716053327619</c:v>
                </c:pt>
                <c:pt idx="7256">
                  <c:v>0.49417227167122435</c:v>
                </c:pt>
                <c:pt idx="7257">
                  <c:v>0.50679933291260815</c:v>
                </c:pt>
                <c:pt idx="7258">
                  <c:v>0.49466472950396795</c:v>
                </c:pt>
                <c:pt idx="7259">
                  <c:v>0.49751002523851673</c:v>
                </c:pt>
                <c:pt idx="7260">
                  <c:v>0.50974162704970016</c:v>
                </c:pt>
                <c:pt idx="7261">
                  <c:v>0.52236897535957494</c:v>
                </c:pt>
                <c:pt idx="7262">
                  <c:v>0.50641085741001624</c:v>
                </c:pt>
                <c:pt idx="7263">
                  <c:v>0.50976767846896731</c:v>
                </c:pt>
                <c:pt idx="7264">
                  <c:v>0.49902028629683637</c:v>
                </c:pt>
                <c:pt idx="7265">
                  <c:v>0.54313566868195906</c:v>
                </c:pt>
                <c:pt idx="7266">
                  <c:v>0.48727104844251956</c:v>
                </c:pt>
                <c:pt idx="7267">
                  <c:v>0.53022070781141784</c:v>
                </c:pt>
                <c:pt idx="7268">
                  <c:v>0.52666022647418398</c:v>
                </c:pt>
                <c:pt idx="7269">
                  <c:v>0.53787976618019617</c:v>
                </c:pt>
                <c:pt idx="7270">
                  <c:v>0.51184567594577801</c:v>
                </c:pt>
                <c:pt idx="7271">
                  <c:v>0.53171247911108865</c:v>
                </c:pt>
                <c:pt idx="7272">
                  <c:v>0.45969744238124111</c:v>
                </c:pt>
                <c:pt idx="7273">
                  <c:v>0.53206609481055178</c:v>
                </c:pt>
                <c:pt idx="7274">
                  <c:v>0.55829327288487207</c:v>
                </c:pt>
                <c:pt idx="7275">
                  <c:v>0.55025905842452483</c:v>
                </c:pt>
                <c:pt idx="7276">
                  <c:v>0.57004134374224502</c:v>
                </c:pt>
                <c:pt idx="7277">
                  <c:v>0.58604781450508669</c:v>
                </c:pt>
                <c:pt idx="7278">
                  <c:v>0.55836123603298815</c:v>
                </c:pt>
                <c:pt idx="7279">
                  <c:v>0.59253903665878438</c:v>
                </c:pt>
                <c:pt idx="7280">
                  <c:v>0.58468631847387453</c:v>
                </c:pt>
                <c:pt idx="7281">
                  <c:v>0.58352590239883384</c:v>
                </c:pt>
                <c:pt idx="7282">
                  <c:v>0.61529369765176123</c:v>
                </c:pt>
                <c:pt idx="7283">
                  <c:v>0.61409756819970607</c:v>
                </c:pt>
                <c:pt idx="7284">
                  <c:v>0.60513258729563735</c:v>
                </c:pt>
                <c:pt idx="7285">
                  <c:v>0.57230793107433731</c:v>
                </c:pt>
                <c:pt idx="7286">
                  <c:v>0.58427184410954325</c:v>
                </c:pt>
                <c:pt idx="7287">
                  <c:v>0.5934033771590832</c:v>
                </c:pt>
                <c:pt idx="7288">
                  <c:v>0.61318724541230962</c:v>
                </c:pt>
                <c:pt idx="7289">
                  <c:v>0.61214486805607227</c:v>
                </c:pt>
                <c:pt idx="7290">
                  <c:v>0.53306069690051372</c:v>
                </c:pt>
                <c:pt idx="7291">
                  <c:v>0.6948996297274076</c:v>
                </c:pt>
                <c:pt idx="7292">
                  <c:v>0.54918479352558025</c:v>
                </c:pt>
                <c:pt idx="7293">
                  <c:v>0.54127250877113353</c:v>
                </c:pt>
                <c:pt idx="7294">
                  <c:v>0.55335900971751317</c:v>
                </c:pt>
                <c:pt idx="7295">
                  <c:v>0.54153369055591027</c:v>
                </c:pt>
                <c:pt idx="7296">
                  <c:v>0.53230546099688869</c:v>
                </c:pt>
                <c:pt idx="7297">
                  <c:v>0.52283361973935538</c:v>
                </c:pt>
                <c:pt idx="7298">
                  <c:v>0.54814425206005724</c:v>
                </c:pt>
                <c:pt idx="7299">
                  <c:v>0.56382423229045597</c:v>
                </c:pt>
                <c:pt idx="7300">
                  <c:v>0.54976971620127058</c:v>
                </c:pt>
                <c:pt idx="7301">
                  <c:v>0.55826024808119457</c:v>
                </c:pt>
                <c:pt idx="7302">
                  <c:v>0.55158124242696727</c:v>
                </c:pt>
                <c:pt idx="7303">
                  <c:v>0.53877839209098188</c:v>
                </c:pt>
                <c:pt idx="7304">
                  <c:v>0.52360354220767547</c:v>
                </c:pt>
                <c:pt idx="7305">
                  <c:v>0.52030375133272977</c:v>
                </c:pt>
                <c:pt idx="7306">
                  <c:v>0.55275859348642964</c:v>
                </c:pt>
                <c:pt idx="7307">
                  <c:v>0.53697902475789594</c:v>
                </c:pt>
                <c:pt idx="7308">
                  <c:v>0.50578738036257731</c:v>
                </c:pt>
                <c:pt idx="7309">
                  <c:v>0.52581768165953335</c:v>
                </c:pt>
                <c:pt idx="7310">
                  <c:v>0.51894696557260822</c:v>
                </c:pt>
                <c:pt idx="7311">
                  <c:v>0.55068772814932632</c:v>
                </c:pt>
                <c:pt idx="7312">
                  <c:v>0.53368297949208099</c:v>
                </c:pt>
                <c:pt idx="7313">
                  <c:v>0.52561394310391107</c:v>
                </c:pt>
                <c:pt idx="7314">
                  <c:v>0.51763881079887886</c:v>
                </c:pt>
                <c:pt idx="7315">
                  <c:v>0.5414987422501939</c:v>
                </c:pt>
                <c:pt idx="7316">
                  <c:v>0.53333373094843417</c:v>
                </c:pt>
                <c:pt idx="7317">
                  <c:v>0.51236816381452688</c:v>
                </c:pt>
                <c:pt idx="7318">
                  <c:v>0.5299604500743661</c:v>
                </c:pt>
                <c:pt idx="7319">
                  <c:v>0.51026450480649643</c:v>
                </c:pt>
                <c:pt idx="7320">
                  <c:v>0.50017662481245551</c:v>
                </c:pt>
                <c:pt idx="7321">
                  <c:v>0.51046296905590005</c:v>
                </c:pt>
                <c:pt idx="7322">
                  <c:v>0.51704591505434194</c:v>
                </c:pt>
                <c:pt idx="7323">
                  <c:v>0.53675433589540289</c:v>
                </c:pt>
                <c:pt idx="7324">
                  <c:v>0.55972186103391353</c:v>
                </c:pt>
                <c:pt idx="7325">
                  <c:v>0.54394828664719452</c:v>
                </c:pt>
                <c:pt idx="7326">
                  <c:v>0.54359204500712022</c:v>
                </c:pt>
                <c:pt idx="7327">
                  <c:v>0.55902361965939906</c:v>
                </c:pt>
                <c:pt idx="7328">
                  <c:v>0.55408763061624067</c:v>
                </c:pt>
                <c:pt idx="7329">
                  <c:v>0.55091558468287993</c:v>
                </c:pt>
                <c:pt idx="7330">
                  <c:v>0.55363742312276754</c:v>
                </c:pt>
                <c:pt idx="7331">
                  <c:v>0.55094331026804377</c:v>
                </c:pt>
                <c:pt idx="7332">
                  <c:v>0.55778862015049635</c:v>
                </c:pt>
                <c:pt idx="7333">
                  <c:v>0.56031428760819579</c:v>
                </c:pt>
                <c:pt idx="7334">
                  <c:v>0.55765178226002798</c:v>
                </c:pt>
                <c:pt idx="7335">
                  <c:v>0.54999744275353712</c:v>
                </c:pt>
                <c:pt idx="7336">
                  <c:v>0.56506999505611299</c:v>
                </c:pt>
                <c:pt idx="7337">
                  <c:v>0.56135246212426859</c:v>
                </c:pt>
                <c:pt idx="7338">
                  <c:v>0.54267682055961752</c:v>
                </c:pt>
                <c:pt idx="7339">
                  <c:v>0.55243653060021503</c:v>
                </c:pt>
                <c:pt idx="7340">
                  <c:v>0.54842602755325209</c:v>
                </c:pt>
                <c:pt idx="7341">
                  <c:v>0.54288254101643052</c:v>
                </c:pt>
                <c:pt idx="7342">
                  <c:v>0.54242878106449954</c:v>
                </c:pt>
                <c:pt idx="7343">
                  <c:v>0.54321624053685691</c:v>
                </c:pt>
                <c:pt idx="7344">
                  <c:v>0.53309404017395357</c:v>
                </c:pt>
                <c:pt idx="7345">
                  <c:v>0.53391688376900381</c:v>
                </c:pt>
                <c:pt idx="7346">
                  <c:v>0.53389211442963636</c:v>
                </c:pt>
                <c:pt idx="7347">
                  <c:v>0.53840304867687327</c:v>
                </c:pt>
                <c:pt idx="7348">
                  <c:v>0.53083555717688669</c:v>
                </c:pt>
                <c:pt idx="7349">
                  <c:v>0.54412301014479469</c:v>
                </c:pt>
                <c:pt idx="7350">
                  <c:v>0.52767706501065481</c:v>
                </c:pt>
                <c:pt idx="7351">
                  <c:v>0.53383202703398158</c:v>
                </c:pt>
                <c:pt idx="7352">
                  <c:v>0.54007858788752638</c:v>
                </c:pt>
                <c:pt idx="7353">
                  <c:v>0.58133946635450351</c:v>
                </c:pt>
                <c:pt idx="7354">
                  <c:v>0.55251928961525354</c:v>
                </c:pt>
                <c:pt idx="7355">
                  <c:v>0.55710520328770285</c:v>
                </c:pt>
                <c:pt idx="7356">
                  <c:v>0.56561172490205869</c:v>
                </c:pt>
                <c:pt idx="7357">
                  <c:v>0.55572353826846743</c:v>
                </c:pt>
                <c:pt idx="7358">
                  <c:v>0.53917600013624045</c:v>
                </c:pt>
                <c:pt idx="7359">
                  <c:v>0.55296287678127398</c:v>
                </c:pt>
                <c:pt idx="7360">
                  <c:v>0.5611355054464382</c:v>
                </c:pt>
                <c:pt idx="7361">
                  <c:v>0.54920429138312987</c:v>
                </c:pt>
                <c:pt idx="7362">
                  <c:v>0.55116834720760921</c:v>
                </c:pt>
                <c:pt idx="7363">
                  <c:v>0.55406859329441449</c:v>
                </c:pt>
                <c:pt idx="7364">
                  <c:v>0.54580892530727687</c:v>
                </c:pt>
                <c:pt idx="7365">
                  <c:v>0.53453908318279364</c:v>
                </c:pt>
                <c:pt idx="7366">
                  <c:v>0.50659215315079209</c:v>
                </c:pt>
                <c:pt idx="7367">
                  <c:v>0.5141581738747123</c:v>
                </c:pt>
                <c:pt idx="7368">
                  <c:v>0.51651884791615932</c:v>
                </c:pt>
                <c:pt idx="7369">
                  <c:v>0.50583169248248672</c:v>
                </c:pt>
                <c:pt idx="7370">
                  <c:v>0.49001469513676388</c:v>
                </c:pt>
                <c:pt idx="7371">
                  <c:v>0.49468711332711685</c:v>
                </c:pt>
                <c:pt idx="7372">
                  <c:v>0.49566794819099991</c:v>
                </c:pt>
                <c:pt idx="7373">
                  <c:v>0.49249344631146413</c:v>
                </c:pt>
                <c:pt idx="7374">
                  <c:v>0.48665543188542082</c:v>
                </c:pt>
                <c:pt idx="7375">
                  <c:v>0.52466414643821246</c:v>
                </c:pt>
                <c:pt idx="7376">
                  <c:v>0.48041832117500294</c:v>
                </c:pt>
                <c:pt idx="7377">
                  <c:v>0.48326784113321819</c:v>
                </c:pt>
                <c:pt idx="7378">
                  <c:v>0.51381720508226902</c:v>
                </c:pt>
                <c:pt idx="7379">
                  <c:v>0.48453870680554223</c:v>
                </c:pt>
                <c:pt idx="7380">
                  <c:v>0.46513588780485299</c:v>
                </c:pt>
                <c:pt idx="7381">
                  <c:v>0.4761338503287183</c:v>
                </c:pt>
                <c:pt idx="7382">
                  <c:v>0.47142755355841293</c:v>
                </c:pt>
                <c:pt idx="7383">
                  <c:v>0.46032205862038356</c:v>
                </c:pt>
                <c:pt idx="7384">
                  <c:v>0.4955888747287473</c:v>
                </c:pt>
                <c:pt idx="7385">
                  <c:v>0.48307125689277297</c:v>
                </c:pt>
                <c:pt idx="7386">
                  <c:v>0.49019818878821642</c:v>
                </c:pt>
                <c:pt idx="7387">
                  <c:v>0.48556826099674016</c:v>
                </c:pt>
                <c:pt idx="7388">
                  <c:v>0.4766908003993281</c:v>
                </c:pt>
                <c:pt idx="7389">
                  <c:v>0.49501398032301669</c:v>
                </c:pt>
                <c:pt idx="7390">
                  <c:v>0.47681641779872935</c:v>
                </c:pt>
                <c:pt idx="7391">
                  <c:v>0.50531375788393806</c:v>
                </c:pt>
                <c:pt idx="7392">
                  <c:v>0.49705452435927144</c:v>
                </c:pt>
                <c:pt idx="7393">
                  <c:v>0.49486461372954094</c:v>
                </c:pt>
                <c:pt idx="7394">
                  <c:v>0.53713741037123952</c:v>
                </c:pt>
                <c:pt idx="7395">
                  <c:v>0.51598915477204288</c:v>
                </c:pt>
                <c:pt idx="7396">
                  <c:v>0.5020476977577919</c:v>
                </c:pt>
                <c:pt idx="7397">
                  <c:v>0.50669913624362628</c:v>
                </c:pt>
                <c:pt idx="7398">
                  <c:v>0.51295334608265952</c:v>
                </c:pt>
                <c:pt idx="7399">
                  <c:v>0.52888380572205607</c:v>
                </c:pt>
                <c:pt idx="7400">
                  <c:v>0.49541430724236518</c:v>
                </c:pt>
                <c:pt idx="7401">
                  <c:v>0.50673767615973409</c:v>
                </c:pt>
                <c:pt idx="7402">
                  <c:v>0.51087583265332759</c:v>
                </c:pt>
                <c:pt idx="7403">
                  <c:v>0.50359350400444369</c:v>
                </c:pt>
                <c:pt idx="7404">
                  <c:v>0.50954995336546238</c:v>
                </c:pt>
                <c:pt idx="7405">
                  <c:v>0.55052980781506111</c:v>
                </c:pt>
                <c:pt idx="7406">
                  <c:v>0.51013693023767992</c:v>
                </c:pt>
                <c:pt idx="7407">
                  <c:v>0.51239379121540507</c:v>
                </c:pt>
                <c:pt idx="7408">
                  <c:v>0.50454018096391229</c:v>
                </c:pt>
                <c:pt idx="7409">
                  <c:v>0.52919479097359223</c:v>
                </c:pt>
                <c:pt idx="7410">
                  <c:v>0.51158352749430391</c:v>
                </c:pt>
                <c:pt idx="7411">
                  <c:v>0.56801164929863013</c:v>
                </c:pt>
                <c:pt idx="7412">
                  <c:v>0.53666763370631487</c:v>
                </c:pt>
                <c:pt idx="7413">
                  <c:v>0.55430825715449283</c:v>
                </c:pt>
                <c:pt idx="7414">
                  <c:v>0.54772832075231637</c:v>
                </c:pt>
                <c:pt idx="7415">
                  <c:v>0.52897798544087959</c:v>
                </c:pt>
                <c:pt idx="7416">
                  <c:v>0.53312089110200689</c:v>
                </c:pt>
                <c:pt idx="7417">
                  <c:v>0.50228601964415653</c:v>
                </c:pt>
                <c:pt idx="7418">
                  <c:v>0.52230388024005792</c:v>
                </c:pt>
                <c:pt idx="7419">
                  <c:v>0.53497125468497009</c:v>
                </c:pt>
                <c:pt idx="7420">
                  <c:v>0.55796303196276797</c:v>
                </c:pt>
                <c:pt idx="7421">
                  <c:v>0.53543286952425706</c:v>
                </c:pt>
                <c:pt idx="7422">
                  <c:v>0.52039365133959448</c:v>
                </c:pt>
                <c:pt idx="7423">
                  <c:v>0.54277266132970514</c:v>
                </c:pt>
                <c:pt idx="7424">
                  <c:v>0.53175052161333003</c:v>
                </c:pt>
                <c:pt idx="7425">
                  <c:v>0.56143103596392308</c:v>
                </c:pt>
                <c:pt idx="7426">
                  <c:v>0.5525501984963439</c:v>
                </c:pt>
                <c:pt idx="7427">
                  <c:v>0.54514970259053819</c:v>
                </c:pt>
                <c:pt idx="7428">
                  <c:v>0.56576283970058339</c:v>
                </c:pt>
                <c:pt idx="7429">
                  <c:v>0.55061354207902702</c:v>
                </c:pt>
                <c:pt idx="7430">
                  <c:v>0.54508496319101529</c:v>
                </c:pt>
                <c:pt idx="7431">
                  <c:v>0.53334581376393964</c:v>
                </c:pt>
                <c:pt idx="7432">
                  <c:v>0.59860351203565054</c:v>
                </c:pt>
                <c:pt idx="7433">
                  <c:v>0.62881851577291104</c:v>
                </c:pt>
                <c:pt idx="7434">
                  <c:v>0.54132620618983152</c:v>
                </c:pt>
                <c:pt idx="7435">
                  <c:v>0.56354776702331</c:v>
                </c:pt>
                <c:pt idx="7436">
                  <c:v>0.55930801090701254</c:v>
                </c:pt>
                <c:pt idx="7437">
                  <c:v>0.57601983026410297</c:v>
                </c:pt>
                <c:pt idx="7438">
                  <c:v>0.5695074551191015</c:v>
                </c:pt>
                <c:pt idx="7439">
                  <c:v>0.53748588229182526</c:v>
                </c:pt>
                <c:pt idx="7440">
                  <c:v>0.54416878898415144</c:v>
                </c:pt>
                <c:pt idx="7441">
                  <c:v>0.51506222622571152</c:v>
                </c:pt>
                <c:pt idx="7442">
                  <c:v>0.55008531816556538</c:v>
                </c:pt>
                <c:pt idx="7443">
                  <c:v>0.56568327486861347</c:v>
                </c:pt>
                <c:pt idx="7444">
                  <c:v>0.54977216550907382</c:v>
                </c:pt>
                <c:pt idx="7445">
                  <c:v>0.55794248121328949</c:v>
                </c:pt>
                <c:pt idx="7446">
                  <c:v>0.54387442994392499</c:v>
                </c:pt>
                <c:pt idx="7447">
                  <c:v>0.52679065729926833</c:v>
                </c:pt>
                <c:pt idx="7448">
                  <c:v>0.54838818957536184</c:v>
                </c:pt>
                <c:pt idx="7449">
                  <c:v>0.54745532617369785</c:v>
                </c:pt>
                <c:pt idx="7450">
                  <c:v>0.55950528554655132</c:v>
                </c:pt>
                <c:pt idx="7451">
                  <c:v>0.56723498924492921</c:v>
                </c:pt>
                <c:pt idx="7452">
                  <c:v>0.52078618880993521</c:v>
                </c:pt>
                <c:pt idx="7453">
                  <c:v>0.55170037706891473</c:v>
                </c:pt>
                <c:pt idx="7454">
                  <c:v>0.49088903640267384</c:v>
                </c:pt>
                <c:pt idx="7455">
                  <c:v>0.55430328823002273</c:v>
                </c:pt>
                <c:pt idx="7456">
                  <c:v>0.53322687879197417</c:v>
                </c:pt>
                <c:pt idx="7457">
                  <c:v>0.51938533896128503</c:v>
                </c:pt>
                <c:pt idx="7458">
                  <c:v>0.51156186409374205</c:v>
                </c:pt>
                <c:pt idx="7459">
                  <c:v>0.51933936732073605</c:v>
                </c:pt>
                <c:pt idx="7460">
                  <c:v>0.53444610186594543</c:v>
                </c:pt>
                <c:pt idx="7461">
                  <c:v>0.51697156454195292</c:v>
                </c:pt>
                <c:pt idx="7462">
                  <c:v>0.52926001695453118</c:v>
                </c:pt>
                <c:pt idx="7463">
                  <c:v>0.53524612975035968</c:v>
                </c:pt>
                <c:pt idx="7464">
                  <c:v>0.5114956636735658</c:v>
                </c:pt>
                <c:pt idx="7465">
                  <c:v>0.52631807916564743</c:v>
                </c:pt>
                <c:pt idx="7466">
                  <c:v>0.53545932310711986</c:v>
                </c:pt>
                <c:pt idx="7467">
                  <c:v>0.54685593341535954</c:v>
                </c:pt>
                <c:pt idx="7468">
                  <c:v>0.55045290475877706</c:v>
                </c:pt>
                <c:pt idx="7469">
                  <c:v>0.55437260565047375</c:v>
                </c:pt>
                <c:pt idx="7470">
                  <c:v>0.56897056598676754</c:v>
                </c:pt>
                <c:pt idx="7471">
                  <c:v>0.56109804290942311</c:v>
                </c:pt>
                <c:pt idx="7472">
                  <c:v>0.57439268193656434</c:v>
                </c:pt>
                <c:pt idx="7473">
                  <c:v>0.56130845933399365</c:v>
                </c:pt>
                <c:pt idx="7474">
                  <c:v>0.57752546209959044</c:v>
                </c:pt>
                <c:pt idx="7475">
                  <c:v>0.57382854966493624</c:v>
                </c:pt>
                <c:pt idx="7476">
                  <c:v>0.54852527515469163</c:v>
                </c:pt>
                <c:pt idx="7477">
                  <c:v>0.58928045121344819</c:v>
                </c:pt>
                <c:pt idx="7478">
                  <c:v>0.5495713989023433</c:v>
                </c:pt>
                <c:pt idx="7479">
                  <c:v>0.58957308682560927</c:v>
                </c:pt>
                <c:pt idx="7480">
                  <c:v>0.56322280511314815</c:v>
                </c:pt>
                <c:pt idx="7481">
                  <c:v>0.55437466561431414</c:v>
                </c:pt>
                <c:pt idx="7482">
                  <c:v>0.574822814897333</c:v>
                </c:pt>
                <c:pt idx="7483">
                  <c:v>0.59199133738709331</c:v>
                </c:pt>
                <c:pt idx="7484">
                  <c:v>0.57505487964199686</c:v>
                </c:pt>
                <c:pt idx="7485">
                  <c:v>0.57960023992960397</c:v>
                </c:pt>
                <c:pt idx="7486">
                  <c:v>0.59371682412518545</c:v>
                </c:pt>
                <c:pt idx="7487">
                  <c:v>0.58612429805352551</c:v>
                </c:pt>
                <c:pt idx="7488">
                  <c:v>0.57862603196723916</c:v>
                </c:pt>
                <c:pt idx="7489">
                  <c:v>0.58468462339426597</c:v>
                </c:pt>
                <c:pt idx="7490">
                  <c:v>0.58087527404063954</c:v>
                </c:pt>
                <c:pt idx="7491">
                  <c:v>0.53096537965159951</c:v>
                </c:pt>
                <c:pt idx="7492">
                  <c:v>0.55559571487270276</c:v>
                </c:pt>
                <c:pt idx="7493">
                  <c:v>0.55521298632523042</c:v>
                </c:pt>
                <c:pt idx="7494">
                  <c:v>0.55090556883806641</c:v>
                </c:pt>
                <c:pt idx="7495">
                  <c:v>0.56475362433940945</c:v>
                </c:pt>
                <c:pt idx="7496">
                  <c:v>0.56236079945763351</c:v>
                </c:pt>
                <c:pt idx="7497">
                  <c:v>0.57784242573533029</c:v>
                </c:pt>
                <c:pt idx="7498">
                  <c:v>0.57863474095172929</c:v>
                </c:pt>
                <c:pt idx="7499">
                  <c:v>0.57540343709762753</c:v>
                </c:pt>
                <c:pt idx="7500">
                  <c:v>0.56716322385658935</c:v>
                </c:pt>
                <c:pt idx="7501">
                  <c:v>0.55360392096949373</c:v>
                </c:pt>
                <c:pt idx="7502">
                  <c:v>0.56131060591500759</c:v>
                </c:pt>
                <c:pt idx="7503">
                  <c:v>0.57119377694050488</c:v>
                </c:pt>
                <c:pt idx="7504">
                  <c:v>0.55974352461221988</c:v>
                </c:pt>
                <c:pt idx="7505">
                  <c:v>0.57594419816815512</c:v>
                </c:pt>
                <c:pt idx="7506">
                  <c:v>0.56060034365588451</c:v>
                </c:pt>
                <c:pt idx="7507">
                  <c:v>0.56266477060788134</c:v>
                </c:pt>
                <c:pt idx="7508">
                  <c:v>0.57076645061836839</c:v>
                </c:pt>
                <c:pt idx="7509">
                  <c:v>0.53465677177252668</c:v>
                </c:pt>
                <c:pt idx="7510">
                  <c:v>0.54156601523502712</c:v>
                </c:pt>
                <c:pt idx="7511">
                  <c:v>0.5111116359799257</c:v>
                </c:pt>
                <c:pt idx="7512">
                  <c:v>0.49792158268798492</c:v>
                </c:pt>
                <c:pt idx="7513">
                  <c:v>0.50098938587556985</c:v>
                </c:pt>
                <c:pt idx="7514">
                  <c:v>0.50347608002785016</c:v>
                </c:pt>
                <c:pt idx="7515">
                  <c:v>0.50285423926597062</c:v>
                </c:pt>
                <c:pt idx="7516">
                  <c:v>0.52475081334433094</c:v>
                </c:pt>
                <c:pt idx="7517">
                  <c:v>0.50464726304568741</c:v>
                </c:pt>
                <c:pt idx="7518">
                  <c:v>0.50068193345531242</c:v>
                </c:pt>
                <c:pt idx="7519">
                  <c:v>0.4905888028976686</c:v>
                </c:pt>
                <c:pt idx="7520">
                  <c:v>0.52670439654602874</c:v>
                </c:pt>
                <c:pt idx="7521">
                  <c:v>0.54429084230285951</c:v>
                </c:pt>
                <c:pt idx="7522">
                  <c:v>0.51615683734429207</c:v>
                </c:pt>
                <c:pt idx="7523">
                  <c:v>0.53693311239693353</c:v>
                </c:pt>
                <c:pt idx="7524">
                  <c:v>0.57674803721187295</c:v>
                </c:pt>
                <c:pt idx="7525">
                  <c:v>0.66306909037658235</c:v>
                </c:pt>
                <c:pt idx="7526">
                  <c:v>0.68208259125910298</c:v>
                </c:pt>
                <c:pt idx="7527">
                  <c:v>0.69816007208993003</c:v>
                </c:pt>
                <c:pt idx="7528">
                  <c:v>0.72090771275519561</c:v>
                </c:pt>
                <c:pt idx="7529">
                  <c:v>0.68097840970064483</c:v>
                </c:pt>
                <c:pt idx="7530">
                  <c:v>0.67723709753695716</c:v>
                </c:pt>
                <c:pt idx="7531">
                  <c:v>0.6794400712240185</c:v>
                </c:pt>
                <c:pt idx="7532">
                  <c:v>0.67882446242038497</c:v>
                </c:pt>
                <c:pt idx="7533">
                  <c:v>0.67966687452744767</c:v>
                </c:pt>
                <c:pt idx="7534">
                  <c:v>0.69176423926203923</c:v>
                </c:pt>
                <c:pt idx="7535">
                  <c:v>0.65908501893821358</c:v>
                </c:pt>
                <c:pt idx="7536">
                  <c:v>0.65947331706185397</c:v>
                </c:pt>
                <c:pt idx="7537">
                  <c:v>0.66903333415227972</c:v>
                </c:pt>
                <c:pt idx="7538">
                  <c:v>0.66511906133103915</c:v>
                </c:pt>
                <c:pt idx="7539">
                  <c:v>0.65602389582785559</c:v>
                </c:pt>
                <c:pt idx="7540">
                  <c:v>0.65522566927741011</c:v>
                </c:pt>
                <c:pt idx="7541">
                  <c:v>0.6463047977708033</c:v>
                </c:pt>
                <c:pt idx="7542">
                  <c:v>0.64327517169842918</c:v>
                </c:pt>
                <c:pt idx="7543">
                  <c:v>0.66540386030421805</c:v>
                </c:pt>
                <c:pt idx="7544">
                  <c:v>0.65887454574095494</c:v>
                </c:pt>
                <c:pt idx="7545">
                  <c:v>0.65721873057097546</c:v>
                </c:pt>
                <c:pt idx="7546">
                  <c:v>0.63569651908739566</c:v>
                </c:pt>
                <c:pt idx="7547">
                  <c:v>0.63844392822254881</c:v>
                </c:pt>
                <c:pt idx="7548">
                  <c:v>0.63692197383268401</c:v>
                </c:pt>
                <c:pt idx="7549">
                  <c:v>0.65396801121147896</c:v>
                </c:pt>
                <c:pt idx="7550">
                  <c:v>0.64925568525950206</c:v>
                </c:pt>
                <c:pt idx="7551">
                  <c:v>0.52346083078012706</c:v>
                </c:pt>
                <c:pt idx="7552">
                  <c:v>0.52453580094370444</c:v>
                </c:pt>
                <c:pt idx="7553">
                  <c:v>0.50340413875392898</c:v>
                </c:pt>
                <c:pt idx="7554">
                  <c:v>0.50790644652443884</c:v>
                </c:pt>
                <c:pt idx="7555">
                  <c:v>0.52441923192776507</c:v>
                </c:pt>
                <c:pt idx="7556">
                  <c:v>0.52985058500999116</c:v>
                </c:pt>
                <c:pt idx="7557">
                  <c:v>0.55009682142978056</c:v>
                </c:pt>
                <c:pt idx="7558">
                  <c:v>0.55679514548122877</c:v>
                </c:pt>
                <c:pt idx="7559">
                  <c:v>0.5454132643660744</c:v>
                </c:pt>
                <c:pt idx="7560">
                  <c:v>0.52042536089632652</c:v>
                </c:pt>
                <c:pt idx="7561">
                  <c:v>0.35011848620032593</c:v>
                </c:pt>
                <c:pt idx="7562">
                  <c:v>0.55368779287328251</c:v>
                </c:pt>
                <c:pt idx="7563">
                  <c:v>0.56427608920892602</c:v>
                </c:pt>
                <c:pt idx="7564">
                  <c:v>0.5628040790694806</c:v>
                </c:pt>
                <c:pt idx="7565">
                  <c:v>0.55655335400620543</c:v>
                </c:pt>
                <c:pt idx="7566">
                  <c:v>0.53324112726520889</c:v>
                </c:pt>
                <c:pt idx="7567">
                  <c:v>0.55500975894609994</c:v>
                </c:pt>
                <c:pt idx="7568">
                  <c:v>0.55867737699159015</c:v>
                </c:pt>
                <c:pt idx="7569">
                  <c:v>0.57473911172586012</c:v>
                </c:pt>
                <c:pt idx="7570">
                  <c:v>0.57650547559166554</c:v>
                </c:pt>
                <c:pt idx="7571">
                  <c:v>0.56684660872596171</c:v>
                </c:pt>
                <c:pt idx="7572">
                  <c:v>0.57674170723492313</c:v>
                </c:pt>
                <c:pt idx="7573">
                  <c:v>0.57357183076368645</c:v>
                </c:pt>
                <c:pt idx="7574">
                  <c:v>0.55562410989807676</c:v>
                </c:pt>
                <c:pt idx="7575">
                  <c:v>0.54270918474323881</c:v>
                </c:pt>
                <c:pt idx="7576">
                  <c:v>0.59782183668039668</c:v>
                </c:pt>
                <c:pt idx="7577">
                  <c:v>0.60576905143604931</c:v>
                </c:pt>
                <c:pt idx="7578">
                  <c:v>0.54776264831982668</c:v>
                </c:pt>
                <c:pt idx="7579">
                  <c:v>0.57558534272370432</c:v>
                </c:pt>
                <c:pt idx="7580">
                  <c:v>0.57795514470559273</c:v>
                </c:pt>
                <c:pt idx="7581">
                  <c:v>0.58526237520567204</c:v>
                </c:pt>
                <c:pt idx="7582">
                  <c:v>0.57804396776236733</c:v>
                </c:pt>
                <c:pt idx="7583">
                  <c:v>0.54069865587634369</c:v>
                </c:pt>
                <c:pt idx="7584">
                  <c:v>0.55224076710826508</c:v>
                </c:pt>
                <c:pt idx="7585">
                  <c:v>0.53473208587881305</c:v>
                </c:pt>
                <c:pt idx="7586">
                  <c:v>0.55305258514626821</c:v>
                </c:pt>
                <c:pt idx="7587">
                  <c:v>0.58068462236233542</c:v>
                </c:pt>
                <c:pt idx="7588">
                  <c:v>0.54981453634761401</c:v>
                </c:pt>
                <c:pt idx="7589">
                  <c:v>0.55974771357726649</c:v>
                </c:pt>
                <c:pt idx="7590">
                  <c:v>0.54996977912531186</c:v>
                </c:pt>
                <c:pt idx="7591">
                  <c:v>0.53396997431157833</c:v>
                </c:pt>
                <c:pt idx="7592">
                  <c:v>0.55762688707708608</c:v>
                </c:pt>
                <c:pt idx="7593">
                  <c:v>0.54944211929920739</c:v>
                </c:pt>
                <c:pt idx="7594">
                  <c:v>0.56551571608128348</c:v>
                </c:pt>
                <c:pt idx="7595">
                  <c:v>0.56554677660780284</c:v>
                </c:pt>
                <c:pt idx="7596">
                  <c:v>0.52817004882434737</c:v>
                </c:pt>
                <c:pt idx="7597">
                  <c:v>0.54672892599220146</c:v>
                </c:pt>
                <c:pt idx="7598">
                  <c:v>0.49394644470610782</c:v>
                </c:pt>
                <c:pt idx="7599">
                  <c:v>0.56734590814498054</c:v>
                </c:pt>
                <c:pt idx="7600">
                  <c:v>0.53039604715606914</c:v>
                </c:pt>
                <c:pt idx="7601">
                  <c:v>0.53384333375398474</c:v>
                </c:pt>
                <c:pt idx="7602">
                  <c:v>0.51603561475464088</c:v>
                </c:pt>
                <c:pt idx="7603">
                  <c:v>0.53073781297970957</c:v>
                </c:pt>
                <c:pt idx="7604">
                  <c:v>0.54172747779675423</c:v>
                </c:pt>
                <c:pt idx="7605">
                  <c:v>0.52127946801754899</c:v>
                </c:pt>
                <c:pt idx="7606">
                  <c:v>0.51539758002177249</c:v>
                </c:pt>
                <c:pt idx="7607">
                  <c:v>0.5238374770764902</c:v>
                </c:pt>
                <c:pt idx="7608">
                  <c:v>0.50088071267739942</c:v>
                </c:pt>
                <c:pt idx="7609">
                  <c:v>0.52221150408623007</c:v>
                </c:pt>
                <c:pt idx="7610">
                  <c:v>0.52527304334674463</c:v>
                </c:pt>
                <c:pt idx="7611">
                  <c:v>0.54046162038267653</c:v>
                </c:pt>
                <c:pt idx="7612">
                  <c:v>0.54748659755506346</c:v>
                </c:pt>
                <c:pt idx="7613">
                  <c:v>0.55122498490978855</c:v>
                </c:pt>
                <c:pt idx="7614">
                  <c:v>0.55546628253896446</c:v>
                </c:pt>
                <c:pt idx="7615">
                  <c:v>0.56281014011265762</c:v>
                </c:pt>
                <c:pt idx="7616">
                  <c:v>0.57116101925319573</c:v>
                </c:pt>
                <c:pt idx="7617">
                  <c:v>0.55495482284002273</c:v>
                </c:pt>
                <c:pt idx="7618">
                  <c:v>0.56836250063863036</c:v>
                </c:pt>
                <c:pt idx="7619">
                  <c:v>0.56720110804753598</c:v>
                </c:pt>
                <c:pt idx="7620">
                  <c:v>0.53956258748507657</c:v>
                </c:pt>
                <c:pt idx="7621">
                  <c:v>0.57560057501665673</c:v>
                </c:pt>
                <c:pt idx="7622">
                  <c:v>0.53266649233137342</c:v>
                </c:pt>
                <c:pt idx="7623">
                  <c:v>0.57368288176094151</c:v>
                </c:pt>
                <c:pt idx="7624">
                  <c:v>0.54685026203146903</c:v>
                </c:pt>
                <c:pt idx="7625">
                  <c:v>0.54339486277414784</c:v>
                </c:pt>
                <c:pt idx="7626">
                  <c:v>0.55998653743941473</c:v>
                </c:pt>
                <c:pt idx="7627">
                  <c:v>0.57842980434119895</c:v>
                </c:pt>
                <c:pt idx="7628">
                  <c:v>0.54140649017747522</c:v>
                </c:pt>
                <c:pt idx="7629">
                  <c:v>0.54125340087872342</c:v>
                </c:pt>
                <c:pt idx="7630">
                  <c:v>0.55372844853157177</c:v>
                </c:pt>
                <c:pt idx="7631">
                  <c:v>0.53416373781809645</c:v>
                </c:pt>
                <c:pt idx="7632">
                  <c:v>0.53274686474144106</c:v>
                </c:pt>
                <c:pt idx="7633">
                  <c:v>0.52480814930572106</c:v>
                </c:pt>
                <c:pt idx="7634">
                  <c:v>0.5329573419412611</c:v>
                </c:pt>
                <c:pt idx="7635">
                  <c:v>0.51684079297564611</c:v>
                </c:pt>
                <c:pt idx="7636">
                  <c:v>0.54182352827520996</c:v>
                </c:pt>
                <c:pt idx="7637">
                  <c:v>0.54483668540838626</c:v>
                </c:pt>
                <c:pt idx="7638">
                  <c:v>0.5413368200099723</c:v>
                </c:pt>
                <c:pt idx="7639">
                  <c:v>0.55350036355493804</c:v>
                </c:pt>
                <c:pt idx="7640">
                  <c:v>0.55161051087377455</c:v>
                </c:pt>
                <c:pt idx="7641">
                  <c:v>0.56307424812282936</c:v>
                </c:pt>
                <c:pt idx="7642">
                  <c:v>0.57046961731238943</c:v>
                </c:pt>
                <c:pt idx="7643">
                  <c:v>0.56447550089225629</c:v>
                </c:pt>
                <c:pt idx="7644">
                  <c:v>0.55269631661072183</c:v>
                </c:pt>
                <c:pt idx="7645">
                  <c:v>0.53579004671659192</c:v>
                </c:pt>
                <c:pt idx="7646">
                  <c:v>0.55468161217670198</c:v>
                </c:pt>
                <c:pt idx="7647">
                  <c:v>0.55289856222710554</c:v>
                </c:pt>
                <c:pt idx="7648">
                  <c:v>0.54796142417369387</c:v>
                </c:pt>
                <c:pt idx="7649">
                  <c:v>0.56465801730430554</c:v>
                </c:pt>
                <c:pt idx="7650">
                  <c:v>0.54771011004513226</c:v>
                </c:pt>
                <c:pt idx="7651">
                  <c:v>0.55024535749204728</c:v>
                </c:pt>
                <c:pt idx="7652">
                  <c:v>0.5556235057679304</c:v>
                </c:pt>
                <c:pt idx="7653">
                  <c:v>0.5228587672746724</c:v>
                </c:pt>
                <c:pt idx="7654">
                  <c:v>0.52919928520383164</c:v>
                </c:pt>
                <c:pt idx="7655">
                  <c:v>0.49527368637967289</c:v>
                </c:pt>
                <c:pt idx="7656">
                  <c:v>0.47831435847657827</c:v>
                </c:pt>
                <c:pt idx="7657">
                  <c:v>0.48606843954114892</c:v>
                </c:pt>
                <c:pt idx="7658">
                  <c:v>0.47673224221960414</c:v>
                </c:pt>
                <c:pt idx="7659">
                  <c:v>0.47962036391116608</c:v>
                </c:pt>
                <c:pt idx="7660">
                  <c:v>0.50791238025161722</c:v>
                </c:pt>
                <c:pt idx="7661">
                  <c:v>0.48350841793467225</c:v>
                </c:pt>
                <c:pt idx="7662">
                  <c:v>0.47907321342749876</c:v>
                </c:pt>
                <c:pt idx="7663">
                  <c:v>0.46663484728934262</c:v>
                </c:pt>
                <c:pt idx="7664">
                  <c:v>0.49659660740964567</c:v>
                </c:pt>
                <c:pt idx="7665">
                  <c:v>0.51095324275028975</c:v>
                </c:pt>
                <c:pt idx="7666">
                  <c:v>0.47570314192682611</c:v>
                </c:pt>
                <c:pt idx="7667">
                  <c:v>0.49184923084809729</c:v>
                </c:pt>
                <c:pt idx="7668">
                  <c:v>0.50019460813734784</c:v>
                </c:pt>
                <c:pt idx="7669">
                  <c:v>0.56621751966998946</c:v>
                </c:pt>
                <c:pt idx="7670">
                  <c:v>0.57956136385326051</c:v>
                </c:pt>
                <c:pt idx="7671">
                  <c:v>0.60164634605478495</c:v>
                </c:pt>
                <c:pt idx="7672">
                  <c:v>0.62259414927038259</c:v>
                </c:pt>
                <c:pt idx="7673">
                  <c:v>0.58602100265023038</c:v>
                </c:pt>
                <c:pt idx="7674">
                  <c:v>0.57888092668821256</c:v>
                </c:pt>
                <c:pt idx="7675">
                  <c:v>0.57317016409910193</c:v>
                </c:pt>
                <c:pt idx="7676">
                  <c:v>0.57072222446338094</c:v>
                </c:pt>
                <c:pt idx="7677">
                  <c:v>0.57014278438011279</c:v>
                </c:pt>
                <c:pt idx="7678">
                  <c:v>0.58028434650518979</c:v>
                </c:pt>
                <c:pt idx="7679">
                  <c:v>0.5579290205462093</c:v>
                </c:pt>
                <c:pt idx="7680">
                  <c:v>0.5537579366724168</c:v>
                </c:pt>
                <c:pt idx="7681">
                  <c:v>0.55528397252593187</c:v>
                </c:pt>
                <c:pt idx="7682">
                  <c:v>0.56264491670291406</c:v>
                </c:pt>
                <c:pt idx="7683">
                  <c:v>0.5615191314518394</c:v>
                </c:pt>
                <c:pt idx="7684">
                  <c:v>0.56210494682398282</c:v>
                </c:pt>
                <c:pt idx="7685">
                  <c:v>0.55285564003288479</c:v>
                </c:pt>
                <c:pt idx="7686">
                  <c:v>0.56115912665887535</c:v>
                </c:pt>
                <c:pt idx="7687">
                  <c:v>0.59311009779436974</c:v>
                </c:pt>
                <c:pt idx="7688">
                  <c:v>0.56936712005255308</c:v>
                </c:pt>
                <c:pt idx="7689">
                  <c:v>0.57267333751802274</c:v>
                </c:pt>
                <c:pt idx="7690">
                  <c:v>0.54101766772204385</c:v>
                </c:pt>
                <c:pt idx="7691">
                  <c:v>0.5402767805346067</c:v>
                </c:pt>
                <c:pt idx="7692">
                  <c:v>0.54147140572232655</c:v>
                </c:pt>
                <c:pt idx="7693">
                  <c:v>0.55502790811476999</c:v>
                </c:pt>
                <c:pt idx="7694">
                  <c:v>0.57830791977601681</c:v>
                </c:pt>
                <c:pt idx="7695">
                  <c:v>0.54705265993009355</c:v>
                </c:pt>
                <c:pt idx="7696">
                  <c:v>0.54101654309191183</c:v>
                </c:pt>
                <c:pt idx="7697">
                  <c:v>0.50632112861286194</c:v>
                </c:pt>
                <c:pt idx="7698">
                  <c:v>0.52357180370278145</c:v>
                </c:pt>
                <c:pt idx="7699">
                  <c:v>0.54479060528793621</c:v>
                </c:pt>
                <c:pt idx="7700">
                  <c:v>0.54511170185661351</c:v>
                </c:pt>
                <c:pt idx="7701">
                  <c:v>0.56301925371232642</c:v>
                </c:pt>
                <c:pt idx="7702">
                  <c:v>0.56856813747048385</c:v>
                </c:pt>
                <c:pt idx="7703">
                  <c:v>0.56567619123926494</c:v>
                </c:pt>
                <c:pt idx="7704">
                  <c:v>0.53135461439313292</c:v>
                </c:pt>
                <c:pt idx="7705">
                  <c:v>0.52748451031334553</c:v>
                </c:pt>
                <c:pt idx="7706">
                  <c:v>0.56647508620960707</c:v>
                </c:pt>
                <c:pt idx="7707">
                  <c:v>0.53933045057152018</c:v>
                </c:pt>
                <c:pt idx="7708">
                  <c:v>0.55717106507363712</c:v>
                </c:pt>
                <c:pt idx="7709">
                  <c:v>0.53904509458292238</c:v>
                </c:pt>
                <c:pt idx="7710">
                  <c:v>0.52383916708675149</c:v>
                </c:pt>
                <c:pt idx="7711">
                  <c:v>0.56782489820295134</c:v>
                </c:pt>
                <c:pt idx="7712">
                  <c:v>0.55613357562008359</c:v>
                </c:pt>
                <c:pt idx="7713">
                  <c:v>0.57859130888497312</c:v>
                </c:pt>
                <c:pt idx="7714">
                  <c:v>0.55228058436982874</c:v>
                </c:pt>
                <c:pt idx="7715">
                  <c:v>0.55346235798165111</c:v>
                </c:pt>
                <c:pt idx="7716">
                  <c:v>0.56209375726904653</c:v>
                </c:pt>
                <c:pt idx="7717">
                  <c:v>0.54259540152513386</c:v>
                </c:pt>
                <c:pt idx="7718">
                  <c:v>0.57236920227058219</c:v>
                </c:pt>
                <c:pt idx="7719">
                  <c:v>0.55482713610270873</c:v>
                </c:pt>
                <c:pt idx="7720">
                  <c:v>0.56585560758079279</c:v>
                </c:pt>
                <c:pt idx="7721">
                  <c:v>0.60417667898983718</c:v>
                </c:pt>
                <c:pt idx="7722">
                  <c:v>0.59330733806599856</c:v>
                </c:pt>
                <c:pt idx="7723">
                  <c:v>0.51847327221783912</c:v>
                </c:pt>
                <c:pt idx="7724">
                  <c:v>0.52025420664084387</c:v>
                </c:pt>
                <c:pt idx="7725">
                  <c:v>0.55485376581909407</c:v>
                </c:pt>
                <c:pt idx="7726">
                  <c:v>0.5442541306840103</c:v>
                </c:pt>
                <c:pt idx="7727">
                  <c:v>0.54880729457398614</c:v>
                </c:pt>
                <c:pt idx="7728">
                  <c:v>0.53059281935633029</c:v>
                </c:pt>
                <c:pt idx="7729">
                  <c:v>0.53294193841896953</c:v>
                </c:pt>
                <c:pt idx="7730">
                  <c:v>0.55268536858073869</c:v>
                </c:pt>
                <c:pt idx="7731">
                  <c:v>0.54811450320199628</c:v>
                </c:pt>
                <c:pt idx="7732">
                  <c:v>0.54669488662428845</c:v>
                </c:pt>
                <c:pt idx="7733">
                  <c:v>0.54022495619414357</c:v>
                </c:pt>
                <c:pt idx="7734">
                  <c:v>0.52972940635641375</c:v>
                </c:pt>
                <c:pt idx="7735">
                  <c:v>0.55737051598512677</c:v>
                </c:pt>
                <c:pt idx="7736">
                  <c:v>0.53803555894730493</c:v>
                </c:pt>
                <c:pt idx="7737">
                  <c:v>0.53076992770137166</c:v>
                </c:pt>
                <c:pt idx="7738">
                  <c:v>0.54981539351844999</c:v>
                </c:pt>
                <c:pt idx="7739">
                  <c:v>0.53016344142762972</c:v>
                </c:pt>
                <c:pt idx="7740">
                  <c:v>0.50475241695689088</c:v>
                </c:pt>
                <c:pt idx="7741">
                  <c:v>0.52656218386034959</c:v>
                </c:pt>
                <c:pt idx="7742">
                  <c:v>0.52148812522825738</c:v>
                </c:pt>
                <c:pt idx="7743">
                  <c:v>0.52909500708369783</c:v>
                </c:pt>
                <c:pt idx="7744">
                  <c:v>0.55460350310656381</c:v>
                </c:pt>
                <c:pt idx="7745">
                  <c:v>0.52082886585916432</c:v>
                </c:pt>
                <c:pt idx="7746">
                  <c:v>0.5246823115936291</c:v>
                </c:pt>
                <c:pt idx="7747">
                  <c:v>0.54438607960175278</c:v>
                </c:pt>
                <c:pt idx="7748">
                  <c:v>0.51710797411879761</c:v>
                </c:pt>
                <c:pt idx="7749">
                  <c:v>0.49528048942404213</c:v>
                </c:pt>
                <c:pt idx="7750">
                  <c:v>0.48917252489519042</c:v>
                </c:pt>
                <c:pt idx="7751">
                  <c:v>0.50378455660278265</c:v>
                </c:pt>
                <c:pt idx="7752">
                  <c:v>0.50403145233546875</c:v>
                </c:pt>
                <c:pt idx="7753">
                  <c:v>0.5193117820004185</c:v>
                </c:pt>
                <c:pt idx="7754">
                  <c:v>0.51154300803216102</c:v>
                </c:pt>
                <c:pt idx="7755">
                  <c:v>0.53649379858199342</c:v>
                </c:pt>
                <c:pt idx="7756">
                  <c:v>0.55650464192576499</c:v>
                </c:pt>
                <c:pt idx="7757">
                  <c:v>0.53895332421390407</c:v>
                </c:pt>
                <c:pt idx="7758">
                  <c:v>0.56135782801321288</c:v>
                </c:pt>
                <c:pt idx="7759">
                  <c:v>0.56728263020715852</c:v>
                </c:pt>
                <c:pt idx="7760">
                  <c:v>0.55265580752115806</c:v>
                </c:pt>
                <c:pt idx="7761">
                  <c:v>0.55549770756629924</c:v>
                </c:pt>
                <c:pt idx="7762">
                  <c:v>0.55862746266435925</c:v>
                </c:pt>
                <c:pt idx="7763">
                  <c:v>0.56385079025692786</c:v>
                </c:pt>
                <c:pt idx="7764">
                  <c:v>0.56018183027376356</c:v>
                </c:pt>
                <c:pt idx="7765">
                  <c:v>0.56746279518009546</c:v>
                </c:pt>
                <c:pt idx="7766">
                  <c:v>0.54801196466256952</c:v>
                </c:pt>
                <c:pt idx="7767">
                  <c:v>0.55890419892460441</c:v>
                </c:pt>
                <c:pt idx="7768">
                  <c:v>0.55799595920650347</c:v>
                </c:pt>
                <c:pt idx="7769">
                  <c:v>0.56304253513353475</c:v>
                </c:pt>
                <c:pt idx="7770">
                  <c:v>0.55367674844007864</c:v>
                </c:pt>
                <c:pt idx="7771">
                  <c:v>0.55922473818891127</c:v>
                </c:pt>
                <c:pt idx="7772">
                  <c:v>0.57096477112263477</c:v>
                </c:pt>
                <c:pt idx="7773">
                  <c:v>0.56966026225204502</c:v>
                </c:pt>
                <c:pt idx="7774">
                  <c:v>0.58089442580294715</c:v>
                </c:pt>
                <c:pt idx="7775">
                  <c:v>0.54377113362273144</c:v>
                </c:pt>
                <c:pt idx="7776">
                  <c:v>0.54384475959747869</c:v>
                </c:pt>
                <c:pt idx="7777">
                  <c:v>0.54981527106557704</c:v>
                </c:pt>
                <c:pt idx="7778">
                  <c:v>0.56023371819431078</c:v>
                </c:pt>
                <c:pt idx="7779">
                  <c:v>0.54672263630994467</c:v>
                </c:pt>
                <c:pt idx="7780">
                  <c:v>0.54323302445865262</c:v>
                </c:pt>
                <c:pt idx="7781">
                  <c:v>0.53806625787663842</c:v>
                </c:pt>
                <c:pt idx="7782">
                  <c:v>0.55151757674370117</c:v>
                </c:pt>
                <c:pt idx="7783">
                  <c:v>0.55125684037163158</c:v>
                </c:pt>
                <c:pt idx="7784">
                  <c:v>0.54984416898622335</c:v>
                </c:pt>
                <c:pt idx="7785">
                  <c:v>0.53852183150967281</c:v>
                </c:pt>
                <c:pt idx="7786">
                  <c:v>0.54911035025759836</c:v>
                </c:pt>
                <c:pt idx="7787">
                  <c:v>0.54750937253770338</c:v>
                </c:pt>
                <c:pt idx="7788">
                  <c:v>0.54252181247712716</c:v>
                </c:pt>
                <c:pt idx="7789">
                  <c:v>0.53733720153107378</c:v>
                </c:pt>
                <c:pt idx="7790">
                  <c:v>0.55067404073387494</c:v>
                </c:pt>
                <c:pt idx="7791">
                  <c:v>0.53980800847018384</c:v>
                </c:pt>
                <c:pt idx="7792">
                  <c:v>0.56841318572777733</c:v>
                </c:pt>
                <c:pt idx="7793">
                  <c:v>0.59843745801162596</c:v>
                </c:pt>
                <c:pt idx="7794">
                  <c:v>0.59007183411192188</c:v>
                </c:pt>
                <c:pt idx="7795">
                  <c:v>0.60481583918360926</c:v>
                </c:pt>
                <c:pt idx="7796">
                  <c:v>0.5605004724762237</c:v>
                </c:pt>
                <c:pt idx="7797">
                  <c:v>0.52552149142442706</c:v>
                </c:pt>
                <c:pt idx="7798">
                  <c:v>0.49678163078360199</c:v>
                </c:pt>
                <c:pt idx="7799">
                  <c:v>0.48867168168674852</c:v>
                </c:pt>
                <c:pt idx="7800">
                  <c:v>0.50430785253686505</c:v>
                </c:pt>
                <c:pt idx="7801">
                  <c:v>0.50890231169417466</c:v>
                </c:pt>
                <c:pt idx="7802">
                  <c:v>0.52268570191516628</c:v>
                </c:pt>
                <c:pt idx="7803">
                  <c:v>0.48476449936685051</c:v>
                </c:pt>
                <c:pt idx="7804">
                  <c:v>0.4923803897132657</c:v>
                </c:pt>
                <c:pt idx="7805">
                  <c:v>0.49032993043516365</c:v>
                </c:pt>
                <c:pt idx="7806">
                  <c:v>0.48618173330441861</c:v>
                </c:pt>
                <c:pt idx="7807">
                  <c:v>0.50764379789796654</c:v>
                </c:pt>
                <c:pt idx="7808">
                  <c:v>0.47258313562824067</c:v>
                </c:pt>
                <c:pt idx="7809">
                  <c:v>0.4642805469587783</c:v>
                </c:pt>
                <c:pt idx="7810">
                  <c:v>0.46835235283630816</c:v>
                </c:pt>
                <c:pt idx="7811">
                  <c:v>0.50151537433051663</c:v>
                </c:pt>
                <c:pt idx="7812">
                  <c:v>0.48018350097850732</c:v>
                </c:pt>
                <c:pt idx="7813">
                  <c:v>0.48881501987521297</c:v>
                </c:pt>
                <c:pt idx="7814">
                  <c:v>0.47976297926778455</c:v>
                </c:pt>
                <c:pt idx="7815">
                  <c:v>0.49194871523733591</c:v>
                </c:pt>
                <c:pt idx="7816">
                  <c:v>0.49214188212730003</c:v>
                </c:pt>
                <c:pt idx="7817">
                  <c:v>0.51501274326713364</c:v>
                </c:pt>
                <c:pt idx="7818">
                  <c:v>0.48689385686199532</c:v>
                </c:pt>
                <c:pt idx="7819">
                  <c:v>0.49073571877403577</c:v>
                </c:pt>
                <c:pt idx="7820">
                  <c:v>0.4950924640351812</c:v>
                </c:pt>
                <c:pt idx="7821">
                  <c:v>0.50753920685099185</c:v>
                </c:pt>
                <c:pt idx="7822">
                  <c:v>0.51731587337785534</c:v>
                </c:pt>
                <c:pt idx="7823">
                  <c:v>0.51356982189439071</c:v>
                </c:pt>
                <c:pt idx="7824">
                  <c:v>0.49387026079153629</c:v>
                </c:pt>
                <c:pt idx="7825">
                  <c:v>0.51467005507625363</c:v>
                </c:pt>
                <c:pt idx="7826">
                  <c:v>0.50603422396503872</c:v>
                </c:pt>
                <c:pt idx="7827">
                  <c:v>0.48399216445858084</c:v>
                </c:pt>
                <c:pt idx="7828">
                  <c:v>0.50631774481132574</c:v>
                </c:pt>
                <c:pt idx="7829">
                  <c:v>0.52565964373770435</c:v>
                </c:pt>
                <c:pt idx="7830">
                  <c:v>0.49992807666556388</c:v>
                </c:pt>
                <c:pt idx="7831">
                  <c:v>0.49065798724289472</c:v>
                </c:pt>
                <c:pt idx="7832">
                  <c:v>0.51229701315479514</c:v>
                </c:pt>
                <c:pt idx="7833">
                  <c:v>0.51786649033260312</c:v>
                </c:pt>
                <c:pt idx="7834">
                  <c:v>0.51903162608295583</c:v>
                </c:pt>
                <c:pt idx="7835">
                  <c:v>0.50762949402875124</c:v>
                </c:pt>
                <c:pt idx="7836">
                  <c:v>0.49270592424587401</c:v>
                </c:pt>
                <c:pt idx="7837">
                  <c:v>0.50286269823689222</c:v>
                </c:pt>
                <c:pt idx="7838">
                  <c:v>0.51240313416247807</c:v>
                </c:pt>
                <c:pt idx="7839">
                  <c:v>0.53114399798198741</c:v>
                </c:pt>
                <c:pt idx="7840">
                  <c:v>0.5174487447656525</c:v>
                </c:pt>
                <c:pt idx="7841">
                  <c:v>0.5140246906806597</c:v>
                </c:pt>
                <c:pt idx="7842">
                  <c:v>0.50332128252192931</c:v>
                </c:pt>
                <c:pt idx="7843">
                  <c:v>0.53489648897691489</c:v>
                </c:pt>
                <c:pt idx="7844">
                  <c:v>0.52768518291139521</c:v>
                </c:pt>
                <c:pt idx="7845">
                  <c:v>0.5043279771764746</c:v>
                </c:pt>
                <c:pt idx="7846">
                  <c:v>0.51602555546487661</c:v>
                </c:pt>
                <c:pt idx="7847">
                  <c:v>0.51321067261604536</c:v>
                </c:pt>
                <c:pt idx="7848">
                  <c:v>0.46591364530304219</c:v>
                </c:pt>
                <c:pt idx="7849">
                  <c:v>0.55457383008795214</c:v>
                </c:pt>
                <c:pt idx="7850">
                  <c:v>0.57460358012276014</c:v>
                </c:pt>
                <c:pt idx="7851">
                  <c:v>0.54497923030558837</c:v>
                </c:pt>
                <c:pt idx="7852">
                  <c:v>0.57072782591415205</c:v>
                </c:pt>
                <c:pt idx="7853">
                  <c:v>0.5590438795579461</c:v>
                </c:pt>
                <c:pt idx="7854">
                  <c:v>0.52444182124127769</c:v>
                </c:pt>
                <c:pt idx="7855">
                  <c:v>0.60539685254072073</c:v>
                </c:pt>
                <c:pt idx="7856">
                  <c:v>0.57173980183904183</c:v>
                </c:pt>
                <c:pt idx="7857">
                  <c:v>0.57841306587221297</c:v>
                </c:pt>
                <c:pt idx="7858">
                  <c:v>0.5667507547716929</c:v>
                </c:pt>
                <c:pt idx="7859">
                  <c:v>0.59218664275878052</c:v>
                </c:pt>
                <c:pt idx="7860">
                  <c:v>0.57663650101857633</c:v>
                </c:pt>
                <c:pt idx="7861">
                  <c:v>0.58586426663392321</c:v>
                </c:pt>
                <c:pt idx="7862">
                  <c:v>0.58694696755557729</c:v>
                </c:pt>
                <c:pt idx="7863">
                  <c:v>0.58122523037898566</c:v>
                </c:pt>
                <c:pt idx="7864">
                  <c:v>0.59207700260395746</c:v>
                </c:pt>
                <c:pt idx="7865">
                  <c:v>0.65720725557440896</c:v>
                </c:pt>
                <c:pt idx="7866">
                  <c:v>0.63454810174406184</c:v>
                </c:pt>
                <c:pt idx="7867">
                  <c:v>0.49291787949511118</c:v>
                </c:pt>
                <c:pt idx="7868">
                  <c:v>0.57682421987874699</c:v>
                </c:pt>
                <c:pt idx="7869">
                  <c:v>0.56897865059154173</c:v>
                </c:pt>
                <c:pt idx="7870">
                  <c:v>0.56205304390237043</c:v>
                </c:pt>
                <c:pt idx="7871">
                  <c:v>0.58638642515129114</c:v>
                </c:pt>
                <c:pt idx="7872">
                  <c:v>0.54558900704835611</c:v>
                </c:pt>
                <c:pt idx="7873">
                  <c:v>0.56206875828564451</c:v>
                </c:pt>
                <c:pt idx="7874">
                  <c:v>0.57252658427783154</c:v>
                </c:pt>
                <c:pt idx="7875">
                  <c:v>0.54899467419688719</c:v>
                </c:pt>
                <c:pt idx="7876">
                  <c:v>0.57444058552180566</c:v>
                </c:pt>
                <c:pt idx="7877">
                  <c:v>0.53967779468737997</c:v>
                </c:pt>
                <c:pt idx="7878">
                  <c:v>0.55175633590077866</c:v>
                </c:pt>
                <c:pt idx="7879">
                  <c:v>0.54941515566948484</c:v>
                </c:pt>
                <c:pt idx="7880">
                  <c:v>0.54281746274665921</c:v>
                </c:pt>
                <c:pt idx="7881">
                  <c:v>0.55130358189622741</c:v>
                </c:pt>
                <c:pt idx="7882">
                  <c:v>0.55915559172763341</c:v>
                </c:pt>
                <c:pt idx="7883">
                  <c:v>0.51808074546311755</c:v>
                </c:pt>
                <c:pt idx="7884">
                  <c:v>0.52605029788464641</c:v>
                </c:pt>
                <c:pt idx="7885">
                  <c:v>0.52658207835450033</c:v>
                </c:pt>
                <c:pt idx="7886">
                  <c:v>0.53383558423605681</c:v>
                </c:pt>
                <c:pt idx="7887">
                  <c:v>0.54683349402852277</c:v>
                </c:pt>
                <c:pt idx="7888">
                  <c:v>0.55981293653481856</c:v>
                </c:pt>
                <c:pt idx="7889">
                  <c:v>0.52838082560515409</c:v>
                </c:pt>
                <c:pt idx="7890">
                  <c:v>0.5417837385114358</c:v>
                </c:pt>
                <c:pt idx="7891">
                  <c:v>0.56191873415872107</c:v>
                </c:pt>
                <c:pt idx="7892">
                  <c:v>0.51070851006441054</c:v>
                </c:pt>
                <c:pt idx="7893">
                  <c:v>0.49111239329964462</c:v>
                </c:pt>
                <c:pt idx="7894">
                  <c:v>0.50499482604877532</c:v>
                </c:pt>
                <c:pt idx="7895">
                  <c:v>0.51545801959009374</c:v>
                </c:pt>
                <c:pt idx="7896">
                  <c:v>0.51039807586194319</c:v>
                </c:pt>
                <c:pt idx="7897">
                  <c:v>0.51383143963306732</c:v>
                </c:pt>
                <c:pt idx="7898">
                  <c:v>0.52452321092023702</c:v>
                </c:pt>
                <c:pt idx="7899">
                  <c:v>0.54749669255960398</c:v>
                </c:pt>
                <c:pt idx="7900">
                  <c:v>0.54404918315178685</c:v>
                </c:pt>
                <c:pt idx="7901">
                  <c:v>0.535381856391557</c:v>
                </c:pt>
                <c:pt idx="7902">
                  <c:v>0.56067988967004789</c:v>
                </c:pt>
                <c:pt idx="7903">
                  <c:v>0.55361326784465192</c:v>
                </c:pt>
                <c:pt idx="7904">
                  <c:v>0.54263287609596988</c:v>
                </c:pt>
                <c:pt idx="7905">
                  <c:v>0.54791161574809055</c:v>
                </c:pt>
                <c:pt idx="7906">
                  <c:v>0.54320467790227689</c:v>
                </c:pt>
                <c:pt idx="7907">
                  <c:v>0.54418615638684442</c:v>
                </c:pt>
                <c:pt idx="7908">
                  <c:v>0.55265337442251805</c:v>
                </c:pt>
                <c:pt idx="7909">
                  <c:v>0.53860125333179221</c:v>
                </c:pt>
                <c:pt idx="7910">
                  <c:v>0.54590061772922349</c:v>
                </c:pt>
                <c:pt idx="7911">
                  <c:v>0.55069151655416626</c:v>
                </c:pt>
                <c:pt idx="7912">
                  <c:v>0.54052530120053621</c:v>
                </c:pt>
                <c:pt idx="7913">
                  <c:v>0.54242541811012024</c:v>
                </c:pt>
                <c:pt idx="7914">
                  <c:v>0.5425057482350063</c:v>
                </c:pt>
                <c:pt idx="7915">
                  <c:v>0.54117071521020632</c:v>
                </c:pt>
                <c:pt idx="7916">
                  <c:v>0.55674067579981001</c:v>
                </c:pt>
                <c:pt idx="7917">
                  <c:v>0.56047227501939256</c:v>
                </c:pt>
                <c:pt idx="7918">
                  <c:v>0.55799259449319605</c:v>
                </c:pt>
                <c:pt idx="7919">
                  <c:v>0.52219649762982967</c:v>
                </c:pt>
                <c:pt idx="7920">
                  <c:v>0.52613035217917115</c:v>
                </c:pt>
                <c:pt idx="7921">
                  <c:v>0.53034495117907976</c:v>
                </c:pt>
                <c:pt idx="7922">
                  <c:v>0.52587435938339711</c:v>
                </c:pt>
                <c:pt idx="7923">
                  <c:v>0.52773594856325468</c:v>
                </c:pt>
                <c:pt idx="7924">
                  <c:v>0.52030951807248926</c:v>
                </c:pt>
                <c:pt idx="7925">
                  <c:v>0.52975838972449729</c:v>
                </c:pt>
                <c:pt idx="7926">
                  <c:v>0.52881016942429915</c:v>
                </c:pt>
                <c:pt idx="7927">
                  <c:v>0.53892105560491088</c:v>
                </c:pt>
                <c:pt idx="7928">
                  <c:v>0.52458576805653989</c:v>
                </c:pt>
                <c:pt idx="7929">
                  <c:v>0.53786201887035878</c:v>
                </c:pt>
                <c:pt idx="7930">
                  <c:v>0.53765995049047854</c:v>
                </c:pt>
                <c:pt idx="7931">
                  <c:v>0.54087506638854932</c:v>
                </c:pt>
                <c:pt idx="7932">
                  <c:v>0.52018250100630625</c:v>
                </c:pt>
                <c:pt idx="7933">
                  <c:v>0.54077755561491392</c:v>
                </c:pt>
                <c:pt idx="7934">
                  <c:v>0.52916756778493901</c:v>
                </c:pt>
                <c:pt idx="7935">
                  <c:v>0.52141570795654668</c:v>
                </c:pt>
                <c:pt idx="7936">
                  <c:v>0.57766008506342137</c:v>
                </c:pt>
                <c:pt idx="7937">
                  <c:v>0.58281635847138757</c:v>
                </c:pt>
                <c:pt idx="7938">
                  <c:v>0.57634319336148654</c:v>
                </c:pt>
                <c:pt idx="7939">
                  <c:v>0.60548454616434311</c:v>
                </c:pt>
                <c:pt idx="7940">
                  <c:v>0.5033304138356901</c:v>
                </c:pt>
                <c:pt idx="7941">
                  <c:v>0.49654926640389063</c:v>
                </c:pt>
                <c:pt idx="7942">
                  <c:v>0.4947912316000212</c:v>
                </c:pt>
                <c:pt idx="7943">
                  <c:v>0.54956233220402417</c:v>
                </c:pt>
                <c:pt idx="7944">
                  <c:v>0.61589704977368298</c:v>
                </c:pt>
                <c:pt idx="7945">
                  <c:v>0.62504314606786704</c:v>
                </c:pt>
                <c:pt idx="7946">
                  <c:v>0.65528743374929421</c:v>
                </c:pt>
                <c:pt idx="7947">
                  <c:v>0.5896647045007809</c:v>
                </c:pt>
                <c:pt idx="7948">
                  <c:v>0.64118537727702218</c:v>
                </c:pt>
                <c:pt idx="7949">
                  <c:v>0.64055666178759108</c:v>
                </c:pt>
                <c:pt idx="7950">
                  <c:v>0.67412009645825177</c:v>
                </c:pt>
                <c:pt idx="7951">
                  <c:v>0.7096792941366904</c:v>
                </c:pt>
                <c:pt idx="7952">
                  <c:v>0.65121557967879617</c:v>
                </c:pt>
                <c:pt idx="7953">
                  <c:v>0.66272620256214376</c:v>
                </c:pt>
                <c:pt idx="7954">
                  <c:v>0.67609908802807039</c:v>
                </c:pt>
                <c:pt idx="7955">
                  <c:v>0.6660769103165195</c:v>
                </c:pt>
                <c:pt idx="7956">
                  <c:v>0.7321801791931577</c:v>
                </c:pt>
                <c:pt idx="7957">
                  <c:v>0.69056294818279795</c:v>
                </c:pt>
                <c:pt idx="7958">
                  <c:v>0.6923233361987905</c:v>
                </c:pt>
                <c:pt idx="7959">
                  <c:v>0.72025773233366452</c:v>
                </c:pt>
                <c:pt idx="7960">
                  <c:v>0.71476701997420355</c:v>
                </c:pt>
                <c:pt idx="7961">
                  <c:v>0.72129871969461823</c:v>
                </c:pt>
                <c:pt idx="7962">
                  <c:v>0.7404393554436447</c:v>
                </c:pt>
                <c:pt idx="7963">
                  <c:v>0.70265408885547997</c:v>
                </c:pt>
                <c:pt idx="7964">
                  <c:v>0.72861306364898448</c:v>
                </c:pt>
                <c:pt idx="7965">
                  <c:v>0.7685778729304491</c:v>
                </c:pt>
                <c:pt idx="7966">
                  <c:v>0.75647452977184759</c:v>
                </c:pt>
                <c:pt idx="7967">
                  <c:v>0.76618768440522056</c:v>
                </c:pt>
                <c:pt idx="7968">
                  <c:v>0.74533396304485822</c:v>
                </c:pt>
                <c:pt idx="7969">
                  <c:v>0.76647493786070764</c:v>
                </c:pt>
                <c:pt idx="7970">
                  <c:v>0.78372832609401966</c:v>
                </c:pt>
                <c:pt idx="7971">
                  <c:v>0.74200775691489218</c:v>
                </c:pt>
                <c:pt idx="7972">
                  <c:v>0.82726133229206211</c:v>
                </c:pt>
                <c:pt idx="7973">
                  <c:v>0.76446793106136812</c:v>
                </c:pt>
                <c:pt idx="7974">
                  <c:v>0.76521912920539048</c:v>
                </c:pt>
                <c:pt idx="7975">
                  <c:v>0.78875971228399266</c:v>
                </c:pt>
                <c:pt idx="7976">
                  <c:v>0.80932183118556145</c:v>
                </c:pt>
                <c:pt idx="7977">
                  <c:v>0.80445396033350303</c:v>
                </c:pt>
                <c:pt idx="7978">
                  <c:v>0.77241948533396332</c:v>
                </c:pt>
                <c:pt idx="7979">
                  <c:v>0.79168419419148184</c:v>
                </c:pt>
                <c:pt idx="7980">
                  <c:v>0.7913803579240537</c:v>
                </c:pt>
                <c:pt idx="7981">
                  <c:v>0.8105473010013523</c:v>
                </c:pt>
                <c:pt idx="7982">
                  <c:v>0.80383006632352483</c:v>
                </c:pt>
                <c:pt idx="7983">
                  <c:v>0.81967551999429278</c:v>
                </c:pt>
                <c:pt idx="7984">
                  <c:v>0.81441195707735425</c:v>
                </c:pt>
                <c:pt idx="7985">
                  <c:v>0.81535642753444237</c:v>
                </c:pt>
                <c:pt idx="7986">
                  <c:v>0.86685627610154026</c:v>
                </c:pt>
                <c:pt idx="7987">
                  <c:v>0.84353375139342734</c:v>
                </c:pt>
                <c:pt idx="7988">
                  <c:v>0.83499146068419794</c:v>
                </c:pt>
                <c:pt idx="7989">
                  <c:v>0.81721375941640517</c:v>
                </c:pt>
                <c:pt idx="7990">
                  <c:v>0.82849465278049372</c:v>
                </c:pt>
                <c:pt idx="7991">
                  <c:v>0.82004946267305179</c:v>
                </c:pt>
                <c:pt idx="7992">
                  <c:v>0.52942124230088239</c:v>
                </c:pt>
                <c:pt idx="7993">
                  <c:v>0.55159953543737184</c:v>
                </c:pt>
                <c:pt idx="7994">
                  <c:v>0.77638304482670639</c:v>
                </c:pt>
                <c:pt idx="7995">
                  <c:v>0.53769306844841569</c:v>
                </c:pt>
                <c:pt idx="7996">
                  <c:v>0.67729389241884419</c:v>
                </c:pt>
                <c:pt idx="7997">
                  <c:v>0.6336327494115519</c:v>
                </c:pt>
                <c:pt idx="7998">
                  <c:v>0.56464606494489689</c:v>
                </c:pt>
                <c:pt idx="7999">
                  <c:v>0.55380271113206603</c:v>
                </c:pt>
                <c:pt idx="8000">
                  <c:v>0.5553763460494493</c:v>
                </c:pt>
                <c:pt idx="8001">
                  <c:v>0.55571822311134778</c:v>
                </c:pt>
                <c:pt idx="8002">
                  <c:v>0.54256028952463742</c:v>
                </c:pt>
                <c:pt idx="8003">
                  <c:v>0.50561008665636376</c:v>
                </c:pt>
                <c:pt idx="8004">
                  <c:v>0.56853471198325711</c:v>
                </c:pt>
                <c:pt idx="8005">
                  <c:v>0.52943099605457611</c:v>
                </c:pt>
                <c:pt idx="8006">
                  <c:v>0.55436109390796684</c:v>
                </c:pt>
                <c:pt idx="8007">
                  <c:v>0.54058096735081518</c:v>
                </c:pt>
                <c:pt idx="8008">
                  <c:v>0.59432281454328295</c:v>
                </c:pt>
                <c:pt idx="8009">
                  <c:v>0.57891677178847456</c:v>
                </c:pt>
                <c:pt idx="8010">
                  <c:v>0.48382384814921803</c:v>
                </c:pt>
                <c:pt idx="8011">
                  <c:v>0.55102769752187353</c:v>
                </c:pt>
                <c:pt idx="8012">
                  <c:v>0.54386524352610466</c:v>
                </c:pt>
                <c:pt idx="8013">
                  <c:v>0.57261141207173538</c:v>
                </c:pt>
                <c:pt idx="8014">
                  <c:v>0.53562104729442772</c:v>
                </c:pt>
                <c:pt idx="8015">
                  <c:v>0.5298659703564208</c:v>
                </c:pt>
                <c:pt idx="8016">
                  <c:v>0.54936428790100356</c:v>
                </c:pt>
                <c:pt idx="8017">
                  <c:v>0.53359337387173311</c:v>
                </c:pt>
                <c:pt idx="8018">
                  <c:v>0.53496517253205134</c:v>
                </c:pt>
                <c:pt idx="8019">
                  <c:v>0.55451690066214088</c:v>
                </c:pt>
                <c:pt idx="8020">
                  <c:v>0.55346272226810811</c:v>
                </c:pt>
                <c:pt idx="8021">
                  <c:v>0.5276246171377853</c:v>
                </c:pt>
                <c:pt idx="8022">
                  <c:v>0.52978916640491314</c:v>
                </c:pt>
                <c:pt idx="8023">
                  <c:v>0.55332633634846584</c:v>
                </c:pt>
                <c:pt idx="8024">
                  <c:v>0.54396541464296433</c:v>
                </c:pt>
                <c:pt idx="8025">
                  <c:v>0.56238566267726031</c:v>
                </c:pt>
                <c:pt idx="8026">
                  <c:v>0.53426033332627454</c:v>
                </c:pt>
                <c:pt idx="8027">
                  <c:v>0.50399702601611152</c:v>
                </c:pt>
                <c:pt idx="8028">
                  <c:v>0.53940370435837026</c:v>
                </c:pt>
                <c:pt idx="8029">
                  <c:v>0.52217940268684104</c:v>
                </c:pt>
                <c:pt idx="8030">
                  <c:v>0.52230583714942314</c:v>
                </c:pt>
                <c:pt idx="8031">
                  <c:v>0.54734844476974109</c:v>
                </c:pt>
                <c:pt idx="8032">
                  <c:v>0.51129111418226847</c:v>
                </c:pt>
                <c:pt idx="8033">
                  <c:v>0.54916124777608077</c:v>
                </c:pt>
                <c:pt idx="8034">
                  <c:v>0.54498727879567344</c:v>
                </c:pt>
                <c:pt idx="8035">
                  <c:v>0.56822249927907753</c:v>
                </c:pt>
                <c:pt idx="8036">
                  <c:v>0.55131114793627778</c:v>
                </c:pt>
                <c:pt idx="8037">
                  <c:v>0.53014012275007494</c:v>
                </c:pt>
                <c:pt idx="8038">
                  <c:v>0.52725859438308542</c:v>
                </c:pt>
                <c:pt idx="8039">
                  <c:v>0.50992167220361362</c:v>
                </c:pt>
                <c:pt idx="8040">
                  <c:v>0.51764936025846542</c:v>
                </c:pt>
                <c:pt idx="8041">
                  <c:v>0.50874620625363887</c:v>
                </c:pt>
                <c:pt idx="8042">
                  <c:v>0.52706082149551925</c:v>
                </c:pt>
                <c:pt idx="8043">
                  <c:v>0.53733644539712355</c:v>
                </c:pt>
                <c:pt idx="8044">
                  <c:v>0.50770060389750393</c:v>
                </c:pt>
                <c:pt idx="8045">
                  <c:v>0.51647124958095869</c:v>
                </c:pt>
                <c:pt idx="8046">
                  <c:v>0.50357089350265982</c:v>
                </c:pt>
                <c:pt idx="8047">
                  <c:v>0.49917056987244174</c:v>
                </c:pt>
                <c:pt idx="8048">
                  <c:v>0.51552110104529225</c:v>
                </c:pt>
                <c:pt idx="8049">
                  <c:v>0.50678959821776359</c:v>
                </c:pt>
                <c:pt idx="8050">
                  <c:v>0.48317791167363966</c:v>
                </c:pt>
                <c:pt idx="8051">
                  <c:v>0.50832457580081791</c:v>
                </c:pt>
                <c:pt idx="8052">
                  <c:v>0.51174142371346676</c:v>
                </c:pt>
                <c:pt idx="8053">
                  <c:v>0.48935834504429482</c:v>
                </c:pt>
                <c:pt idx="8054">
                  <c:v>0.51468824478430042</c:v>
                </c:pt>
                <c:pt idx="8055">
                  <c:v>0.51458560236482365</c:v>
                </c:pt>
                <c:pt idx="8056">
                  <c:v>0.51756759524315465</c:v>
                </c:pt>
                <c:pt idx="8057">
                  <c:v>0.4917070307531059</c:v>
                </c:pt>
                <c:pt idx="8058">
                  <c:v>0.50509528091429168</c:v>
                </c:pt>
                <c:pt idx="8059">
                  <c:v>0.49491936428679795</c:v>
                </c:pt>
                <c:pt idx="8060">
                  <c:v>0.51491123912753101</c:v>
                </c:pt>
                <c:pt idx="8061">
                  <c:v>0.51238765145503018</c:v>
                </c:pt>
                <c:pt idx="8062">
                  <c:v>0.50401866184766875</c:v>
                </c:pt>
                <c:pt idx="8063">
                  <c:v>0.48184019142405032</c:v>
                </c:pt>
                <c:pt idx="8064">
                  <c:v>0.49649375180905692</c:v>
                </c:pt>
                <c:pt idx="8065">
                  <c:v>0.53074676951538391</c:v>
                </c:pt>
                <c:pt idx="8066">
                  <c:v>0.50858977538885441</c:v>
                </c:pt>
                <c:pt idx="8067">
                  <c:v>0.49821251625617585</c:v>
                </c:pt>
                <c:pt idx="8068">
                  <c:v>0.49804189748834227</c:v>
                </c:pt>
                <c:pt idx="8069">
                  <c:v>0.49202649587454711</c:v>
                </c:pt>
                <c:pt idx="8070">
                  <c:v>0.52176421964773123</c:v>
                </c:pt>
                <c:pt idx="8071">
                  <c:v>0.47594271903560004</c:v>
                </c:pt>
                <c:pt idx="8072">
                  <c:v>0.48596107387253606</c:v>
                </c:pt>
                <c:pt idx="8073">
                  <c:v>0.4803056693122148</c:v>
                </c:pt>
                <c:pt idx="8074">
                  <c:v>0.48669536728368495</c:v>
                </c:pt>
                <c:pt idx="8075">
                  <c:v>0.48235354760235799</c:v>
                </c:pt>
                <c:pt idx="8076">
                  <c:v>0.49088496920475738</c:v>
                </c:pt>
                <c:pt idx="8077">
                  <c:v>0.4993283666966874</c:v>
                </c:pt>
                <c:pt idx="8078">
                  <c:v>0.49515537967117151</c:v>
                </c:pt>
                <c:pt idx="8079">
                  <c:v>0.50867405581604219</c:v>
                </c:pt>
                <c:pt idx="8080">
                  <c:v>0.49803044694140153</c:v>
                </c:pt>
                <c:pt idx="8081">
                  <c:v>0.51082493268348783</c:v>
                </c:pt>
                <c:pt idx="8082">
                  <c:v>0.495400705238913</c:v>
                </c:pt>
                <c:pt idx="8083">
                  <c:v>0.50407022970364601</c:v>
                </c:pt>
                <c:pt idx="8084">
                  <c:v>0.49311270886760983</c:v>
                </c:pt>
                <c:pt idx="8085">
                  <c:v>0.51667244917979882</c:v>
                </c:pt>
                <c:pt idx="8086">
                  <c:v>0.50871228627221776</c:v>
                </c:pt>
                <c:pt idx="8087">
                  <c:v>0.48637804862340872</c:v>
                </c:pt>
                <c:pt idx="8088">
                  <c:v>0.51911653293686855</c:v>
                </c:pt>
                <c:pt idx="8089">
                  <c:v>0.51003159596426584</c:v>
                </c:pt>
                <c:pt idx="8090">
                  <c:v>0.50182045960664723</c:v>
                </c:pt>
                <c:pt idx="8091">
                  <c:v>0.50185150335733197</c:v>
                </c:pt>
                <c:pt idx="8092">
                  <c:v>0.48270226064866512</c:v>
                </c:pt>
                <c:pt idx="8093">
                  <c:v>0.49197991310130385</c:v>
                </c:pt>
                <c:pt idx="8094">
                  <c:v>0.49642701415042967</c:v>
                </c:pt>
                <c:pt idx="8095">
                  <c:v>0.49490546885987075</c:v>
                </c:pt>
                <c:pt idx="8096">
                  <c:v>0.49903294955674521</c:v>
                </c:pt>
                <c:pt idx="8097">
                  <c:v>0.48148304610794951</c:v>
                </c:pt>
                <c:pt idx="8098">
                  <c:v>0.48296057665183983</c:v>
                </c:pt>
                <c:pt idx="8099">
                  <c:v>0.48215511801201277</c:v>
                </c:pt>
                <c:pt idx="8100">
                  <c:v>0.52642005382119439</c:v>
                </c:pt>
                <c:pt idx="8101">
                  <c:v>0.52227674352126108</c:v>
                </c:pt>
                <c:pt idx="8102">
                  <c:v>0.51783419795282415</c:v>
                </c:pt>
                <c:pt idx="8103">
                  <c:v>0.52848874797770018</c:v>
                </c:pt>
                <c:pt idx="8104">
                  <c:v>0.54468281817214192</c:v>
                </c:pt>
                <c:pt idx="8105">
                  <c:v>0.4785260942279923</c:v>
                </c:pt>
                <c:pt idx="8106">
                  <c:v>0.53168758372355018</c:v>
                </c:pt>
                <c:pt idx="8107">
                  <c:v>0.51333961168349729</c:v>
                </c:pt>
                <c:pt idx="8108">
                  <c:v>0.53193404901194596</c:v>
                </c:pt>
                <c:pt idx="8109">
                  <c:v>0.53807569358694862</c:v>
                </c:pt>
                <c:pt idx="8110">
                  <c:v>0.52266849586663289</c:v>
                </c:pt>
                <c:pt idx="8111">
                  <c:v>0.53104453312975131</c:v>
                </c:pt>
                <c:pt idx="8112">
                  <c:v>0.53006669917587457</c:v>
                </c:pt>
                <c:pt idx="8113">
                  <c:v>0.51915884873064844</c:v>
                </c:pt>
                <c:pt idx="8114">
                  <c:v>0.52265102842311983</c:v>
                </c:pt>
                <c:pt idx="8115">
                  <c:v>0.50456967193807245</c:v>
                </c:pt>
                <c:pt idx="8116">
                  <c:v>0.51443870050816842</c:v>
                </c:pt>
                <c:pt idx="8117">
                  <c:v>0.48556854494937574</c:v>
                </c:pt>
                <c:pt idx="8118">
                  <c:v>0.54251533704016119</c:v>
                </c:pt>
                <c:pt idx="8119">
                  <c:v>0.50022521926021657</c:v>
                </c:pt>
                <c:pt idx="8120">
                  <c:v>0.53676064542272006</c:v>
                </c:pt>
                <c:pt idx="8121">
                  <c:v>0.18675523711193112</c:v>
                </c:pt>
                <c:pt idx="8122">
                  <c:v>0.13427466938665208</c:v>
                </c:pt>
                <c:pt idx="8123">
                  <c:v>0.53133353179248199</c:v>
                </c:pt>
                <c:pt idx="8124">
                  <c:v>0.52348607213075815</c:v>
                </c:pt>
                <c:pt idx="8125">
                  <c:v>0.51345692895343797</c:v>
                </c:pt>
                <c:pt idx="8126">
                  <c:v>0.51588523055186553</c:v>
                </c:pt>
                <c:pt idx="8127">
                  <c:v>0.52999262232893507</c:v>
                </c:pt>
                <c:pt idx="8128">
                  <c:v>0.48419730526787069</c:v>
                </c:pt>
                <c:pt idx="8129">
                  <c:v>0.53132957070481912</c:v>
                </c:pt>
                <c:pt idx="8130">
                  <c:v>0.5313357039865072</c:v>
                </c:pt>
                <c:pt idx="8131">
                  <c:v>0.53937146919706602</c:v>
                </c:pt>
                <c:pt idx="8132">
                  <c:v>0.53697410580851923</c:v>
                </c:pt>
                <c:pt idx="8133">
                  <c:v>0.5618557323888963</c:v>
                </c:pt>
                <c:pt idx="8134">
                  <c:v>0.54867533179257511</c:v>
                </c:pt>
                <c:pt idx="8135">
                  <c:v>0.52025748358073254</c:v>
                </c:pt>
                <c:pt idx="8136">
                  <c:v>0.52327537897393106</c:v>
                </c:pt>
                <c:pt idx="8137">
                  <c:v>0.44212905620839027</c:v>
                </c:pt>
                <c:pt idx="8138">
                  <c:v>0.80528093665573819</c:v>
                </c:pt>
                <c:pt idx="8139">
                  <c:v>0.84649997295287904</c:v>
                </c:pt>
                <c:pt idx="8140">
                  <c:v>0.93479907085381297</c:v>
                </c:pt>
                <c:pt idx="8141">
                  <c:v>0.81352147747442671</c:v>
                </c:pt>
                <c:pt idx="8142">
                  <c:v>0.91396990554318125</c:v>
                </c:pt>
                <c:pt idx="8143">
                  <c:v>0.87522637971455752</c:v>
                </c:pt>
                <c:pt idx="8144">
                  <c:v>0.94647761449413181</c:v>
                </c:pt>
                <c:pt idx="8145">
                  <c:v>0.86746407005999226</c:v>
                </c:pt>
                <c:pt idx="8146">
                  <c:v>0.88056517337498919</c:v>
                </c:pt>
                <c:pt idx="8147">
                  <c:v>0.88158075836834782</c:v>
                </c:pt>
                <c:pt idx="8148">
                  <c:v>0.8847957603062151</c:v>
                </c:pt>
                <c:pt idx="8149">
                  <c:v>0.86222550602033854</c:v>
                </c:pt>
                <c:pt idx="8150">
                  <c:v>0.92892058077224959</c:v>
                </c:pt>
                <c:pt idx="8151">
                  <c:v>0.90363137748297984</c:v>
                </c:pt>
                <c:pt idx="8152">
                  <c:v>0.93506690382701263</c:v>
                </c:pt>
                <c:pt idx="8153">
                  <c:v>0.94217072167538751</c:v>
                </c:pt>
                <c:pt idx="8154">
                  <c:v>0.98335371902754465</c:v>
                </c:pt>
                <c:pt idx="8155">
                  <c:v>0.95601889982152122</c:v>
                </c:pt>
                <c:pt idx="8156">
                  <c:v>0.82103036095288062</c:v>
                </c:pt>
                <c:pt idx="8157">
                  <c:v>0.85294057724131456</c:v>
                </c:pt>
                <c:pt idx="8158">
                  <c:v>0.89793423225943991</c:v>
                </c:pt>
                <c:pt idx="8159">
                  <c:v>0.96807115429290325</c:v>
                </c:pt>
                <c:pt idx="8160">
                  <c:v>0.89158690533313267</c:v>
                </c:pt>
                <c:pt idx="8161">
                  <c:v>0.85456253386173087</c:v>
                </c:pt>
                <c:pt idx="8162">
                  <c:v>0.90943604684100698</c:v>
                </c:pt>
                <c:pt idx="8163">
                  <c:v>0.86003401387111322</c:v>
                </c:pt>
                <c:pt idx="8164">
                  <c:v>0.88122237951649485</c:v>
                </c:pt>
                <c:pt idx="8165">
                  <c:v>0.94561947870959939</c:v>
                </c:pt>
                <c:pt idx="8166">
                  <c:v>0.920395979708443</c:v>
                </c:pt>
                <c:pt idx="8167">
                  <c:v>0.85793466236882843</c:v>
                </c:pt>
                <c:pt idx="8168">
                  <c:v>0.90241163237051525</c:v>
                </c:pt>
                <c:pt idx="8169">
                  <c:v>0.87326455269935999</c:v>
                </c:pt>
                <c:pt idx="8170">
                  <c:v>0.90829045426792121</c:v>
                </c:pt>
                <c:pt idx="8171">
                  <c:v>0.91250662019393247</c:v>
                </c:pt>
                <c:pt idx="8172">
                  <c:v>0.91412727868891119</c:v>
                </c:pt>
                <c:pt idx="8173">
                  <c:v>0.86715057889166791</c:v>
                </c:pt>
                <c:pt idx="8174">
                  <c:v>0.91218362216220172</c:v>
                </c:pt>
                <c:pt idx="8175">
                  <c:v>0.85056347245344022</c:v>
                </c:pt>
                <c:pt idx="8176">
                  <c:v>0.8792662363888194</c:v>
                </c:pt>
                <c:pt idx="8177">
                  <c:v>0.87712694326781482</c:v>
                </c:pt>
                <c:pt idx="8178">
                  <c:v>0.86562795199429887</c:v>
                </c:pt>
                <c:pt idx="8179">
                  <c:v>0.9046092031255023</c:v>
                </c:pt>
                <c:pt idx="8180">
                  <c:v>0.94442621019741479</c:v>
                </c:pt>
                <c:pt idx="8181">
                  <c:v>0.95867370904973725</c:v>
                </c:pt>
                <c:pt idx="8182">
                  <c:v>0.94807498449259131</c:v>
                </c:pt>
                <c:pt idx="8183">
                  <c:v>0.89318581534035069</c:v>
                </c:pt>
                <c:pt idx="8184">
                  <c:v>0.90928022887111304</c:v>
                </c:pt>
                <c:pt idx="8185">
                  <c:v>0.87638961859439857</c:v>
                </c:pt>
                <c:pt idx="8186">
                  <c:v>0.84262346626574081</c:v>
                </c:pt>
                <c:pt idx="8187">
                  <c:v>0.84069550638172486</c:v>
                </c:pt>
                <c:pt idx="8188">
                  <c:v>0.85835634423805673</c:v>
                </c:pt>
                <c:pt idx="8189">
                  <c:v>0.86096527361945085</c:v>
                </c:pt>
                <c:pt idx="8190">
                  <c:v>0.85404459680653899</c:v>
                </c:pt>
                <c:pt idx="8191">
                  <c:v>0.84358337451376053</c:v>
                </c:pt>
                <c:pt idx="8192">
                  <c:v>0.81790223024803821</c:v>
                </c:pt>
                <c:pt idx="8193">
                  <c:v>0.84664496850685944</c:v>
                </c:pt>
                <c:pt idx="8194">
                  <c:v>0.84045119631629472</c:v>
                </c:pt>
                <c:pt idx="8195">
                  <c:v>0.83776035451954811</c:v>
                </c:pt>
                <c:pt idx="8196">
                  <c:v>0.81733580045654752</c:v>
                </c:pt>
                <c:pt idx="8197">
                  <c:v>0.82910781356171837</c:v>
                </c:pt>
                <c:pt idx="8198">
                  <c:v>0.79781722988985415</c:v>
                </c:pt>
                <c:pt idx="8199">
                  <c:v>0.80942193053130418</c:v>
                </c:pt>
                <c:pt idx="8200">
                  <c:v>0.81375420482981076</c:v>
                </c:pt>
                <c:pt idx="8201">
                  <c:v>0.79536898648828391</c:v>
                </c:pt>
                <c:pt idx="8202">
                  <c:v>0.80025484475778774</c:v>
                </c:pt>
                <c:pt idx="8203">
                  <c:v>0.76352577369144381</c:v>
                </c:pt>
                <c:pt idx="8204">
                  <c:v>0.75308942912328281</c:v>
                </c:pt>
                <c:pt idx="8205">
                  <c:v>0.7573946621299168</c:v>
                </c:pt>
                <c:pt idx="8206">
                  <c:v>0.80631770492275434</c:v>
                </c:pt>
                <c:pt idx="8207">
                  <c:v>0.80714066933301021</c:v>
                </c:pt>
                <c:pt idx="8208">
                  <c:v>0.80277092117681936</c:v>
                </c:pt>
                <c:pt idx="8209">
                  <c:v>0.77097735007979429</c:v>
                </c:pt>
                <c:pt idx="8210">
                  <c:v>0.78205891576714293</c:v>
                </c:pt>
                <c:pt idx="8211">
                  <c:v>0.80791023978304022</c:v>
                </c:pt>
                <c:pt idx="8212">
                  <c:v>0.79545858202786202</c:v>
                </c:pt>
                <c:pt idx="8213">
                  <c:v>0.7895611825741079</c:v>
                </c:pt>
                <c:pt idx="8214">
                  <c:v>0.76314268819998454</c:v>
                </c:pt>
                <c:pt idx="8215">
                  <c:v>0.7470172675849851</c:v>
                </c:pt>
                <c:pt idx="8216">
                  <c:v>0.75469884114995289</c:v>
                </c:pt>
                <c:pt idx="8217">
                  <c:v>0.71463667567107458</c:v>
                </c:pt>
                <c:pt idx="8218">
                  <c:v>0.75234881421436095</c:v>
                </c:pt>
                <c:pt idx="8219">
                  <c:v>0.76712832277241572</c:v>
                </c:pt>
                <c:pt idx="8220">
                  <c:v>0.74333695326832627</c:v>
                </c:pt>
                <c:pt idx="8221">
                  <c:v>0.7291767002176619</c:v>
                </c:pt>
                <c:pt idx="8222">
                  <c:v>0.78178250823692597</c:v>
                </c:pt>
                <c:pt idx="8223">
                  <c:v>0.76172010882655583</c:v>
                </c:pt>
                <c:pt idx="8224">
                  <c:v>0.75672402306336639</c:v>
                </c:pt>
                <c:pt idx="8225">
                  <c:v>0.73732044646794814</c:v>
                </c:pt>
                <c:pt idx="8226">
                  <c:v>0.74474933935975007</c:v>
                </c:pt>
                <c:pt idx="8227">
                  <c:v>0.76070264869370896</c:v>
                </c:pt>
                <c:pt idx="8228">
                  <c:v>0.77011396756933947</c:v>
                </c:pt>
                <c:pt idx="8229">
                  <c:v>0.76462633932816337</c:v>
                </c:pt>
                <c:pt idx="8230">
                  <c:v>0.73353629986965452</c:v>
                </c:pt>
                <c:pt idx="8231">
                  <c:v>0.7987651073476929</c:v>
                </c:pt>
                <c:pt idx="8232">
                  <c:v>0.77233072997737007</c:v>
                </c:pt>
                <c:pt idx="8233">
                  <c:v>0.7447378483537298</c:v>
                </c:pt>
                <c:pt idx="8234">
                  <c:v>0.79253631349650222</c:v>
                </c:pt>
                <c:pt idx="8235">
                  <c:v>0.74503339103408472</c:v>
                </c:pt>
                <c:pt idx="8236">
                  <c:v>0.73627727406898968</c:v>
                </c:pt>
                <c:pt idx="8237">
                  <c:v>0.76653716842166086</c:v>
                </c:pt>
                <c:pt idx="8238">
                  <c:v>0.72365225046604509</c:v>
                </c:pt>
                <c:pt idx="8239">
                  <c:v>0.76129223664168666</c:v>
                </c:pt>
                <c:pt idx="8240">
                  <c:v>0.76174859861127053</c:v>
                </c:pt>
                <c:pt idx="8241">
                  <c:v>0.74708203844436172</c:v>
                </c:pt>
                <c:pt idx="8242">
                  <c:v>0.77414652612177048</c:v>
                </c:pt>
                <c:pt idx="8243">
                  <c:v>0.75035902740677451</c:v>
                </c:pt>
                <c:pt idx="8244">
                  <c:v>0.73525260342177656</c:v>
                </c:pt>
                <c:pt idx="8245">
                  <c:v>0.77810912177562852</c:v>
                </c:pt>
                <c:pt idx="8246">
                  <c:v>0.81434103892364751</c:v>
                </c:pt>
                <c:pt idx="8247">
                  <c:v>0.80128184347353004</c:v>
                </c:pt>
                <c:pt idx="8248">
                  <c:v>0.81769887641190142</c:v>
                </c:pt>
                <c:pt idx="8249">
                  <c:v>0.80892133778976316</c:v>
                </c:pt>
                <c:pt idx="8250">
                  <c:v>0.82433999832044291</c:v>
                </c:pt>
                <c:pt idx="8251">
                  <c:v>0.76310222542963324</c:v>
                </c:pt>
                <c:pt idx="8252">
                  <c:v>0.83179077538971458</c:v>
                </c:pt>
                <c:pt idx="8253">
                  <c:v>0.811044816296558</c:v>
                </c:pt>
                <c:pt idx="8254">
                  <c:v>0.85500351111577355</c:v>
                </c:pt>
                <c:pt idx="8255">
                  <c:v>0.83136911972697125</c:v>
                </c:pt>
                <c:pt idx="8256">
                  <c:v>0.81342538854173063</c:v>
                </c:pt>
                <c:pt idx="8257">
                  <c:v>0.82723347017066418</c:v>
                </c:pt>
                <c:pt idx="8258">
                  <c:v>0.85437594847499099</c:v>
                </c:pt>
                <c:pt idx="8259">
                  <c:v>0.82501993719765121</c:v>
                </c:pt>
                <c:pt idx="8260">
                  <c:v>0.89915602701427855</c:v>
                </c:pt>
                <c:pt idx="8261">
                  <c:v>0.84953052245662575</c:v>
                </c:pt>
                <c:pt idx="8262">
                  <c:v>0.82798073230766445</c:v>
                </c:pt>
                <c:pt idx="8263">
                  <c:v>0.82863824570693867</c:v>
                </c:pt>
                <c:pt idx="8264">
                  <c:v>0.88369191985319095</c:v>
                </c:pt>
                <c:pt idx="8265">
                  <c:v>0.79854167840694901</c:v>
                </c:pt>
                <c:pt idx="8266">
                  <c:v>0.84096567348514184</c:v>
                </c:pt>
                <c:pt idx="8267">
                  <c:v>0.31350466509050745</c:v>
                </c:pt>
                <c:pt idx="8268">
                  <c:v>0.39743941303040164</c:v>
                </c:pt>
                <c:pt idx="8269">
                  <c:v>0.87113965082838474</c:v>
                </c:pt>
                <c:pt idx="8270">
                  <c:v>0.83575783437757301</c:v>
                </c:pt>
                <c:pt idx="8271">
                  <c:v>0.87200578841687848</c:v>
                </c:pt>
                <c:pt idx="8272">
                  <c:v>0.8782549326317618</c:v>
                </c:pt>
                <c:pt idx="8273">
                  <c:v>0.85565366315475322</c:v>
                </c:pt>
                <c:pt idx="8274">
                  <c:v>0.79627278932803924</c:v>
                </c:pt>
                <c:pt idx="8275">
                  <c:v>0.86561309819650034</c:v>
                </c:pt>
                <c:pt idx="8276">
                  <c:v>0.87454547863299537</c:v>
                </c:pt>
                <c:pt idx="8277">
                  <c:v>0.8758650062929193</c:v>
                </c:pt>
                <c:pt idx="8278">
                  <c:v>0.86033357374952124</c:v>
                </c:pt>
                <c:pt idx="8279">
                  <c:v>0.88767906477009606</c:v>
                </c:pt>
                <c:pt idx="8280">
                  <c:v>0.88570258380277989</c:v>
                </c:pt>
                <c:pt idx="8281">
                  <c:v>0.55644386473895313</c:v>
                </c:pt>
                <c:pt idx="8282">
                  <c:v>0.57945489419449214</c:v>
                </c:pt>
                <c:pt idx="8283">
                  <c:v>0.56926865946650584</c:v>
                </c:pt>
                <c:pt idx="8284">
                  <c:v>0.58023400064946251</c:v>
                </c:pt>
                <c:pt idx="8285">
                  <c:v>0.53597313952102887</c:v>
                </c:pt>
                <c:pt idx="8286">
                  <c:v>0.57124856185643613</c:v>
                </c:pt>
                <c:pt idx="8287">
                  <c:v>0.46243872981606771</c:v>
                </c:pt>
                <c:pt idx="8288">
                  <c:v>0.56871599972615772</c:v>
                </c:pt>
                <c:pt idx="8289">
                  <c:v>0.57093187951550783</c:v>
                </c:pt>
                <c:pt idx="8290">
                  <c:v>0.56617388915584466</c:v>
                </c:pt>
                <c:pt idx="8291">
                  <c:v>0.54349899410056879</c:v>
                </c:pt>
                <c:pt idx="8292">
                  <c:v>0.5564076838034725</c:v>
                </c:pt>
                <c:pt idx="8293">
                  <c:v>0.55171305682600258</c:v>
                </c:pt>
                <c:pt idx="8294">
                  <c:v>0.57081090561776304</c:v>
                </c:pt>
                <c:pt idx="8295">
                  <c:v>0.60805682774146708</c:v>
                </c:pt>
                <c:pt idx="8296">
                  <c:v>0.58475072659702776</c:v>
                </c:pt>
                <c:pt idx="8297">
                  <c:v>0.58184183897626274</c:v>
                </c:pt>
                <c:pt idx="8298">
                  <c:v>0.5629322936949358</c:v>
                </c:pt>
                <c:pt idx="8299">
                  <c:v>0.5383196927531988</c:v>
                </c:pt>
                <c:pt idx="8300">
                  <c:v>0.54404943133076933</c:v>
                </c:pt>
                <c:pt idx="8301">
                  <c:v>0.54578927441224889</c:v>
                </c:pt>
                <c:pt idx="8302">
                  <c:v>0.57194012225610813</c:v>
                </c:pt>
                <c:pt idx="8303">
                  <c:v>0.54397099971292862</c:v>
                </c:pt>
                <c:pt idx="8304">
                  <c:v>0.56587826542589426</c:v>
                </c:pt>
                <c:pt idx="8305">
                  <c:v>0.57779753661577571</c:v>
                </c:pt>
                <c:pt idx="8306">
                  <c:v>0.58223215924219818</c:v>
                </c:pt>
                <c:pt idx="8307">
                  <c:v>0.5593422738924696</c:v>
                </c:pt>
                <c:pt idx="8308">
                  <c:v>0.57116638189071545</c:v>
                </c:pt>
                <c:pt idx="8309">
                  <c:v>0.53620278149589518</c:v>
                </c:pt>
                <c:pt idx="8310">
                  <c:v>0.57997932788424755</c:v>
                </c:pt>
                <c:pt idx="8311">
                  <c:v>0.54668995316120539</c:v>
                </c:pt>
                <c:pt idx="8312">
                  <c:v>0.54576146502244627</c:v>
                </c:pt>
                <c:pt idx="8313">
                  <c:v>0.55906761480487932</c:v>
                </c:pt>
                <c:pt idx="8314">
                  <c:v>0.58347332456638434</c:v>
                </c:pt>
                <c:pt idx="8315">
                  <c:v>0.53562167989991116</c:v>
                </c:pt>
                <c:pt idx="8316">
                  <c:v>0.55615976332119954</c:v>
                </c:pt>
                <c:pt idx="8317">
                  <c:v>0.54352235187647546</c:v>
                </c:pt>
                <c:pt idx="8318">
                  <c:v>0.54995606906359329</c:v>
                </c:pt>
                <c:pt idx="8319">
                  <c:v>0.56142972452938766</c:v>
                </c:pt>
                <c:pt idx="8320">
                  <c:v>0.55280602495908771</c:v>
                </c:pt>
                <c:pt idx="8321">
                  <c:v>0.51768483093693618</c:v>
                </c:pt>
                <c:pt idx="8322">
                  <c:v>0.55406095387969445</c:v>
                </c:pt>
                <c:pt idx="8323">
                  <c:v>0.55831020462854641</c:v>
                </c:pt>
                <c:pt idx="8324">
                  <c:v>0.56490716683882369</c:v>
                </c:pt>
                <c:pt idx="8325">
                  <c:v>0.55303289465344951</c:v>
                </c:pt>
                <c:pt idx="8326">
                  <c:v>0.55032388733272752</c:v>
                </c:pt>
                <c:pt idx="8327">
                  <c:v>0.52634974686276736</c:v>
                </c:pt>
                <c:pt idx="8328">
                  <c:v>0.56213161013331203</c:v>
                </c:pt>
                <c:pt idx="8329">
                  <c:v>0.54325415884493677</c:v>
                </c:pt>
                <c:pt idx="8330">
                  <c:v>0.57868080399122179</c:v>
                </c:pt>
                <c:pt idx="8331">
                  <c:v>0.54129511244723749</c:v>
                </c:pt>
                <c:pt idx="8332">
                  <c:v>0.54588233022023103</c:v>
                </c:pt>
                <c:pt idx="8333">
                  <c:v>0.55256407027109777</c:v>
                </c:pt>
                <c:pt idx="8334">
                  <c:v>0.55468899850898423</c:v>
                </c:pt>
                <c:pt idx="8335">
                  <c:v>0.5347077433537778</c:v>
                </c:pt>
                <c:pt idx="8336">
                  <c:v>0.52676560728896249</c:v>
                </c:pt>
                <c:pt idx="8337">
                  <c:v>0.55789272273959589</c:v>
                </c:pt>
                <c:pt idx="8338">
                  <c:v>0.49780371913472166</c:v>
                </c:pt>
                <c:pt idx="8339">
                  <c:v>0.50183044308130997</c:v>
                </c:pt>
                <c:pt idx="8340">
                  <c:v>0.43698829388886207</c:v>
                </c:pt>
                <c:pt idx="8341">
                  <c:v>0.4864250944196486</c:v>
                </c:pt>
                <c:pt idx="8342">
                  <c:v>0.49363326706191696</c:v>
                </c:pt>
                <c:pt idx="8343">
                  <c:v>0.50398926951213985</c:v>
                </c:pt>
                <c:pt idx="8344">
                  <c:v>0.49640915108705796</c:v>
                </c:pt>
                <c:pt idx="8345">
                  <c:v>0.48716864771824026</c:v>
                </c:pt>
                <c:pt idx="8346">
                  <c:v>0.49227135794913385</c:v>
                </c:pt>
                <c:pt idx="8347">
                  <c:v>0.48085930767513058</c:v>
                </c:pt>
                <c:pt idx="8348">
                  <c:v>0.50195337144318641</c:v>
                </c:pt>
                <c:pt idx="8349">
                  <c:v>0.50088317970989604</c:v>
                </c:pt>
                <c:pt idx="8350">
                  <c:v>0.52389129417338587</c:v>
                </c:pt>
                <c:pt idx="8351">
                  <c:v>0.49529826013921624</c:v>
                </c:pt>
                <c:pt idx="8352">
                  <c:v>0.57909618186351819</c:v>
                </c:pt>
                <c:pt idx="8353">
                  <c:v>0.5253512978031134</c:v>
                </c:pt>
                <c:pt idx="8354">
                  <c:v>0.48237171218410374</c:v>
                </c:pt>
                <c:pt idx="8355">
                  <c:v>0.49532449838138692</c:v>
                </c:pt>
                <c:pt idx="8356">
                  <c:v>0.51384301317627923</c:v>
                </c:pt>
                <c:pt idx="8357">
                  <c:v>0.46597692270302049</c:v>
                </c:pt>
                <c:pt idx="8358">
                  <c:v>0.55894820616876195</c:v>
                </c:pt>
                <c:pt idx="8359">
                  <c:v>0.51251603446062366</c:v>
                </c:pt>
                <c:pt idx="8360">
                  <c:v>0.4715328536019866</c:v>
                </c:pt>
                <c:pt idx="8361">
                  <c:v>0.49123867300723917</c:v>
                </c:pt>
                <c:pt idx="8362">
                  <c:v>0.52207290300358677</c:v>
                </c:pt>
                <c:pt idx="8363">
                  <c:v>0.48773522617404846</c:v>
                </c:pt>
                <c:pt idx="8364">
                  <c:v>0.50022247395610597</c:v>
                </c:pt>
                <c:pt idx="8365">
                  <c:v>0.53681225391474519</c:v>
                </c:pt>
                <c:pt idx="8366">
                  <c:v>0.50958125554858302</c:v>
                </c:pt>
                <c:pt idx="8367">
                  <c:v>0.50802470120232757</c:v>
                </c:pt>
                <c:pt idx="8368">
                  <c:v>0.54208674737538343</c:v>
                </c:pt>
                <c:pt idx="8369">
                  <c:v>0.5046092165989815</c:v>
                </c:pt>
                <c:pt idx="8370">
                  <c:v>0.49980526060581104</c:v>
                </c:pt>
                <c:pt idx="8371">
                  <c:v>0.47037888071467354</c:v>
                </c:pt>
                <c:pt idx="8372">
                  <c:v>0.4843834151933934</c:v>
                </c:pt>
                <c:pt idx="8373">
                  <c:v>0.48429385885700538</c:v>
                </c:pt>
                <c:pt idx="8374">
                  <c:v>0.50246576774223206</c:v>
                </c:pt>
                <c:pt idx="8375">
                  <c:v>0.500474557761172</c:v>
                </c:pt>
                <c:pt idx="8376">
                  <c:v>0.49402066590487725</c:v>
                </c:pt>
                <c:pt idx="8377">
                  <c:v>0.47764151729019205</c:v>
                </c:pt>
                <c:pt idx="8378">
                  <c:v>0.49861211139612804</c:v>
                </c:pt>
                <c:pt idx="8379">
                  <c:v>0.47611324644419067</c:v>
                </c:pt>
                <c:pt idx="8380">
                  <c:v>0.49055722422905801</c:v>
                </c:pt>
                <c:pt idx="8381">
                  <c:v>0.478187151929863</c:v>
                </c:pt>
                <c:pt idx="8382">
                  <c:v>0.48433116437639462</c:v>
                </c:pt>
                <c:pt idx="8383">
                  <c:v>0.5068300228138245</c:v>
                </c:pt>
                <c:pt idx="8384">
                  <c:v>0.50107131817483275</c:v>
                </c:pt>
                <c:pt idx="8385">
                  <c:v>0.48585566801324898</c:v>
                </c:pt>
                <c:pt idx="8386">
                  <c:v>0.48052620391910972</c:v>
                </c:pt>
                <c:pt idx="8387">
                  <c:v>0.46537258888906519</c:v>
                </c:pt>
                <c:pt idx="8388">
                  <c:v>0.49187791715221513</c:v>
                </c:pt>
                <c:pt idx="8389">
                  <c:v>0.48367528795445475</c:v>
                </c:pt>
                <c:pt idx="8390">
                  <c:v>0.50170378637743707</c:v>
                </c:pt>
                <c:pt idx="8391">
                  <c:v>0.49295361406257532</c:v>
                </c:pt>
                <c:pt idx="8392">
                  <c:v>0.47770831343092685</c:v>
                </c:pt>
                <c:pt idx="8393">
                  <c:v>0.46469829841228322</c:v>
                </c:pt>
                <c:pt idx="8394">
                  <c:v>0.49828270290124682</c:v>
                </c:pt>
                <c:pt idx="8395">
                  <c:v>0.5244642795663631</c:v>
                </c:pt>
                <c:pt idx="8396">
                  <c:v>0.51590482581042996</c:v>
                </c:pt>
                <c:pt idx="8397">
                  <c:v>0.48797757738126429</c:v>
                </c:pt>
                <c:pt idx="8398">
                  <c:v>0.4930425189581874</c:v>
                </c:pt>
                <c:pt idx="8399">
                  <c:v>0.4890826833143429</c:v>
                </c:pt>
                <c:pt idx="8400">
                  <c:v>0.4979087489817503</c:v>
                </c:pt>
                <c:pt idx="8401">
                  <c:v>0.49055329427852928</c:v>
                </c:pt>
                <c:pt idx="8402">
                  <c:v>0.49864972249664563</c:v>
                </c:pt>
                <c:pt idx="8403">
                  <c:v>0.49513218666736725</c:v>
                </c:pt>
                <c:pt idx="8404">
                  <c:v>0.49826381291592259</c:v>
                </c:pt>
                <c:pt idx="8405">
                  <c:v>0.51305610841699656</c:v>
                </c:pt>
                <c:pt idx="8406">
                  <c:v>0.50569928473887371</c:v>
                </c:pt>
                <c:pt idx="8407">
                  <c:v>0.50206642387846101</c:v>
                </c:pt>
                <c:pt idx="8408">
                  <c:v>0.52538873575976885</c:v>
                </c:pt>
                <c:pt idx="8409">
                  <c:v>0.50771746885643321</c:v>
                </c:pt>
                <c:pt idx="8410">
                  <c:v>0.52614186119563278</c:v>
                </c:pt>
                <c:pt idx="8411">
                  <c:v>0.52040321686296931</c:v>
                </c:pt>
                <c:pt idx="8412">
                  <c:v>0.53054981105663912</c:v>
                </c:pt>
                <c:pt idx="8413">
                  <c:v>0.51635593420929915</c:v>
                </c:pt>
                <c:pt idx="8414">
                  <c:v>0.5223453648306644</c:v>
                </c:pt>
                <c:pt idx="8415">
                  <c:v>0.51229581163644389</c:v>
                </c:pt>
                <c:pt idx="8416">
                  <c:v>0.50694289432171935</c:v>
                </c:pt>
                <c:pt idx="8417">
                  <c:v>0.5116721757077074</c:v>
                </c:pt>
                <c:pt idx="8418">
                  <c:v>0.49807707499106912</c:v>
                </c:pt>
                <c:pt idx="8419">
                  <c:v>0.5158860249714351</c:v>
                </c:pt>
                <c:pt idx="8420">
                  <c:v>0.53902463310252946</c:v>
                </c:pt>
                <c:pt idx="8421">
                  <c:v>0.53039054086109649</c:v>
                </c:pt>
                <c:pt idx="8422">
                  <c:v>0.5152181999411678</c:v>
                </c:pt>
                <c:pt idx="8423">
                  <c:v>0.52582790490077913</c:v>
                </c:pt>
                <c:pt idx="8424">
                  <c:v>0.50761424504557684</c:v>
                </c:pt>
                <c:pt idx="8425">
                  <c:v>0.87793987631045878</c:v>
                </c:pt>
                <c:pt idx="8426">
                  <c:v>0.89294998802943715</c:v>
                </c:pt>
                <c:pt idx="8427">
                  <c:v>0.90015145746371572</c:v>
                </c:pt>
                <c:pt idx="8428">
                  <c:v>0.94865606351277176</c:v>
                </c:pt>
                <c:pt idx="8429">
                  <c:v>0.95176334605083035</c:v>
                </c:pt>
                <c:pt idx="8430">
                  <c:v>0.92261051300107244</c:v>
                </c:pt>
                <c:pt idx="8431">
                  <c:v>0.88985757977044411</c:v>
                </c:pt>
                <c:pt idx="8432">
                  <c:v>0.74827487721784935</c:v>
                </c:pt>
                <c:pt idx="8433">
                  <c:v>0.92639688439400525</c:v>
                </c:pt>
                <c:pt idx="8434">
                  <c:v>0.93872176520232264</c:v>
                </c:pt>
                <c:pt idx="8435">
                  <c:v>0.92618763730709908</c:v>
                </c:pt>
                <c:pt idx="8436">
                  <c:v>0.90418898892460475</c:v>
                </c:pt>
                <c:pt idx="8437">
                  <c:v>0.92281293072437731</c:v>
                </c:pt>
                <c:pt idx="8438">
                  <c:v>0.93573619253353058</c:v>
                </c:pt>
                <c:pt idx="8439">
                  <c:v>0.93551517575658416</c:v>
                </c:pt>
                <c:pt idx="8440">
                  <c:v>0.97445628556979391</c:v>
                </c:pt>
                <c:pt idx="8441">
                  <c:v>0.98214879902612739</c:v>
                </c:pt>
                <c:pt idx="8442">
                  <c:v>0.95159903688520864</c:v>
                </c:pt>
                <c:pt idx="8443">
                  <c:v>0.93665571949044124</c:v>
                </c:pt>
                <c:pt idx="8444">
                  <c:v>0.92192748104586431</c:v>
                </c:pt>
                <c:pt idx="8445">
                  <c:v>0.89221090008861947</c:v>
                </c:pt>
                <c:pt idx="8446">
                  <c:v>0.93076738375747758</c:v>
                </c:pt>
                <c:pt idx="8447">
                  <c:v>0.91994341177164241</c:v>
                </c:pt>
                <c:pt idx="8448">
                  <c:v>0.94355159368502739</c:v>
                </c:pt>
                <c:pt idx="8449">
                  <c:v>0.95746169979107665</c:v>
                </c:pt>
                <c:pt idx="8450">
                  <c:v>0.9555316070882679</c:v>
                </c:pt>
                <c:pt idx="8451">
                  <c:v>0.92763014332614369</c:v>
                </c:pt>
                <c:pt idx="8452">
                  <c:v>0.91163038592709777</c:v>
                </c:pt>
                <c:pt idx="8453">
                  <c:v>0.95418657835962684</c:v>
                </c:pt>
                <c:pt idx="8454">
                  <c:v>0.94577012305612329</c:v>
                </c:pt>
                <c:pt idx="8455">
                  <c:v>0.93626651634108715</c:v>
                </c:pt>
                <c:pt idx="8456">
                  <c:v>0.92591962705572928</c:v>
                </c:pt>
                <c:pt idx="8457">
                  <c:v>0.88624993520598383</c:v>
                </c:pt>
                <c:pt idx="8458">
                  <c:v>0.89340658250676053</c:v>
                </c:pt>
                <c:pt idx="8459">
                  <c:v>0.94783146324352363</c:v>
                </c:pt>
                <c:pt idx="8460">
                  <c:v>0.89169135685347123</c:v>
                </c:pt>
                <c:pt idx="8461">
                  <c:v>0.90330501809142416</c:v>
                </c:pt>
                <c:pt idx="8462">
                  <c:v>0.90989354596909378</c:v>
                </c:pt>
                <c:pt idx="8463">
                  <c:v>0.92540182954348582</c:v>
                </c:pt>
                <c:pt idx="8464">
                  <c:v>0.91130769415990098</c:v>
                </c:pt>
                <c:pt idx="8465">
                  <c:v>0.96018570499658917</c:v>
                </c:pt>
                <c:pt idx="8466">
                  <c:v>0.85704178376199591</c:v>
                </c:pt>
                <c:pt idx="8467">
                  <c:v>0.90209844739272116</c:v>
                </c:pt>
                <c:pt idx="8468">
                  <c:v>0.92905284004177968</c:v>
                </c:pt>
                <c:pt idx="8469">
                  <c:v>0.94262000171863058</c:v>
                </c:pt>
                <c:pt idx="8470">
                  <c:v>0.91138162559168989</c:v>
                </c:pt>
                <c:pt idx="8471">
                  <c:v>0.88409919901472656</c:v>
                </c:pt>
                <c:pt idx="8472">
                  <c:v>0.86976381519687418</c:v>
                </c:pt>
                <c:pt idx="8473">
                  <c:v>0.88827937578084137</c:v>
                </c:pt>
                <c:pt idx="8474">
                  <c:v>0.9032164568435197</c:v>
                </c:pt>
                <c:pt idx="8475">
                  <c:v>0.89553442047424914</c:v>
                </c:pt>
                <c:pt idx="8476">
                  <c:v>0.86612641350760633</c:v>
                </c:pt>
                <c:pt idx="8477">
                  <c:v>0.89724567926869858</c:v>
                </c:pt>
                <c:pt idx="8478">
                  <c:v>0.8759303718891176</c:v>
                </c:pt>
                <c:pt idx="8479">
                  <c:v>0.86385968503556543</c:v>
                </c:pt>
                <c:pt idx="8480">
                  <c:v>0.86265245858649431</c:v>
                </c:pt>
                <c:pt idx="8481">
                  <c:v>0.84635022737766197</c:v>
                </c:pt>
                <c:pt idx="8482">
                  <c:v>0.87023858438080426</c:v>
                </c:pt>
                <c:pt idx="8483">
                  <c:v>0.81785341551409685</c:v>
                </c:pt>
                <c:pt idx="8484">
                  <c:v>0.86950670538986741</c:v>
                </c:pt>
                <c:pt idx="8485">
                  <c:v>0.5767770388356237</c:v>
                </c:pt>
                <c:pt idx="8486">
                  <c:v>0.48563924337773001</c:v>
                </c:pt>
                <c:pt idx="8487">
                  <c:v>0.51038372833044465</c:v>
                </c:pt>
                <c:pt idx="8488">
                  <c:v>0.50156888235782915</c:v>
                </c:pt>
                <c:pt idx="8489">
                  <c:v>0.50576122460414019</c:v>
                </c:pt>
                <c:pt idx="8490">
                  <c:v>0.49727570095873486</c:v>
                </c:pt>
                <c:pt idx="8491">
                  <c:v>0.50000773741671412</c:v>
                </c:pt>
                <c:pt idx="8492">
                  <c:v>0.48028554983288935</c:v>
                </c:pt>
                <c:pt idx="8493">
                  <c:v>0.49822713366358545</c:v>
                </c:pt>
                <c:pt idx="8494">
                  <c:v>0.49569014166296743</c:v>
                </c:pt>
                <c:pt idx="8495">
                  <c:v>0.51537968511471077</c:v>
                </c:pt>
                <c:pt idx="8496">
                  <c:v>0.48232193655810063</c:v>
                </c:pt>
                <c:pt idx="8497">
                  <c:v>0.57829060320106196</c:v>
                </c:pt>
                <c:pt idx="8498">
                  <c:v>0.56654354845296429</c:v>
                </c:pt>
                <c:pt idx="8499">
                  <c:v>0.51704340609714849</c:v>
                </c:pt>
                <c:pt idx="8500">
                  <c:v>0.48675285647938071</c:v>
                </c:pt>
                <c:pt idx="8501">
                  <c:v>0.51933910461166366</c:v>
                </c:pt>
                <c:pt idx="8502">
                  <c:v>0.47090111058996231</c:v>
                </c:pt>
                <c:pt idx="8503">
                  <c:v>0.54364756789256397</c:v>
                </c:pt>
                <c:pt idx="8504">
                  <c:v>0.53729825892062189</c:v>
                </c:pt>
                <c:pt idx="8505">
                  <c:v>0.45923261383937192</c:v>
                </c:pt>
                <c:pt idx="8506">
                  <c:v>0.4715673125559911</c:v>
                </c:pt>
                <c:pt idx="8507">
                  <c:v>0.50345387215616022</c:v>
                </c:pt>
                <c:pt idx="8508">
                  <c:v>0.47717249844520671</c:v>
                </c:pt>
                <c:pt idx="8509">
                  <c:v>0.47818253078643302</c:v>
                </c:pt>
                <c:pt idx="8510">
                  <c:v>0.50408029764709184</c:v>
                </c:pt>
                <c:pt idx="8511">
                  <c:v>0.49808328248989858</c:v>
                </c:pt>
                <c:pt idx="8512">
                  <c:v>0.47821126772426009</c:v>
                </c:pt>
                <c:pt idx="8513">
                  <c:v>0.53012525964290369</c:v>
                </c:pt>
                <c:pt idx="8514">
                  <c:v>0.5113874477236322</c:v>
                </c:pt>
                <c:pt idx="8515">
                  <c:v>0.47384899882937975</c:v>
                </c:pt>
                <c:pt idx="8516">
                  <c:v>0.45288459364067502</c:v>
                </c:pt>
                <c:pt idx="8517">
                  <c:v>0.47328663747031746</c:v>
                </c:pt>
                <c:pt idx="8518">
                  <c:v>0.46553021885086615</c:v>
                </c:pt>
                <c:pt idx="8519">
                  <c:v>0.48747492935977177</c:v>
                </c:pt>
                <c:pt idx="8520">
                  <c:v>0.48059543012537514</c:v>
                </c:pt>
                <c:pt idx="8521">
                  <c:v>0.49100360353605205</c:v>
                </c:pt>
                <c:pt idx="8522">
                  <c:v>0.45227707983870585</c:v>
                </c:pt>
                <c:pt idx="8523">
                  <c:v>0.48827157850813319</c:v>
                </c:pt>
                <c:pt idx="8524">
                  <c:v>0.45880654910335095</c:v>
                </c:pt>
                <c:pt idx="8525">
                  <c:v>0.45804257109878477</c:v>
                </c:pt>
                <c:pt idx="8526">
                  <c:v>0.46054665862226551</c:v>
                </c:pt>
                <c:pt idx="8527">
                  <c:v>0.48477872307065906</c:v>
                </c:pt>
                <c:pt idx="8528">
                  <c:v>0.48673402464995985</c:v>
                </c:pt>
                <c:pt idx="8529">
                  <c:v>0.49409570971711064</c:v>
                </c:pt>
                <c:pt idx="8530">
                  <c:v>0.48508385154159295</c:v>
                </c:pt>
                <c:pt idx="8531">
                  <c:v>0.47592936427531396</c:v>
                </c:pt>
                <c:pt idx="8532">
                  <c:v>0.45032133072231451</c:v>
                </c:pt>
                <c:pt idx="8533">
                  <c:v>0.48830586332735687</c:v>
                </c:pt>
                <c:pt idx="8534">
                  <c:v>0.48746616529752529</c:v>
                </c:pt>
                <c:pt idx="8535">
                  <c:v>0.51374975091391772</c:v>
                </c:pt>
                <c:pt idx="8536">
                  <c:v>0.48170857034704695</c:v>
                </c:pt>
                <c:pt idx="8537">
                  <c:v>0.46973986030255005</c:v>
                </c:pt>
                <c:pt idx="8538">
                  <c:v>0.46401848345030583</c:v>
                </c:pt>
                <c:pt idx="8539">
                  <c:v>0.48752086711547415</c:v>
                </c:pt>
                <c:pt idx="8540">
                  <c:v>0.52328592256805528</c:v>
                </c:pt>
                <c:pt idx="8541">
                  <c:v>0.52057418143404088</c:v>
                </c:pt>
                <c:pt idx="8542">
                  <c:v>0.49192241215788424</c:v>
                </c:pt>
                <c:pt idx="8543">
                  <c:v>0.51185810434999612</c:v>
                </c:pt>
                <c:pt idx="8544">
                  <c:v>0.49761153571560546</c:v>
                </c:pt>
                <c:pt idx="8545">
                  <c:v>0.50875051336330546</c:v>
                </c:pt>
                <c:pt idx="8546">
                  <c:v>0.52004207048938011</c:v>
                </c:pt>
                <c:pt idx="8547">
                  <c:v>0.51862052635200417</c:v>
                </c:pt>
                <c:pt idx="8548">
                  <c:v>0.5167265007287577</c:v>
                </c:pt>
                <c:pt idx="8549">
                  <c:v>0.50019543178324943</c:v>
                </c:pt>
                <c:pt idx="8550">
                  <c:v>0.52536787971840249</c:v>
                </c:pt>
                <c:pt idx="8551">
                  <c:v>0.51722810582969214</c:v>
                </c:pt>
                <c:pt idx="8552">
                  <c:v>0.50624559588883866</c:v>
                </c:pt>
                <c:pt idx="8553">
                  <c:v>0.54123304317949616</c:v>
                </c:pt>
                <c:pt idx="8554">
                  <c:v>0.5060343594059975</c:v>
                </c:pt>
                <c:pt idx="8555">
                  <c:v>0.53765541703736675</c:v>
                </c:pt>
                <c:pt idx="8556">
                  <c:v>0.53808273878363422</c:v>
                </c:pt>
                <c:pt idx="8557">
                  <c:v>0.53181970446897742</c:v>
                </c:pt>
                <c:pt idx="8558">
                  <c:v>0.52224947462948823</c:v>
                </c:pt>
                <c:pt idx="8559">
                  <c:v>0.53439243510182932</c:v>
                </c:pt>
                <c:pt idx="8560">
                  <c:v>0.53708747974053483</c:v>
                </c:pt>
                <c:pt idx="8561">
                  <c:v>0.52048916608667584</c:v>
                </c:pt>
                <c:pt idx="8562">
                  <c:v>0.52414209266539247</c:v>
                </c:pt>
                <c:pt idx="8563">
                  <c:v>0.51675477929878533</c:v>
                </c:pt>
                <c:pt idx="8564">
                  <c:v>0.52661656859709427</c:v>
                </c:pt>
                <c:pt idx="8565">
                  <c:v>0.54448687446010868</c:v>
                </c:pt>
                <c:pt idx="8566">
                  <c:v>0.53573426899854748</c:v>
                </c:pt>
                <c:pt idx="8567">
                  <c:v>0.52825383133281889</c:v>
                </c:pt>
                <c:pt idx="8568">
                  <c:v>0.55721669288549336</c:v>
                </c:pt>
                <c:pt idx="8569">
                  <c:v>0.56266393842649653</c:v>
                </c:pt>
                <c:pt idx="8570">
                  <c:v>0.53383507606611569</c:v>
                </c:pt>
                <c:pt idx="8571">
                  <c:v>0.55517887979916236</c:v>
                </c:pt>
                <c:pt idx="8572">
                  <c:v>0.53653331841403695</c:v>
                </c:pt>
                <c:pt idx="8573">
                  <c:v>0.5553715102266944</c:v>
                </c:pt>
                <c:pt idx="8574">
                  <c:v>0.55067819588773725</c:v>
                </c:pt>
                <c:pt idx="8575">
                  <c:v>0.53227651962071765</c:v>
                </c:pt>
                <c:pt idx="8576">
                  <c:v>0.5302600340414938</c:v>
                </c:pt>
                <c:pt idx="8577">
                  <c:v>0.53220536918477912</c:v>
                </c:pt>
                <c:pt idx="8578">
                  <c:v>0.51913112052400812</c:v>
                </c:pt>
                <c:pt idx="8579">
                  <c:v>0.52761263184534235</c:v>
                </c:pt>
                <c:pt idx="8580">
                  <c:v>0.49747797890899959</c:v>
                </c:pt>
                <c:pt idx="8581">
                  <c:v>0.52829410810689825</c:v>
                </c:pt>
                <c:pt idx="8582">
                  <c:v>0.56186085385701723</c:v>
                </c:pt>
                <c:pt idx="8583">
                  <c:v>0.58485398565290925</c:v>
                </c:pt>
                <c:pt idx="8584">
                  <c:v>0.51375520617687465</c:v>
                </c:pt>
                <c:pt idx="8585">
                  <c:v>0.53512302749884832</c:v>
                </c:pt>
                <c:pt idx="8586">
                  <c:v>0.52722634793765688</c:v>
                </c:pt>
                <c:pt idx="8587">
                  <c:v>0.57133119241123187</c:v>
                </c:pt>
                <c:pt idx="8588">
                  <c:v>0.5517269553652091</c:v>
                </c:pt>
                <c:pt idx="8589">
                  <c:v>0.55826264996977837</c:v>
                </c:pt>
                <c:pt idx="8590">
                  <c:v>0.52904452850785266</c:v>
                </c:pt>
                <c:pt idx="8591">
                  <c:v>0.54094930991082846</c:v>
                </c:pt>
                <c:pt idx="8592">
                  <c:v>0.56540787275036353</c:v>
                </c:pt>
                <c:pt idx="8593">
                  <c:v>0.57536545352911372</c:v>
                </c:pt>
                <c:pt idx="8594">
                  <c:v>0.54588579007829241</c:v>
                </c:pt>
                <c:pt idx="8595">
                  <c:v>0.54103128801131584</c:v>
                </c:pt>
                <c:pt idx="8596">
                  <c:v>0.53083709225059217</c:v>
                </c:pt>
                <c:pt idx="8597">
                  <c:v>0.55477907743676724</c:v>
                </c:pt>
                <c:pt idx="8598">
                  <c:v>0.51108727155049549</c:v>
                </c:pt>
                <c:pt idx="8599">
                  <c:v>0.53516647188662447</c:v>
                </c:pt>
                <c:pt idx="8600">
                  <c:v>0.56098193624176118</c:v>
                </c:pt>
                <c:pt idx="8601">
                  <c:v>0.52313464304230672</c:v>
                </c:pt>
                <c:pt idx="8602">
                  <c:v>0.49749814627149153</c:v>
                </c:pt>
                <c:pt idx="8603">
                  <c:v>0.51652030222760259</c:v>
                </c:pt>
                <c:pt idx="8604">
                  <c:v>0.52630877230134054</c:v>
                </c:pt>
                <c:pt idx="8605">
                  <c:v>0.52684088209078761</c:v>
                </c:pt>
                <c:pt idx="8606">
                  <c:v>0.51086109906501542</c:v>
                </c:pt>
                <c:pt idx="8607">
                  <c:v>0.51870511896903471</c:v>
                </c:pt>
                <c:pt idx="8608">
                  <c:v>0.528482574357795</c:v>
                </c:pt>
                <c:pt idx="8609">
                  <c:v>0.51424403878534686</c:v>
                </c:pt>
                <c:pt idx="8610">
                  <c:v>0.53865792046809835</c:v>
                </c:pt>
                <c:pt idx="8611">
                  <c:v>0.49966797873843105</c:v>
                </c:pt>
                <c:pt idx="8612">
                  <c:v>0.48395967494281728</c:v>
                </c:pt>
                <c:pt idx="8613">
                  <c:v>0.50388447509098633</c:v>
                </c:pt>
                <c:pt idx="8614">
                  <c:v>0.50127060396811129</c:v>
                </c:pt>
                <c:pt idx="8615">
                  <c:v>0.47283642817514326</c:v>
                </c:pt>
                <c:pt idx="8616">
                  <c:v>0.49437725205044286</c:v>
                </c:pt>
                <c:pt idx="8617">
                  <c:v>0.49431283211877192</c:v>
                </c:pt>
                <c:pt idx="8618">
                  <c:v>0.48477132680281609</c:v>
                </c:pt>
                <c:pt idx="8619">
                  <c:v>0.48997815575173881</c:v>
                </c:pt>
                <c:pt idx="8620">
                  <c:v>0.50466927411073426</c:v>
                </c:pt>
                <c:pt idx="8621">
                  <c:v>0.48802473258471096</c:v>
                </c:pt>
                <c:pt idx="8622">
                  <c:v>0.4898609278966507</c:v>
                </c:pt>
                <c:pt idx="8623">
                  <c:v>0.48830064317976613</c:v>
                </c:pt>
                <c:pt idx="8624">
                  <c:v>0.48852392478070367</c:v>
                </c:pt>
                <c:pt idx="8625">
                  <c:v>0.50136850128736066</c:v>
                </c:pt>
                <c:pt idx="8626">
                  <c:v>0.48717968100103171</c:v>
                </c:pt>
                <c:pt idx="8627">
                  <c:v>0.47991705483059499</c:v>
                </c:pt>
                <c:pt idx="8628">
                  <c:v>0.49794062555320218</c:v>
                </c:pt>
                <c:pt idx="8629">
                  <c:v>0.48040783314081753</c:v>
                </c:pt>
                <c:pt idx="8630">
                  <c:v>0.48460743870859446</c:v>
                </c:pt>
                <c:pt idx="8631">
                  <c:v>0.47292618580471302</c:v>
                </c:pt>
                <c:pt idx="8632">
                  <c:v>0.47459443108480587</c:v>
                </c:pt>
                <c:pt idx="8633">
                  <c:v>0.49728178172410792</c:v>
                </c:pt>
                <c:pt idx="8634">
                  <c:v>0.49110398269199806</c:v>
                </c:pt>
                <c:pt idx="8635">
                  <c:v>0.4789935101684073</c:v>
                </c:pt>
                <c:pt idx="8636">
                  <c:v>0.49330187209144533</c:v>
                </c:pt>
                <c:pt idx="8637">
                  <c:v>0.47243594751156803</c:v>
                </c:pt>
                <c:pt idx="8638">
                  <c:v>0.46843890666764659</c:v>
                </c:pt>
                <c:pt idx="8639">
                  <c:v>0.48133425635884203</c:v>
                </c:pt>
                <c:pt idx="8640">
                  <c:v>0.49262505239437182</c:v>
                </c:pt>
                <c:pt idx="8641">
                  <c:v>0.50071113913907339</c:v>
                </c:pt>
                <c:pt idx="8642">
                  <c:v>0.49634253892311558</c:v>
                </c:pt>
                <c:pt idx="8643">
                  <c:v>0.50029178757245474</c:v>
                </c:pt>
                <c:pt idx="8644">
                  <c:v>0.49229414505469232</c:v>
                </c:pt>
                <c:pt idx="8645">
                  <c:v>0.50005552685467125</c:v>
                </c:pt>
                <c:pt idx="8646">
                  <c:v>0.5092640990406937</c:v>
                </c:pt>
                <c:pt idx="8647">
                  <c:v>0.50417239489082188</c:v>
                </c:pt>
                <c:pt idx="8648">
                  <c:v>0.49240568676144414</c:v>
                </c:pt>
                <c:pt idx="8649">
                  <c:v>0.51181239814470936</c:v>
                </c:pt>
                <c:pt idx="8650">
                  <c:v>0.54539582226171568</c:v>
                </c:pt>
                <c:pt idx="8651">
                  <c:v>0.51795636913054732</c:v>
                </c:pt>
                <c:pt idx="8652">
                  <c:v>0.50584524268680131</c:v>
                </c:pt>
                <c:pt idx="8653">
                  <c:v>0.49097668227514402</c:v>
                </c:pt>
                <c:pt idx="8654">
                  <c:v>0.50313793418118413</c:v>
                </c:pt>
                <c:pt idx="8655">
                  <c:v>0.49912130681078487</c:v>
                </c:pt>
                <c:pt idx="8656">
                  <c:v>0.48174982259338012</c:v>
                </c:pt>
                <c:pt idx="8657">
                  <c:v>0.49715752372705518</c:v>
                </c:pt>
                <c:pt idx="8658">
                  <c:v>0.51843931377838925</c:v>
                </c:pt>
                <c:pt idx="8659">
                  <c:v>0.50455200477469431</c:v>
                </c:pt>
                <c:pt idx="8660">
                  <c:v>0.4992177635981852</c:v>
                </c:pt>
                <c:pt idx="8661">
                  <c:v>0.51361893713746221</c:v>
                </c:pt>
                <c:pt idx="8662">
                  <c:v>0.4731635009674553</c:v>
                </c:pt>
                <c:pt idx="8663">
                  <c:v>0.47680772572323055</c:v>
                </c:pt>
                <c:pt idx="8664">
                  <c:v>0.47124196975465577</c:v>
                </c:pt>
                <c:pt idx="8665">
                  <c:v>0.51256446849934378</c:v>
                </c:pt>
                <c:pt idx="8666">
                  <c:v>0.50142558646043167</c:v>
                </c:pt>
                <c:pt idx="8667">
                  <c:v>0.50336189495292827</c:v>
                </c:pt>
                <c:pt idx="8668">
                  <c:v>0.4936722872685898</c:v>
                </c:pt>
                <c:pt idx="8669">
                  <c:v>0.49057757518967215</c:v>
                </c:pt>
                <c:pt idx="8670">
                  <c:v>0.47108361067708299</c:v>
                </c:pt>
                <c:pt idx="8671">
                  <c:v>0.47803636175287978</c:v>
                </c:pt>
                <c:pt idx="8672">
                  <c:v>0.49507329587112697</c:v>
                </c:pt>
                <c:pt idx="8673">
                  <c:v>0.5385612929013186</c:v>
                </c:pt>
                <c:pt idx="8674">
                  <c:v>0.4962883830443397</c:v>
                </c:pt>
                <c:pt idx="8675">
                  <c:v>0.51338449161240796</c:v>
                </c:pt>
                <c:pt idx="8676">
                  <c:v>0.5127481485285641</c:v>
                </c:pt>
                <c:pt idx="8677">
                  <c:v>0.49071242883640687</c:v>
                </c:pt>
                <c:pt idx="8678">
                  <c:v>0.52304569941375367</c:v>
                </c:pt>
                <c:pt idx="8679">
                  <c:v>0.51871998346555059</c:v>
                </c:pt>
                <c:pt idx="8680">
                  <c:v>0.51311181116654936</c:v>
                </c:pt>
                <c:pt idx="8681">
                  <c:v>0.54791801122361827</c:v>
                </c:pt>
                <c:pt idx="8682">
                  <c:v>0.51570207805911916</c:v>
                </c:pt>
                <c:pt idx="8683">
                  <c:v>0.5217344365525024</c:v>
                </c:pt>
                <c:pt idx="8684">
                  <c:v>0.54607789250887806</c:v>
                </c:pt>
                <c:pt idx="8685">
                  <c:v>0.52705475658524503</c:v>
                </c:pt>
                <c:pt idx="8686">
                  <c:v>0.50183235769405954</c:v>
                </c:pt>
                <c:pt idx="8687">
                  <c:v>0.57997235940032055</c:v>
                </c:pt>
                <c:pt idx="8688">
                  <c:v>0.58422354217856931</c:v>
                </c:pt>
                <c:pt idx="8689">
                  <c:v>0.55400638272334324</c:v>
                </c:pt>
                <c:pt idx="8690">
                  <c:v>0.54614075517110838</c:v>
                </c:pt>
                <c:pt idx="8691">
                  <c:v>0.53388093600873165</c:v>
                </c:pt>
                <c:pt idx="8692">
                  <c:v>0.53481473885455233</c:v>
                </c:pt>
                <c:pt idx="8693">
                  <c:v>0.54824589910191579</c:v>
                </c:pt>
                <c:pt idx="8694">
                  <c:v>0.5295980592428029</c:v>
                </c:pt>
                <c:pt idx="8695">
                  <c:v>0.5380224734981478</c:v>
                </c:pt>
                <c:pt idx="8696">
                  <c:v>0.56533615923930181</c:v>
                </c:pt>
                <c:pt idx="8697">
                  <c:v>0.52105396370484458</c:v>
                </c:pt>
                <c:pt idx="8698">
                  <c:v>0.54986278018829982</c:v>
                </c:pt>
                <c:pt idx="8699">
                  <c:v>0.56374668321914378</c:v>
                </c:pt>
                <c:pt idx="8700">
                  <c:v>0.54400090964309966</c:v>
                </c:pt>
                <c:pt idx="8701">
                  <c:v>0.57990004049879773</c:v>
                </c:pt>
                <c:pt idx="8702">
                  <c:v>0.57523150318906702</c:v>
                </c:pt>
                <c:pt idx="8703">
                  <c:v>0.58258477161447764</c:v>
                </c:pt>
                <c:pt idx="8704">
                  <c:v>0.5249939851269364</c:v>
                </c:pt>
                <c:pt idx="8705">
                  <c:v>0.52538990159587695</c:v>
                </c:pt>
                <c:pt idx="8706">
                  <c:v>0.56679267876011141</c:v>
                </c:pt>
                <c:pt idx="8707">
                  <c:v>0.5411288667650116</c:v>
                </c:pt>
                <c:pt idx="8708">
                  <c:v>0.56279338290457981</c:v>
                </c:pt>
                <c:pt idx="8709">
                  <c:v>0.58084962303590659</c:v>
                </c:pt>
                <c:pt idx="8710">
                  <c:v>0.57421536956121466</c:v>
                </c:pt>
                <c:pt idx="8711">
                  <c:v>0.58037817286522053</c:v>
                </c:pt>
                <c:pt idx="8712">
                  <c:v>0.57892329917200713</c:v>
                </c:pt>
                <c:pt idx="8713">
                  <c:v>0.53580699362918338</c:v>
                </c:pt>
                <c:pt idx="8714">
                  <c:v>0.59111805536598006</c:v>
                </c:pt>
                <c:pt idx="8715">
                  <c:v>0.56734731944368733</c:v>
                </c:pt>
                <c:pt idx="8716">
                  <c:v>0.57797155653515397</c:v>
                </c:pt>
                <c:pt idx="8717">
                  <c:v>0.5706795110254177</c:v>
                </c:pt>
                <c:pt idx="8718">
                  <c:v>0.58686927950308354</c:v>
                </c:pt>
                <c:pt idx="8719">
                  <c:v>0.53232789879826092</c:v>
                </c:pt>
                <c:pt idx="8720">
                  <c:v>0.57271852706422632</c:v>
                </c:pt>
                <c:pt idx="8721">
                  <c:v>0.54846791575518172</c:v>
                </c:pt>
                <c:pt idx="8722">
                  <c:v>0.54664715301694544</c:v>
                </c:pt>
                <c:pt idx="8723">
                  <c:v>0.54594250310816617</c:v>
                </c:pt>
                <c:pt idx="8724">
                  <c:v>0.53796333241612582</c:v>
                </c:pt>
                <c:pt idx="8725">
                  <c:v>0.55079415752692218</c:v>
                </c:pt>
                <c:pt idx="8726">
                  <c:v>0.51961683071957743</c:v>
                </c:pt>
                <c:pt idx="8727">
                  <c:v>0.54222421623821626</c:v>
                </c:pt>
                <c:pt idx="8728">
                  <c:v>0.55634134425880499</c:v>
                </c:pt>
                <c:pt idx="8729">
                  <c:v>0.61705006184573841</c:v>
                </c:pt>
                <c:pt idx="8730">
                  <c:v>0.54877574990951816</c:v>
                </c:pt>
                <c:pt idx="8731">
                  <c:v>0.55131078184060034</c:v>
                </c:pt>
                <c:pt idx="8732">
                  <c:v>0.55089433127379628</c:v>
                </c:pt>
                <c:pt idx="8733">
                  <c:v>0.59767215454684663</c:v>
                </c:pt>
                <c:pt idx="8734">
                  <c:v>0.58318856849535394</c:v>
                </c:pt>
                <c:pt idx="8735">
                  <c:v>0.58589841308710278</c:v>
                </c:pt>
                <c:pt idx="8736">
                  <c:v>0.55801458482646871</c:v>
                </c:pt>
                <c:pt idx="8737">
                  <c:v>0.53505791611015163</c:v>
                </c:pt>
                <c:pt idx="8738">
                  <c:v>0.60001563168917593</c:v>
                </c:pt>
                <c:pt idx="8739">
                  <c:v>0.61307314876741703</c:v>
                </c:pt>
                <c:pt idx="8740">
                  <c:v>0.56268248380487107</c:v>
                </c:pt>
                <c:pt idx="8741">
                  <c:v>0.55775303201821669</c:v>
                </c:pt>
                <c:pt idx="8742">
                  <c:v>0.57960161196283866</c:v>
                </c:pt>
                <c:pt idx="8743">
                  <c:v>0.55507654414704932</c:v>
                </c:pt>
                <c:pt idx="8744">
                  <c:v>0.53543945142751181</c:v>
                </c:pt>
                <c:pt idx="8745">
                  <c:v>0.51465266128519893</c:v>
                </c:pt>
                <c:pt idx="8746">
                  <c:v>0.55647220436654588</c:v>
                </c:pt>
                <c:pt idx="8747">
                  <c:v>0.56008903826050804</c:v>
                </c:pt>
                <c:pt idx="8748">
                  <c:v>0.51282415892763733</c:v>
                </c:pt>
                <c:pt idx="8749">
                  <c:v>0.5046892461488347</c:v>
                </c:pt>
                <c:pt idx="8750">
                  <c:v>0.5323714962112579</c:v>
                </c:pt>
                <c:pt idx="8751">
                  <c:v>0.53673616394455526</c:v>
                </c:pt>
                <c:pt idx="8752">
                  <c:v>0.51834453199326003</c:v>
                </c:pt>
                <c:pt idx="8753">
                  <c:v>0.51347423755896915</c:v>
                </c:pt>
                <c:pt idx="8754">
                  <c:v>0.54470053674224839</c:v>
                </c:pt>
                <c:pt idx="8755">
                  <c:v>0.51480347282474914</c:v>
                </c:pt>
                <c:pt idx="8756">
                  <c:v>0.54799142945555346</c:v>
                </c:pt>
                <c:pt idx="8757">
                  <c:v>0.51553421977685221</c:v>
                </c:pt>
                <c:pt idx="8758">
                  <c:v>0.4958271612337159</c:v>
                </c:pt>
                <c:pt idx="8759">
                  <c:v>0.51354639369717192</c:v>
                </c:pt>
                <c:pt idx="8760">
                  <c:v>0.50993509539948556</c:v>
                </c:pt>
                <c:pt idx="8761">
                  <c:v>0.47473797838193821</c:v>
                </c:pt>
                <c:pt idx="8762">
                  <c:v>0.49837548630063261</c:v>
                </c:pt>
                <c:pt idx="8763">
                  <c:v>0.51283469265265147</c:v>
                </c:pt>
                <c:pt idx="8764">
                  <c:v>0.48374658037839818</c:v>
                </c:pt>
                <c:pt idx="8765">
                  <c:v>0.47154399807348168</c:v>
                </c:pt>
                <c:pt idx="8766">
                  <c:v>0.49690392158715735</c:v>
                </c:pt>
                <c:pt idx="8767">
                  <c:v>0.47688044406100499</c:v>
                </c:pt>
                <c:pt idx="8768">
                  <c:v>0.48333063796710252</c:v>
                </c:pt>
                <c:pt idx="8769">
                  <c:v>0.46880959316007792</c:v>
                </c:pt>
                <c:pt idx="8770">
                  <c:v>0.47401889214356513</c:v>
                </c:pt>
                <c:pt idx="8771">
                  <c:v>0.46513886410640626</c:v>
                </c:pt>
                <c:pt idx="8772">
                  <c:v>0.46973043643579604</c:v>
                </c:pt>
                <c:pt idx="8773">
                  <c:v>0.45394791633282705</c:v>
                </c:pt>
                <c:pt idx="8774">
                  <c:v>0.46912938994098913</c:v>
                </c:pt>
                <c:pt idx="8775">
                  <c:v>0.46741259207189295</c:v>
                </c:pt>
                <c:pt idx="8776">
                  <c:v>0.4666922366959157</c:v>
                </c:pt>
                <c:pt idx="8777">
                  <c:v>0.46074137839659951</c:v>
                </c:pt>
                <c:pt idx="8778">
                  <c:v>0.45396196442015335</c:v>
                </c:pt>
                <c:pt idx="8779">
                  <c:v>0.47626267499106245</c:v>
                </c:pt>
                <c:pt idx="8780">
                  <c:v>0.46673271613461126</c:v>
                </c:pt>
                <c:pt idx="8781">
                  <c:v>0.45791624549666088</c:v>
                </c:pt>
                <c:pt idx="8782">
                  <c:v>0.47510420206314524</c:v>
                </c:pt>
                <c:pt idx="8783">
                  <c:v>0.46186498630338413</c:v>
                </c:pt>
                <c:pt idx="8784">
                  <c:v>0.45501046986766491</c:v>
                </c:pt>
                <c:pt idx="8785">
                  <c:v>0.46664685965314695</c:v>
                </c:pt>
                <c:pt idx="8786">
                  <c:v>0.46751043383203456</c:v>
                </c:pt>
                <c:pt idx="8787">
                  <c:v>0.47464422669840006</c:v>
                </c:pt>
                <c:pt idx="8788">
                  <c:v>0.46605667474244283</c:v>
                </c:pt>
                <c:pt idx="8789">
                  <c:v>0.47094208068003762</c:v>
                </c:pt>
                <c:pt idx="8790">
                  <c:v>0.46300498677202806</c:v>
                </c:pt>
                <c:pt idx="8791">
                  <c:v>0.45684228102688573</c:v>
                </c:pt>
                <c:pt idx="8792">
                  <c:v>0.47516833581268791</c:v>
                </c:pt>
                <c:pt idx="8793">
                  <c:v>0.46259652992181854</c:v>
                </c:pt>
                <c:pt idx="8794">
                  <c:v>0.46980140490350097</c:v>
                </c:pt>
                <c:pt idx="8795">
                  <c:v>0.48783523362045617</c:v>
                </c:pt>
                <c:pt idx="8796">
                  <c:v>0.51380895681129879</c:v>
                </c:pt>
                <c:pt idx="8797">
                  <c:v>0.4981927957665867</c:v>
                </c:pt>
                <c:pt idx="8798">
                  <c:v>0.483400274746352</c:v>
                </c:pt>
                <c:pt idx="8799">
                  <c:v>0.47509300313562575</c:v>
                </c:pt>
                <c:pt idx="8800">
                  <c:v>0.47268537713229086</c:v>
                </c:pt>
                <c:pt idx="8801">
                  <c:v>0.4855983589429827</c:v>
                </c:pt>
                <c:pt idx="8802">
                  <c:v>0.44841458005642648</c:v>
                </c:pt>
                <c:pt idx="8803">
                  <c:v>0.46845205070665286</c:v>
                </c:pt>
                <c:pt idx="8804">
                  <c:v>0.4873633864022594</c:v>
                </c:pt>
                <c:pt idx="8805">
                  <c:v>0.49765862299632185</c:v>
                </c:pt>
                <c:pt idx="8806">
                  <c:v>0.47482472433421336</c:v>
                </c:pt>
                <c:pt idx="8807">
                  <c:v>0.50507817807846411</c:v>
                </c:pt>
                <c:pt idx="8808">
                  <c:v>0.45336283765969326</c:v>
                </c:pt>
                <c:pt idx="8809">
                  <c:v>0.44365187854429311</c:v>
                </c:pt>
                <c:pt idx="8810">
                  <c:v>0.44558785855004801</c:v>
                </c:pt>
                <c:pt idx="8811">
                  <c:v>0.46604984367011387</c:v>
                </c:pt>
                <c:pt idx="8812">
                  <c:v>0.47421801290957394</c:v>
                </c:pt>
                <c:pt idx="8813">
                  <c:v>0.45454257730476172</c:v>
                </c:pt>
                <c:pt idx="8814">
                  <c:v>0.46409068974937923</c:v>
                </c:pt>
                <c:pt idx="8815">
                  <c:v>0.45772979137102393</c:v>
                </c:pt>
                <c:pt idx="8816">
                  <c:v>0.45044695984393313</c:v>
                </c:pt>
                <c:pt idx="8817">
                  <c:v>0.48170484599307162</c:v>
                </c:pt>
                <c:pt idx="8818">
                  <c:v>0.4652303754235943</c:v>
                </c:pt>
                <c:pt idx="8819">
                  <c:v>0.51101443785337564</c:v>
                </c:pt>
                <c:pt idx="8820">
                  <c:v>0.49931254832798344</c:v>
                </c:pt>
                <c:pt idx="8821">
                  <c:v>0.4911764487501496</c:v>
                </c:pt>
                <c:pt idx="8822">
                  <c:v>0.50744323084072551</c:v>
                </c:pt>
                <c:pt idx="8823">
                  <c:v>0.46282444534859973</c:v>
                </c:pt>
                <c:pt idx="8824">
                  <c:v>0.49266597906494364</c:v>
                </c:pt>
                <c:pt idx="8825">
                  <c:v>0.50856015218492912</c:v>
                </c:pt>
                <c:pt idx="8826">
                  <c:v>0.50724527239912742</c:v>
                </c:pt>
                <c:pt idx="8827">
                  <c:v>0.5382143119931655</c:v>
                </c:pt>
                <c:pt idx="8828">
                  <c:v>0.51969624217376131</c:v>
                </c:pt>
                <c:pt idx="8829">
                  <c:v>0.52439001986645706</c:v>
                </c:pt>
                <c:pt idx="8830">
                  <c:v>0.52911260256186798</c:v>
                </c:pt>
                <c:pt idx="8831">
                  <c:v>0.53691734466979835</c:v>
                </c:pt>
                <c:pt idx="8832">
                  <c:v>0.51190393936831735</c:v>
                </c:pt>
                <c:pt idx="8833">
                  <c:v>0.56771692178608368</c:v>
                </c:pt>
                <c:pt idx="8834">
                  <c:v>0.59277735660173703</c:v>
                </c:pt>
                <c:pt idx="8835">
                  <c:v>0.56464488152507841</c:v>
                </c:pt>
                <c:pt idx="8836">
                  <c:v>0.55442955399307681</c:v>
                </c:pt>
                <c:pt idx="8837">
                  <c:v>0.55142474472245639</c:v>
                </c:pt>
                <c:pt idx="8838">
                  <c:v>0.54981833237704392</c:v>
                </c:pt>
                <c:pt idx="8839">
                  <c:v>0.5490934239779991</c:v>
                </c:pt>
                <c:pt idx="8840">
                  <c:v>0.53407829445015909</c:v>
                </c:pt>
                <c:pt idx="8841">
                  <c:v>0.56139455276230188</c:v>
                </c:pt>
                <c:pt idx="8842">
                  <c:v>0.59693505410445624</c:v>
                </c:pt>
                <c:pt idx="8843">
                  <c:v>0.54525056789036541</c:v>
                </c:pt>
                <c:pt idx="8844">
                  <c:v>0.5652145618294534</c:v>
                </c:pt>
                <c:pt idx="8845">
                  <c:v>0.5726467327327277</c:v>
                </c:pt>
                <c:pt idx="8846">
                  <c:v>0.5436955081186402</c:v>
                </c:pt>
                <c:pt idx="8847">
                  <c:v>0.58816051322157104</c:v>
                </c:pt>
                <c:pt idx="8848">
                  <c:v>0.60234512060986956</c:v>
                </c:pt>
                <c:pt idx="8849">
                  <c:v>0.58531879918713214</c:v>
                </c:pt>
                <c:pt idx="8850">
                  <c:v>0.56364433044947548</c:v>
                </c:pt>
                <c:pt idx="8851">
                  <c:v>0.55085389806669838</c:v>
                </c:pt>
                <c:pt idx="8852">
                  <c:v>0.57747536986747339</c:v>
                </c:pt>
                <c:pt idx="8853">
                  <c:v>0.55116785891944253</c:v>
                </c:pt>
                <c:pt idx="8854">
                  <c:v>0.56789749401870993</c:v>
                </c:pt>
                <c:pt idx="8855">
                  <c:v>0.62010824673895959</c:v>
                </c:pt>
                <c:pt idx="8856">
                  <c:v>0.56230797526186405</c:v>
                </c:pt>
                <c:pt idx="8857">
                  <c:v>0.61579144737707514</c:v>
                </c:pt>
                <c:pt idx="8858">
                  <c:v>0.58434683154503442</c:v>
                </c:pt>
                <c:pt idx="8859">
                  <c:v>0.60582481071379457</c:v>
                </c:pt>
                <c:pt idx="8860">
                  <c:v>0.65049383144499973</c:v>
                </c:pt>
                <c:pt idx="8861">
                  <c:v>0.53304478794813426</c:v>
                </c:pt>
                <c:pt idx="8862">
                  <c:v>0.56052986279189365</c:v>
                </c:pt>
                <c:pt idx="8863">
                  <c:v>0.56193588239643066</c:v>
                </c:pt>
                <c:pt idx="8864">
                  <c:v>0.58984028826432688</c:v>
                </c:pt>
                <c:pt idx="8865">
                  <c:v>0.59275517218359008</c:v>
                </c:pt>
                <c:pt idx="8866">
                  <c:v>0.58710185246872448</c:v>
                </c:pt>
                <c:pt idx="8867">
                  <c:v>0.53329430047521087</c:v>
                </c:pt>
                <c:pt idx="8868">
                  <c:v>0.55162721739451903</c:v>
                </c:pt>
                <c:pt idx="8869">
                  <c:v>0.56250080008199044</c:v>
                </c:pt>
                <c:pt idx="8870">
                  <c:v>0.57124518171060668</c:v>
                </c:pt>
                <c:pt idx="8871">
                  <c:v>0.56511740123877319</c:v>
                </c:pt>
                <c:pt idx="8872">
                  <c:v>0.56931795108762673</c:v>
                </c:pt>
                <c:pt idx="8873">
                  <c:v>0.56026754960543657</c:v>
                </c:pt>
                <c:pt idx="8874">
                  <c:v>0.55963411847510458</c:v>
                </c:pt>
                <c:pt idx="8875">
                  <c:v>0.56907858262504551</c:v>
                </c:pt>
                <c:pt idx="8876">
                  <c:v>0.58221579398531509</c:v>
                </c:pt>
                <c:pt idx="8877">
                  <c:v>0.57671581091389257</c:v>
                </c:pt>
                <c:pt idx="8878">
                  <c:v>0.54407424851284458</c:v>
                </c:pt>
                <c:pt idx="8879">
                  <c:v>0.56443879896626992</c:v>
                </c:pt>
                <c:pt idx="8880">
                  <c:v>0.58670835020104473</c:v>
                </c:pt>
                <c:pt idx="8881">
                  <c:v>0.56422764345122411</c:v>
                </c:pt>
                <c:pt idx="8882">
                  <c:v>0.54198763811246609</c:v>
                </c:pt>
                <c:pt idx="8883">
                  <c:v>0.576392034137302</c:v>
                </c:pt>
                <c:pt idx="8884">
                  <c:v>0.53545755114713656</c:v>
                </c:pt>
                <c:pt idx="8885">
                  <c:v>0.51453832292237411</c:v>
                </c:pt>
                <c:pt idx="8886">
                  <c:v>0.52278423251771389</c:v>
                </c:pt>
                <c:pt idx="8887">
                  <c:v>0.54951184928760388</c:v>
                </c:pt>
                <c:pt idx="8888">
                  <c:v>0.53874284450376797</c:v>
                </c:pt>
                <c:pt idx="8889">
                  <c:v>0.53263056831470934</c:v>
                </c:pt>
                <c:pt idx="8890">
                  <c:v>0.55099497040320222</c:v>
                </c:pt>
                <c:pt idx="8891">
                  <c:v>0.53506602389686175</c:v>
                </c:pt>
                <c:pt idx="8892">
                  <c:v>0.51181213084281141</c:v>
                </c:pt>
                <c:pt idx="8893">
                  <c:v>0.5343296251471944</c:v>
                </c:pt>
                <c:pt idx="8894">
                  <c:v>0.54661915179293175</c:v>
                </c:pt>
                <c:pt idx="8895">
                  <c:v>0.58590449831174685</c:v>
                </c:pt>
                <c:pt idx="8896">
                  <c:v>0.52401723131272593</c:v>
                </c:pt>
                <c:pt idx="8897">
                  <c:v>0.49874504446931428</c:v>
                </c:pt>
                <c:pt idx="8898">
                  <c:v>0.48769595141599825</c:v>
                </c:pt>
                <c:pt idx="8899">
                  <c:v>0.50487696558672723</c:v>
                </c:pt>
                <c:pt idx="8900">
                  <c:v>0.5075116716000081</c:v>
                </c:pt>
                <c:pt idx="8901">
                  <c:v>0.5227482636186469</c:v>
                </c:pt>
                <c:pt idx="8902">
                  <c:v>0.4946045238080668</c:v>
                </c:pt>
                <c:pt idx="8903">
                  <c:v>0.53172767097976736</c:v>
                </c:pt>
                <c:pt idx="8904">
                  <c:v>0.51176842476989393</c:v>
                </c:pt>
                <c:pt idx="8905">
                  <c:v>0.50369782396541418</c:v>
                </c:pt>
                <c:pt idx="8906">
                  <c:v>0.50916688989795544</c:v>
                </c:pt>
                <c:pt idx="8907">
                  <c:v>0.4971772912813906</c:v>
                </c:pt>
                <c:pt idx="8908">
                  <c:v>0.49270131537403816</c:v>
                </c:pt>
                <c:pt idx="8909">
                  <c:v>0.47773332319506767</c:v>
                </c:pt>
                <c:pt idx="8910">
                  <c:v>0.46646649093957099</c:v>
                </c:pt>
                <c:pt idx="8911">
                  <c:v>0.47786311952867128</c:v>
                </c:pt>
                <c:pt idx="8912">
                  <c:v>0.48705617711452737</c:v>
                </c:pt>
                <c:pt idx="8913">
                  <c:v>0.37523203087904655</c:v>
                </c:pt>
                <c:pt idx="8914">
                  <c:v>0.20396225083226588</c:v>
                </c:pt>
                <c:pt idx="8915">
                  <c:v>0.46067853630443084</c:v>
                </c:pt>
                <c:pt idx="8916">
                  <c:v>0.50291958735785003</c:v>
                </c:pt>
                <c:pt idx="8917">
                  <c:v>0.48003325867977442</c:v>
                </c:pt>
                <c:pt idx="8918">
                  <c:v>0.49393962073218411</c:v>
                </c:pt>
                <c:pt idx="8919">
                  <c:v>0.49578153907207517</c:v>
                </c:pt>
                <c:pt idx="8920">
                  <c:v>0.48060864217214749</c:v>
                </c:pt>
                <c:pt idx="8921">
                  <c:v>0.49726257174313132</c:v>
                </c:pt>
                <c:pt idx="8922">
                  <c:v>0.48971891893245051</c:v>
                </c:pt>
                <c:pt idx="8923">
                  <c:v>0.49855341503921768</c:v>
                </c:pt>
                <c:pt idx="8924">
                  <c:v>0.49356859728552699</c:v>
                </c:pt>
                <c:pt idx="8925">
                  <c:v>0.49545969043712962</c:v>
                </c:pt>
                <c:pt idx="8926">
                  <c:v>0.46561555308931063</c:v>
                </c:pt>
                <c:pt idx="8927">
                  <c:v>0.49625472266298987</c:v>
                </c:pt>
                <c:pt idx="8928">
                  <c:v>0.47993675990009904</c:v>
                </c:pt>
                <c:pt idx="8929">
                  <c:v>0.46641930978865043</c:v>
                </c:pt>
                <c:pt idx="8930">
                  <c:v>0.48952059110012891</c:v>
                </c:pt>
                <c:pt idx="8931">
                  <c:v>0.48404060922221359</c:v>
                </c:pt>
                <c:pt idx="8932">
                  <c:v>0.51184019664385583</c:v>
                </c:pt>
                <c:pt idx="8933">
                  <c:v>0.48616103352185008</c:v>
                </c:pt>
                <c:pt idx="8934">
                  <c:v>0.48918744975255185</c:v>
                </c:pt>
                <c:pt idx="8935">
                  <c:v>0.48236541902919577</c:v>
                </c:pt>
                <c:pt idx="8936">
                  <c:v>0.48356219416499174</c:v>
                </c:pt>
                <c:pt idx="8937">
                  <c:v>0.47923084732024956</c:v>
                </c:pt>
                <c:pt idx="8938">
                  <c:v>0.49559858628031989</c:v>
                </c:pt>
                <c:pt idx="8939">
                  <c:v>0.48453785292467638</c:v>
                </c:pt>
                <c:pt idx="8940">
                  <c:v>0.49521828619398167</c:v>
                </c:pt>
                <c:pt idx="8941">
                  <c:v>0.48468498028100415</c:v>
                </c:pt>
                <c:pt idx="8942">
                  <c:v>0.49039508424022443</c:v>
                </c:pt>
                <c:pt idx="8943">
                  <c:v>0.5051003030476795</c:v>
                </c:pt>
                <c:pt idx="8944">
                  <c:v>0.48823305776648834</c:v>
                </c:pt>
                <c:pt idx="8945">
                  <c:v>0.47935414803009396</c:v>
                </c:pt>
                <c:pt idx="8946">
                  <c:v>0.50390951917414106</c:v>
                </c:pt>
                <c:pt idx="8947">
                  <c:v>0.48963931736424293</c:v>
                </c:pt>
                <c:pt idx="8948">
                  <c:v>0.49893796610602059</c:v>
                </c:pt>
                <c:pt idx="8949">
                  <c:v>0.47080667376198809</c:v>
                </c:pt>
                <c:pt idx="8950">
                  <c:v>0.47973031570746966</c:v>
                </c:pt>
                <c:pt idx="8951">
                  <c:v>0.46541051453095073</c:v>
                </c:pt>
                <c:pt idx="8952">
                  <c:v>0.47941204119196157</c:v>
                </c:pt>
                <c:pt idx="8953">
                  <c:v>0.47303959888316877</c:v>
                </c:pt>
                <c:pt idx="8954">
                  <c:v>0.47145527429087913</c:v>
                </c:pt>
                <c:pt idx="8955">
                  <c:v>0.48064296289368447</c:v>
                </c:pt>
                <c:pt idx="8956">
                  <c:v>0.4814679974389941</c:v>
                </c:pt>
                <c:pt idx="8957">
                  <c:v>0.50730793749183889</c:v>
                </c:pt>
                <c:pt idx="8958">
                  <c:v>0.47813545008541702</c:v>
                </c:pt>
                <c:pt idx="8959">
                  <c:v>0.47822585207584012</c:v>
                </c:pt>
                <c:pt idx="8960">
                  <c:v>0.49050065758471217</c:v>
                </c:pt>
                <c:pt idx="8961">
                  <c:v>0.50455526645895099</c:v>
                </c:pt>
                <c:pt idx="8962">
                  <c:v>0.49591589578469975</c:v>
                </c:pt>
                <c:pt idx="8963">
                  <c:v>0.4793421940030877</c:v>
                </c:pt>
                <c:pt idx="8964">
                  <c:v>0.50107803100588022</c:v>
                </c:pt>
                <c:pt idx="8965">
                  <c:v>0.48465709536473506</c:v>
                </c:pt>
                <c:pt idx="8966">
                  <c:v>0.47946344730689805</c:v>
                </c:pt>
                <c:pt idx="8967">
                  <c:v>0.50811610065676405</c:v>
                </c:pt>
                <c:pt idx="8968">
                  <c:v>0.48409830843332952</c:v>
                </c:pt>
                <c:pt idx="8969">
                  <c:v>0.49486808795476528</c:v>
                </c:pt>
                <c:pt idx="8970">
                  <c:v>0.51577015676826943</c:v>
                </c:pt>
                <c:pt idx="8971">
                  <c:v>0.51632789419324465</c:v>
                </c:pt>
                <c:pt idx="8972">
                  <c:v>0.49318428252007923</c:v>
                </c:pt>
                <c:pt idx="8973">
                  <c:v>0.5207685145707468</c:v>
                </c:pt>
                <c:pt idx="8974">
                  <c:v>0.50010015304693034</c:v>
                </c:pt>
                <c:pt idx="8975">
                  <c:v>0.53125788155236997</c:v>
                </c:pt>
                <c:pt idx="8976">
                  <c:v>0.52072426035753283</c:v>
                </c:pt>
                <c:pt idx="8977">
                  <c:v>0.53550374631257913</c:v>
                </c:pt>
                <c:pt idx="8978">
                  <c:v>0.51541388362850249</c:v>
                </c:pt>
                <c:pt idx="8979">
                  <c:v>0.54062862191390015</c:v>
                </c:pt>
                <c:pt idx="8980">
                  <c:v>0.51729277837426701</c:v>
                </c:pt>
                <c:pt idx="8981">
                  <c:v>0.52389545367134638</c:v>
                </c:pt>
                <c:pt idx="8982">
                  <c:v>0.5339190430803622</c:v>
                </c:pt>
                <c:pt idx="8983">
                  <c:v>0.51217844732489404</c:v>
                </c:pt>
                <c:pt idx="8984">
                  <c:v>0.51815253549936324</c:v>
                </c:pt>
                <c:pt idx="8985">
                  <c:v>0.53810953464843958</c:v>
                </c:pt>
                <c:pt idx="8986">
                  <c:v>0.5350641236479321</c:v>
                </c:pt>
                <c:pt idx="8987">
                  <c:v>0.51246799536786669</c:v>
                </c:pt>
                <c:pt idx="8988">
                  <c:v>0.51215254012074052</c:v>
                </c:pt>
                <c:pt idx="8989">
                  <c:v>0.53473741062429159</c:v>
                </c:pt>
                <c:pt idx="8990">
                  <c:v>0.52774329234136808</c:v>
                </c:pt>
                <c:pt idx="8991">
                  <c:v>0.54802315409722013</c:v>
                </c:pt>
                <c:pt idx="8992">
                  <c:v>0.5132905980357918</c:v>
                </c:pt>
                <c:pt idx="8993">
                  <c:v>0.50347716995550795</c:v>
                </c:pt>
                <c:pt idx="8994">
                  <c:v>0.51899087541289357</c:v>
                </c:pt>
                <c:pt idx="8995">
                  <c:v>0.53054827496716106</c:v>
                </c:pt>
                <c:pt idx="8996">
                  <c:v>0.54571820243185154</c:v>
                </c:pt>
                <c:pt idx="8997">
                  <c:v>0.55103307039522809</c:v>
                </c:pt>
                <c:pt idx="8998">
                  <c:v>0.51244757714424993</c:v>
                </c:pt>
                <c:pt idx="8999">
                  <c:v>0.59642906262548823</c:v>
                </c:pt>
                <c:pt idx="9000">
                  <c:v>0.65228570622457782</c:v>
                </c:pt>
                <c:pt idx="9001">
                  <c:v>0.6115101434710849</c:v>
                </c:pt>
                <c:pt idx="9002">
                  <c:v>0.60768294119316402</c:v>
                </c:pt>
                <c:pt idx="9003">
                  <c:v>0.66052682388234862</c:v>
                </c:pt>
                <c:pt idx="9004">
                  <c:v>0.56659998339177342</c:v>
                </c:pt>
                <c:pt idx="9005">
                  <c:v>0.53910082526023351</c:v>
                </c:pt>
                <c:pt idx="9006">
                  <c:v>0.58942276962983231</c:v>
                </c:pt>
                <c:pt idx="9007">
                  <c:v>0.58095472553847072</c:v>
                </c:pt>
                <c:pt idx="9008">
                  <c:v>0.60533198665052557</c:v>
                </c:pt>
                <c:pt idx="9009">
                  <c:v>0.62638892761278653</c:v>
                </c:pt>
                <c:pt idx="9010">
                  <c:v>0.52316380946082297</c:v>
                </c:pt>
                <c:pt idx="9011">
                  <c:v>0.55819106798903551</c:v>
                </c:pt>
                <c:pt idx="9012">
                  <c:v>0.57973970779895601</c:v>
                </c:pt>
                <c:pt idx="9013">
                  <c:v>0.56632091827621434</c:v>
                </c:pt>
                <c:pt idx="9014">
                  <c:v>0.59836497418980183</c:v>
                </c:pt>
                <c:pt idx="9015">
                  <c:v>0.57376794755412286</c:v>
                </c:pt>
                <c:pt idx="9016">
                  <c:v>0.59588625030751707</c:v>
                </c:pt>
                <c:pt idx="9017">
                  <c:v>0.58705948378292183</c:v>
                </c:pt>
                <c:pt idx="9018">
                  <c:v>0.57208905139965327</c:v>
                </c:pt>
                <c:pt idx="9019">
                  <c:v>0.57260223287707068</c:v>
                </c:pt>
                <c:pt idx="9020">
                  <c:v>0.6192144150914739</c:v>
                </c:pt>
                <c:pt idx="9021">
                  <c:v>0.57139970907155457</c:v>
                </c:pt>
                <c:pt idx="9022">
                  <c:v>0.55207999975699107</c:v>
                </c:pt>
                <c:pt idx="9023">
                  <c:v>0.59954128535003526</c:v>
                </c:pt>
                <c:pt idx="9024">
                  <c:v>0.59805793349074465</c:v>
                </c:pt>
                <c:pt idx="9025">
                  <c:v>0.56446306994210427</c:v>
                </c:pt>
                <c:pt idx="9026">
                  <c:v>0.55501000094000452</c:v>
                </c:pt>
                <c:pt idx="9027">
                  <c:v>0.58891790435022318</c:v>
                </c:pt>
                <c:pt idx="9028">
                  <c:v>0.54109313624450983</c:v>
                </c:pt>
                <c:pt idx="9029">
                  <c:v>0.53263528191888887</c:v>
                </c:pt>
                <c:pt idx="9030">
                  <c:v>0.51138370181855586</c:v>
                </c:pt>
                <c:pt idx="9031">
                  <c:v>0.56896060648413438</c:v>
                </c:pt>
                <c:pt idx="9032">
                  <c:v>0.54993415654844024</c:v>
                </c:pt>
                <c:pt idx="9033">
                  <c:v>0.55300250633846271</c:v>
                </c:pt>
                <c:pt idx="9034">
                  <c:v>0.55955893066603313</c:v>
                </c:pt>
                <c:pt idx="9035">
                  <c:v>0.52742275615726519</c:v>
                </c:pt>
                <c:pt idx="9036">
                  <c:v>0.5200879678103314</c:v>
                </c:pt>
                <c:pt idx="9037">
                  <c:v>0.55516279316757688</c:v>
                </c:pt>
                <c:pt idx="9038">
                  <c:v>0.58665964355661449</c:v>
                </c:pt>
                <c:pt idx="9039">
                  <c:v>0.57696423684362241</c:v>
                </c:pt>
                <c:pt idx="9040">
                  <c:v>0.51582829336516345</c:v>
                </c:pt>
                <c:pt idx="9041">
                  <c:v>0.49809721455311984</c:v>
                </c:pt>
                <c:pt idx="9042">
                  <c:v>0.50253021854281976</c:v>
                </c:pt>
                <c:pt idx="9043">
                  <c:v>0.50403866382741469</c:v>
                </c:pt>
                <c:pt idx="9044">
                  <c:v>0.52483136691958621</c:v>
                </c:pt>
                <c:pt idx="9045">
                  <c:v>0.51354319884508171</c:v>
                </c:pt>
                <c:pt idx="9046">
                  <c:v>0.50206287007822148</c:v>
                </c:pt>
                <c:pt idx="9047">
                  <c:v>0.51348448925387769</c:v>
                </c:pt>
                <c:pt idx="9048">
                  <c:v>0.49393641760540608</c:v>
                </c:pt>
                <c:pt idx="9049">
                  <c:v>0.49346125765207677</c:v>
                </c:pt>
                <c:pt idx="9050">
                  <c:v>0.48502201849676535</c:v>
                </c:pt>
                <c:pt idx="9051">
                  <c:v>0.48467815148746074</c:v>
                </c:pt>
                <c:pt idx="9052">
                  <c:v>0.47233672101222307</c:v>
                </c:pt>
                <c:pt idx="9053">
                  <c:v>0.45287494990964822</c:v>
                </c:pt>
                <c:pt idx="9054">
                  <c:v>0.4588640764010572</c:v>
                </c:pt>
                <c:pt idx="9055">
                  <c:v>0.47439519151581</c:v>
                </c:pt>
                <c:pt idx="9056">
                  <c:v>0.47456909428284733</c:v>
                </c:pt>
                <c:pt idx="9057">
                  <c:v>0.21757526805699051</c:v>
                </c:pt>
                <c:pt idx="9058">
                  <c:v>0.31798607378389321</c:v>
                </c:pt>
                <c:pt idx="9059">
                  <c:v>0.45776309262213383</c:v>
                </c:pt>
                <c:pt idx="9060">
                  <c:v>0.46088687254976823</c:v>
                </c:pt>
                <c:pt idx="9061">
                  <c:v>0.46743287273477602</c:v>
                </c:pt>
                <c:pt idx="9062">
                  <c:v>0.465420181321749</c:v>
                </c:pt>
                <c:pt idx="9063">
                  <c:v>0.47092622174881899</c:v>
                </c:pt>
                <c:pt idx="9064">
                  <c:v>0.45398792164682322</c:v>
                </c:pt>
                <c:pt idx="9065">
                  <c:v>0.46354302456014296</c:v>
                </c:pt>
                <c:pt idx="9066">
                  <c:v>0.4504749751087308</c:v>
                </c:pt>
                <c:pt idx="9067">
                  <c:v>0.4645004270153289</c:v>
                </c:pt>
                <c:pt idx="9068">
                  <c:v>0.48276613957881553</c:v>
                </c:pt>
                <c:pt idx="9069">
                  <c:v>0.46042797959062193</c:v>
                </c:pt>
                <c:pt idx="9070">
                  <c:v>0.46152193663554975</c:v>
                </c:pt>
                <c:pt idx="9071">
                  <c:v>0.47038976078519323</c:v>
                </c:pt>
                <c:pt idx="9072">
                  <c:v>0.44747588060370097</c:v>
                </c:pt>
                <c:pt idx="9073">
                  <c:v>0.46757259112453614</c:v>
                </c:pt>
                <c:pt idx="9074">
                  <c:v>0.46615942486650908</c:v>
                </c:pt>
                <c:pt idx="9075">
                  <c:v>0.47719290739799303</c:v>
                </c:pt>
                <c:pt idx="9076">
                  <c:v>0.48553546321820629</c:v>
                </c:pt>
                <c:pt idx="9077">
                  <c:v>0.46693965093952128</c:v>
                </c:pt>
                <c:pt idx="9078">
                  <c:v>0.46705137845498718</c:v>
                </c:pt>
                <c:pt idx="9079">
                  <c:v>0.46489846205496654</c:v>
                </c:pt>
                <c:pt idx="9080">
                  <c:v>0.46192510833342382</c:v>
                </c:pt>
                <c:pt idx="9081">
                  <c:v>0.48324129246814551</c:v>
                </c:pt>
                <c:pt idx="9082">
                  <c:v>0.46163566655042859</c:v>
                </c:pt>
                <c:pt idx="9083">
                  <c:v>0.46912039518774434</c:v>
                </c:pt>
                <c:pt idx="9084">
                  <c:v>0.47290791417546679</c:v>
                </c:pt>
                <c:pt idx="9085">
                  <c:v>0.45533297641359266</c:v>
                </c:pt>
                <c:pt idx="9086">
                  <c:v>0.46960938046384521</c:v>
                </c:pt>
                <c:pt idx="9087">
                  <c:v>0.47136946628559007</c:v>
                </c:pt>
                <c:pt idx="9088">
                  <c:v>0.46925028493688326</c:v>
                </c:pt>
                <c:pt idx="9089">
                  <c:v>0.46035109918403139</c:v>
                </c:pt>
                <c:pt idx="9090">
                  <c:v>0.47807637536073883</c:v>
                </c:pt>
                <c:pt idx="9091">
                  <c:v>0.46645684741039495</c:v>
                </c:pt>
                <c:pt idx="9092">
                  <c:v>0.47050192724270884</c:v>
                </c:pt>
                <c:pt idx="9093">
                  <c:v>0.44800470016417376</c:v>
                </c:pt>
                <c:pt idx="9094">
                  <c:v>0.44462882594450842</c:v>
                </c:pt>
                <c:pt idx="9095">
                  <c:v>0.43502276000322576</c:v>
                </c:pt>
                <c:pt idx="9096">
                  <c:v>0.45848903046495304</c:v>
                </c:pt>
                <c:pt idx="9097">
                  <c:v>0.44788099488274907</c:v>
                </c:pt>
                <c:pt idx="9098">
                  <c:v>0.44729186648185704</c:v>
                </c:pt>
                <c:pt idx="9099">
                  <c:v>0.45004330870488496</c:v>
                </c:pt>
                <c:pt idx="9100">
                  <c:v>0.45094926699300375</c:v>
                </c:pt>
                <c:pt idx="9101">
                  <c:v>0.44534728647345473</c:v>
                </c:pt>
                <c:pt idx="9102">
                  <c:v>0.45768437645851051</c:v>
                </c:pt>
                <c:pt idx="9103">
                  <c:v>0.46771877368733022</c:v>
                </c:pt>
                <c:pt idx="9104">
                  <c:v>0.49502537175936046</c:v>
                </c:pt>
                <c:pt idx="9105">
                  <c:v>0.48965211648058282</c:v>
                </c:pt>
                <c:pt idx="9106">
                  <c:v>0.46208099701914945</c:v>
                </c:pt>
                <c:pt idx="9107">
                  <c:v>0.48136765965116507</c:v>
                </c:pt>
                <c:pt idx="9108">
                  <c:v>0.481287946257421</c:v>
                </c:pt>
                <c:pt idx="9109">
                  <c:v>0.47265831984885093</c:v>
                </c:pt>
                <c:pt idx="9110">
                  <c:v>0.47925721011037598</c:v>
                </c:pt>
                <c:pt idx="9111">
                  <c:v>0.48835975415645783</c:v>
                </c:pt>
                <c:pt idx="9112">
                  <c:v>0.47074424312264013</c:v>
                </c:pt>
                <c:pt idx="9113">
                  <c:v>0.50741811969200312</c:v>
                </c:pt>
                <c:pt idx="9114">
                  <c:v>0.54062899712593215</c:v>
                </c:pt>
                <c:pt idx="9115">
                  <c:v>0.51906054359380582</c:v>
                </c:pt>
                <c:pt idx="9116">
                  <c:v>0.50614215701291387</c:v>
                </c:pt>
                <c:pt idx="9117">
                  <c:v>0.53676607154289913</c:v>
                </c:pt>
                <c:pt idx="9118">
                  <c:v>0.54423949478157196</c:v>
                </c:pt>
                <c:pt idx="9119">
                  <c:v>0.53946866912518077</c:v>
                </c:pt>
                <c:pt idx="9120">
                  <c:v>0.53185914142331858</c:v>
                </c:pt>
                <c:pt idx="9121">
                  <c:v>0.54399209821795602</c:v>
                </c:pt>
                <c:pt idx="9122">
                  <c:v>0.53410064084722908</c:v>
                </c:pt>
                <c:pt idx="9123">
                  <c:v>0.53690536081429496</c:v>
                </c:pt>
                <c:pt idx="9124">
                  <c:v>0.53084080198964612</c:v>
                </c:pt>
                <c:pt idx="9125">
                  <c:v>0.52490827450622191</c:v>
                </c:pt>
                <c:pt idx="9126">
                  <c:v>0.54949922764154002</c:v>
                </c:pt>
                <c:pt idx="9127">
                  <c:v>0.53743964550864065</c:v>
                </c:pt>
                <c:pt idx="9128">
                  <c:v>0.54377336865895021</c:v>
                </c:pt>
                <c:pt idx="9129">
                  <c:v>0.53801806965254795</c:v>
                </c:pt>
                <c:pt idx="9130">
                  <c:v>0.55282061821625228</c:v>
                </c:pt>
                <c:pt idx="9131">
                  <c:v>0.52403581337137151</c:v>
                </c:pt>
                <c:pt idx="9132">
                  <c:v>0.53434396438145859</c:v>
                </c:pt>
                <c:pt idx="9133">
                  <c:v>0.54191968221491038</c:v>
                </c:pt>
                <c:pt idx="9134">
                  <c:v>0.56610017900600529</c:v>
                </c:pt>
                <c:pt idx="9135">
                  <c:v>0.52990661069176126</c:v>
                </c:pt>
                <c:pt idx="9136">
                  <c:v>0.54333520589722739</c:v>
                </c:pt>
                <c:pt idx="9137">
                  <c:v>0.51415923732108104</c:v>
                </c:pt>
                <c:pt idx="9138">
                  <c:v>0.50966131438716078</c:v>
                </c:pt>
                <c:pt idx="9139">
                  <c:v>0.58447392999092795</c:v>
                </c:pt>
                <c:pt idx="9140">
                  <c:v>0.56628378249926692</c:v>
                </c:pt>
                <c:pt idx="9141">
                  <c:v>0.56070437162202214</c:v>
                </c:pt>
                <c:pt idx="9142">
                  <c:v>0.52024857024639592</c:v>
                </c:pt>
                <c:pt idx="9143">
                  <c:v>0.49178933333407365</c:v>
                </c:pt>
                <c:pt idx="9144">
                  <c:v>0.54274042634032649</c:v>
                </c:pt>
                <c:pt idx="9145">
                  <c:v>0.52456772864513412</c:v>
                </c:pt>
                <c:pt idx="9146">
                  <c:v>0.5630131955868708</c:v>
                </c:pt>
                <c:pt idx="9147">
                  <c:v>0.54980253577826699</c:v>
                </c:pt>
                <c:pt idx="9148">
                  <c:v>0.56701530268987765</c:v>
                </c:pt>
                <c:pt idx="9149">
                  <c:v>0.52602649860916895</c:v>
                </c:pt>
                <c:pt idx="9150">
                  <c:v>0.53255425176578808</c:v>
                </c:pt>
                <c:pt idx="9151">
                  <c:v>0.53251322130008627</c:v>
                </c:pt>
                <c:pt idx="9152">
                  <c:v>0.52712688481907988</c:v>
                </c:pt>
                <c:pt idx="9153">
                  <c:v>0.5546736202658531</c:v>
                </c:pt>
                <c:pt idx="9154">
                  <c:v>0.55850409207281149</c:v>
                </c:pt>
                <c:pt idx="9155">
                  <c:v>0.5325801168064126</c:v>
                </c:pt>
                <c:pt idx="9156">
                  <c:v>0.50992851808534811</c:v>
                </c:pt>
                <c:pt idx="9157">
                  <c:v>0.54287544882953009</c:v>
                </c:pt>
                <c:pt idx="9158">
                  <c:v>0.55350582734154974</c:v>
                </c:pt>
                <c:pt idx="9159">
                  <c:v>0.54482689998525125</c:v>
                </c:pt>
                <c:pt idx="9160">
                  <c:v>0.52760567249149093</c:v>
                </c:pt>
                <c:pt idx="9161">
                  <c:v>0.53342796799549841</c:v>
                </c:pt>
                <c:pt idx="9162">
                  <c:v>0.5166971630699313</c:v>
                </c:pt>
                <c:pt idx="9163">
                  <c:v>0.52894226893382112</c:v>
                </c:pt>
                <c:pt idx="9164">
                  <c:v>0.55439393186189323</c:v>
                </c:pt>
                <c:pt idx="9165">
                  <c:v>0.5575253673060151</c:v>
                </c:pt>
                <c:pt idx="9166">
                  <c:v>0.52956675582699841</c:v>
                </c:pt>
                <c:pt idx="9167">
                  <c:v>0.52472382909599735</c:v>
                </c:pt>
                <c:pt idx="9168">
                  <c:v>0.53998853873341024</c:v>
                </c:pt>
                <c:pt idx="9169">
                  <c:v>0.53702140109117857</c:v>
                </c:pt>
                <c:pt idx="9170">
                  <c:v>0.52423899463270429</c:v>
                </c:pt>
                <c:pt idx="9171">
                  <c:v>0.53355676370303107</c:v>
                </c:pt>
                <c:pt idx="9172">
                  <c:v>0.54030669563564959</c:v>
                </c:pt>
                <c:pt idx="9173">
                  <c:v>0.5026533585171884</c:v>
                </c:pt>
                <c:pt idx="9174">
                  <c:v>0.52164494435105291</c:v>
                </c:pt>
                <c:pt idx="9175">
                  <c:v>0.53753463345904584</c:v>
                </c:pt>
                <c:pt idx="9176">
                  <c:v>0.53685073547352857</c:v>
                </c:pt>
                <c:pt idx="9177">
                  <c:v>0.53429333081028585</c:v>
                </c:pt>
                <c:pt idx="9178">
                  <c:v>0.53149105157148846</c:v>
                </c:pt>
                <c:pt idx="9179">
                  <c:v>0.48993964553407254</c:v>
                </c:pt>
                <c:pt idx="9180">
                  <c:v>0.48363920952834089</c:v>
                </c:pt>
                <c:pt idx="9181">
                  <c:v>0.51294494808568847</c:v>
                </c:pt>
                <c:pt idx="9182">
                  <c:v>0.50363490813684308</c:v>
                </c:pt>
                <c:pt idx="9183">
                  <c:v>0.52934025201671564</c:v>
                </c:pt>
                <c:pt idx="9184">
                  <c:v>0.52328188739560166</c:v>
                </c:pt>
                <c:pt idx="9185">
                  <c:v>0.49921446158015431</c:v>
                </c:pt>
                <c:pt idx="9186">
                  <c:v>0.50989804637115976</c:v>
                </c:pt>
                <c:pt idx="9187">
                  <c:v>0.51514923888010988</c:v>
                </c:pt>
                <c:pt idx="9188">
                  <c:v>0.50376672132129807</c:v>
                </c:pt>
                <c:pt idx="9189">
                  <c:v>0.492014745736295</c:v>
                </c:pt>
                <c:pt idx="9190">
                  <c:v>0.49239352759070898</c:v>
                </c:pt>
                <c:pt idx="9191">
                  <c:v>0.48694551722915463</c:v>
                </c:pt>
                <c:pt idx="9192">
                  <c:v>0.49484071030658372</c:v>
                </c:pt>
                <c:pt idx="9193">
                  <c:v>0.49177841654198906</c:v>
                </c:pt>
                <c:pt idx="9194">
                  <c:v>0.4956365979793424</c:v>
                </c:pt>
                <c:pt idx="9195">
                  <c:v>0.47338477110377125</c:v>
                </c:pt>
                <c:pt idx="9196">
                  <c:v>0.47758497832954927</c:v>
                </c:pt>
                <c:pt idx="9197">
                  <c:v>0.47126618083562699</c:v>
                </c:pt>
                <c:pt idx="9198">
                  <c:v>0.48092259721641067</c:v>
                </c:pt>
                <c:pt idx="9199">
                  <c:v>0.48099161679133012</c:v>
                </c:pt>
                <c:pt idx="9200">
                  <c:v>0.50379667328458522</c:v>
                </c:pt>
                <c:pt idx="9201">
                  <c:v>0.48670386370316882</c:v>
                </c:pt>
                <c:pt idx="9202">
                  <c:v>0.48822981227322276</c:v>
                </c:pt>
                <c:pt idx="9203">
                  <c:v>0.47236248110234019</c:v>
                </c:pt>
                <c:pt idx="9204">
                  <c:v>0.48227759139659226</c:v>
                </c:pt>
                <c:pt idx="9205">
                  <c:v>0.48545551713055907</c:v>
                </c:pt>
                <c:pt idx="9206">
                  <c:v>0.48707966394855245</c:v>
                </c:pt>
                <c:pt idx="9207">
                  <c:v>0.48859964237600934</c:v>
                </c:pt>
                <c:pt idx="9208">
                  <c:v>0.49767436364657519</c:v>
                </c:pt>
                <c:pt idx="9209">
                  <c:v>0.45257542843587839</c:v>
                </c:pt>
                <c:pt idx="9210">
                  <c:v>0.46115488703988489</c:v>
                </c:pt>
                <c:pt idx="9211">
                  <c:v>0.48693320421997693</c:v>
                </c:pt>
                <c:pt idx="9212">
                  <c:v>0.4872604417536528</c:v>
                </c:pt>
                <c:pt idx="9213">
                  <c:v>0.50053683573390884</c:v>
                </c:pt>
                <c:pt idx="9214">
                  <c:v>0.48800623819002775</c:v>
                </c:pt>
                <c:pt idx="9215">
                  <c:v>0.50199739293952594</c:v>
                </c:pt>
                <c:pt idx="9216">
                  <c:v>0.48081696598492712</c:v>
                </c:pt>
                <c:pt idx="9217">
                  <c:v>0.46894237871507294</c:v>
                </c:pt>
                <c:pt idx="9218">
                  <c:v>0.47363088381703727</c:v>
                </c:pt>
                <c:pt idx="9219">
                  <c:v>0.48623418723954998</c:v>
                </c:pt>
                <c:pt idx="9220">
                  <c:v>0.47630604316542513</c:v>
                </c:pt>
                <c:pt idx="9221">
                  <c:v>0.48378122427090964</c:v>
                </c:pt>
                <c:pt idx="9222">
                  <c:v>0.48690560482777528</c:v>
                </c:pt>
                <c:pt idx="9223">
                  <c:v>0.48728589737175082</c:v>
                </c:pt>
                <c:pt idx="9224">
                  <c:v>0.47681366532697678</c:v>
                </c:pt>
                <c:pt idx="9225">
                  <c:v>0.4716090995340525</c:v>
                </c:pt>
                <c:pt idx="9226">
                  <c:v>0.48209744626930634</c:v>
                </c:pt>
                <c:pt idx="9227">
                  <c:v>0.48948977886232137</c:v>
                </c:pt>
                <c:pt idx="9228">
                  <c:v>0.46686554522193452</c:v>
                </c:pt>
                <c:pt idx="9229">
                  <c:v>0.49177757677738543</c:v>
                </c:pt>
                <c:pt idx="9230">
                  <c:v>0.49950411814789181</c:v>
                </c:pt>
                <c:pt idx="9231">
                  <c:v>0.48748666161786208</c:v>
                </c:pt>
                <c:pt idx="9232">
                  <c:v>0.48508484648413813</c:v>
                </c:pt>
                <c:pt idx="9233">
                  <c:v>0.47378554522510052</c:v>
                </c:pt>
                <c:pt idx="9234">
                  <c:v>0.49590494359435922</c:v>
                </c:pt>
                <c:pt idx="9235">
                  <c:v>0.4909417662792297</c:v>
                </c:pt>
                <c:pt idx="9236">
                  <c:v>0.49542152445896065</c:v>
                </c:pt>
                <c:pt idx="9237">
                  <c:v>0.50536205224269748</c:v>
                </c:pt>
                <c:pt idx="9238">
                  <c:v>0.47681627293222989</c:v>
                </c:pt>
                <c:pt idx="9239">
                  <c:v>0.48372362549535497</c:v>
                </c:pt>
                <c:pt idx="9240">
                  <c:v>0.50120172032091104</c:v>
                </c:pt>
                <c:pt idx="9241">
                  <c:v>0.47661689083517184</c:v>
                </c:pt>
                <c:pt idx="9242">
                  <c:v>0.48233252150788364</c:v>
                </c:pt>
                <c:pt idx="9243">
                  <c:v>0.4907618132445789</c:v>
                </c:pt>
                <c:pt idx="9244">
                  <c:v>0.51410154159395505</c:v>
                </c:pt>
                <c:pt idx="9245">
                  <c:v>0.57637705995498512</c:v>
                </c:pt>
                <c:pt idx="9246">
                  <c:v>0.58013009392478843</c:v>
                </c:pt>
                <c:pt idx="9247">
                  <c:v>0.45868709145164466</c:v>
                </c:pt>
                <c:pt idx="9248">
                  <c:v>0.47287984745565609</c:v>
                </c:pt>
                <c:pt idx="9249">
                  <c:v>0.45828452951775439</c:v>
                </c:pt>
                <c:pt idx="9250">
                  <c:v>0.45977443857742201</c:v>
                </c:pt>
                <c:pt idx="9251">
                  <c:v>0.47272983516986605</c:v>
                </c:pt>
                <c:pt idx="9252">
                  <c:v>0.48576740816891162</c:v>
                </c:pt>
                <c:pt idx="9253">
                  <c:v>0.48318176617529518</c:v>
                </c:pt>
                <c:pt idx="9254">
                  <c:v>0.50686354939011957</c:v>
                </c:pt>
                <c:pt idx="9255">
                  <c:v>0.48739562229142169</c:v>
                </c:pt>
                <c:pt idx="9256">
                  <c:v>0.49984166943556052</c:v>
                </c:pt>
                <c:pt idx="9257">
                  <c:v>0.47528131033294901</c:v>
                </c:pt>
                <c:pt idx="9258">
                  <c:v>0.52789864212387028</c:v>
                </c:pt>
                <c:pt idx="9259">
                  <c:v>0.49196186617969279</c:v>
                </c:pt>
                <c:pt idx="9260">
                  <c:v>0.49740572786176912</c:v>
                </c:pt>
                <c:pt idx="9261">
                  <c:v>0.48476037440560832</c:v>
                </c:pt>
                <c:pt idx="9262">
                  <c:v>0.50376318140732523</c:v>
                </c:pt>
                <c:pt idx="9263">
                  <c:v>0.48407223788726728</c:v>
                </c:pt>
                <c:pt idx="9264">
                  <c:v>0.49904148328451187</c:v>
                </c:pt>
                <c:pt idx="9265">
                  <c:v>0.50010550788186281</c:v>
                </c:pt>
                <c:pt idx="9266">
                  <c:v>0.50498247121078133</c:v>
                </c:pt>
                <c:pt idx="9267">
                  <c:v>0.4890733882968587</c:v>
                </c:pt>
                <c:pt idx="9268">
                  <c:v>0.50256899365340735</c:v>
                </c:pt>
                <c:pt idx="9269">
                  <c:v>0.50687747297365704</c:v>
                </c:pt>
                <c:pt idx="9270">
                  <c:v>0.50403199660318954</c:v>
                </c:pt>
                <c:pt idx="9271">
                  <c:v>0.50016234744409971</c:v>
                </c:pt>
                <c:pt idx="9272">
                  <c:v>0.40093411319035949</c:v>
                </c:pt>
                <c:pt idx="9273">
                  <c:v>0.49082171236197508</c:v>
                </c:pt>
                <c:pt idx="9274">
                  <c:v>0.49514218619814104</c:v>
                </c:pt>
                <c:pt idx="9275">
                  <c:v>0.51957771031795796</c:v>
                </c:pt>
                <c:pt idx="9276">
                  <c:v>0.52401736125995246</c:v>
                </c:pt>
                <c:pt idx="9277">
                  <c:v>0.5569247847628841</c:v>
                </c:pt>
                <c:pt idx="9278">
                  <c:v>0.54493675657209062</c:v>
                </c:pt>
                <c:pt idx="9279">
                  <c:v>0.51872945438381945</c:v>
                </c:pt>
                <c:pt idx="9280">
                  <c:v>0.51318988959733913</c:v>
                </c:pt>
                <c:pt idx="9281">
                  <c:v>0.51683418730638109</c:v>
                </c:pt>
                <c:pt idx="9282">
                  <c:v>0.51719206980545052</c:v>
                </c:pt>
                <c:pt idx="9283">
                  <c:v>0.52002646429523758</c:v>
                </c:pt>
                <c:pt idx="9284">
                  <c:v>0.51873247977251802</c:v>
                </c:pt>
                <c:pt idx="9285">
                  <c:v>0.55577125097051883</c:v>
                </c:pt>
                <c:pt idx="9286">
                  <c:v>0.49774242848753225</c:v>
                </c:pt>
                <c:pt idx="9287">
                  <c:v>0.56795939057454348</c:v>
                </c:pt>
                <c:pt idx="9288">
                  <c:v>0.53941022635679503</c:v>
                </c:pt>
                <c:pt idx="9289">
                  <c:v>0.56648251034806041</c:v>
                </c:pt>
                <c:pt idx="9290">
                  <c:v>0.57295624653883537</c:v>
                </c:pt>
                <c:pt idx="9291">
                  <c:v>0.53057259574590721</c:v>
                </c:pt>
                <c:pt idx="9292">
                  <c:v>0.54404322681365913</c:v>
                </c:pt>
                <c:pt idx="9293">
                  <c:v>0.54682782235159033</c:v>
                </c:pt>
                <c:pt idx="9294">
                  <c:v>0.53179519814962817</c:v>
                </c:pt>
                <c:pt idx="9295">
                  <c:v>0.54639779223781837</c:v>
                </c:pt>
                <c:pt idx="9296">
                  <c:v>0.57264998580703319</c:v>
                </c:pt>
                <c:pt idx="9297">
                  <c:v>0.57859749736036026</c:v>
                </c:pt>
                <c:pt idx="9298">
                  <c:v>0.52835831159843649</c:v>
                </c:pt>
                <c:pt idx="9299">
                  <c:v>0.51828317608723562</c:v>
                </c:pt>
                <c:pt idx="9300">
                  <c:v>0.58395886083844517</c:v>
                </c:pt>
                <c:pt idx="9301">
                  <c:v>0.55543932772311533</c:v>
                </c:pt>
                <c:pt idx="9302">
                  <c:v>0.56640849897695533</c:v>
                </c:pt>
                <c:pt idx="9303">
                  <c:v>0.52496157008839872</c:v>
                </c:pt>
                <c:pt idx="9304">
                  <c:v>0.53755113455246162</c:v>
                </c:pt>
                <c:pt idx="9305">
                  <c:v>0.53821217393266751</c:v>
                </c:pt>
                <c:pt idx="9306">
                  <c:v>0.5403404884594063</c:v>
                </c:pt>
                <c:pt idx="9307">
                  <c:v>0.56395665029572883</c:v>
                </c:pt>
                <c:pt idx="9308">
                  <c:v>0.56226395019011177</c:v>
                </c:pt>
                <c:pt idx="9309">
                  <c:v>0.54529362961865468</c:v>
                </c:pt>
                <c:pt idx="9310">
                  <c:v>0.53913270400871283</c:v>
                </c:pt>
                <c:pt idx="9311">
                  <c:v>0.54700915603845113</c:v>
                </c:pt>
                <c:pt idx="9312">
                  <c:v>0.53868706786682063</c:v>
                </c:pt>
                <c:pt idx="9313">
                  <c:v>0.52545855087074589</c:v>
                </c:pt>
                <c:pt idx="9314">
                  <c:v>0.52688658289479695</c:v>
                </c:pt>
                <c:pt idx="9315">
                  <c:v>0.50486202706922989</c:v>
                </c:pt>
                <c:pt idx="9316">
                  <c:v>0.51479776524290433</c:v>
                </c:pt>
                <c:pt idx="9317">
                  <c:v>0.53774229998424417</c:v>
                </c:pt>
                <c:pt idx="9318">
                  <c:v>0.5302917998618174</c:v>
                </c:pt>
                <c:pt idx="9319">
                  <c:v>0.53146422742164423</c:v>
                </c:pt>
                <c:pt idx="9320">
                  <c:v>0.5371700639163306</c:v>
                </c:pt>
                <c:pt idx="9321">
                  <c:v>0.51012458665074234</c:v>
                </c:pt>
                <c:pt idx="9322">
                  <c:v>0.48124837086456912</c:v>
                </c:pt>
                <c:pt idx="9323">
                  <c:v>0.48300442368233226</c:v>
                </c:pt>
                <c:pt idx="9324">
                  <c:v>0.5117211049799345</c:v>
                </c:pt>
                <c:pt idx="9325">
                  <c:v>0.50779261115329366</c:v>
                </c:pt>
                <c:pt idx="9326">
                  <c:v>0.53537691931876519</c:v>
                </c:pt>
                <c:pt idx="9327">
                  <c:v>0.50908391550725496</c:v>
                </c:pt>
                <c:pt idx="9328">
                  <c:v>0.50554134554423746</c:v>
                </c:pt>
                <c:pt idx="9329">
                  <c:v>0.49977984131154946</c:v>
                </c:pt>
                <c:pt idx="9330">
                  <c:v>0.5087288427845974</c:v>
                </c:pt>
                <c:pt idx="9331">
                  <c:v>0.5067286162062522</c:v>
                </c:pt>
                <c:pt idx="9332">
                  <c:v>0.49824561156888603</c:v>
                </c:pt>
                <c:pt idx="9333">
                  <c:v>0.4855410006792808</c:v>
                </c:pt>
                <c:pt idx="9334">
                  <c:v>0.49230798449226881</c:v>
                </c:pt>
                <c:pt idx="9335">
                  <c:v>0.49487781563753869</c:v>
                </c:pt>
                <c:pt idx="9336">
                  <c:v>0.48978922620371207</c:v>
                </c:pt>
                <c:pt idx="9337">
                  <c:v>0.47774936916388477</c:v>
                </c:pt>
                <c:pt idx="9338">
                  <c:v>0.45561204511045189</c:v>
                </c:pt>
                <c:pt idx="9339">
                  <c:v>0.46858405977717171</c:v>
                </c:pt>
                <c:pt idx="9340">
                  <c:v>0.46329501217152674</c:v>
                </c:pt>
                <c:pt idx="9341">
                  <c:v>0.47338783742254331</c:v>
                </c:pt>
                <c:pt idx="9342">
                  <c:v>0.46040270534216393</c:v>
                </c:pt>
                <c:pt idx="9343">
                  <c:v>0.47668761240319663</c:v>
                </c:pt>
                <c:pt idx="9344">
                  <c:v>0.46357244795643304</c:v>
                </c:pt>
                <c:pt idx="9345">
                  <c:v>0.46292960826182944</c:v>
                </c:pt>
                <c:pt idx="9346">
                  <c:v>0.45247247765850512</c:v>
                </c:pt>
                <c:pt idx="9347">
                  <c:v>0.46372281966899498</c:v>
                </c:pt>
                <c:pt idx="9348">
                  <c:v>0.46734078795266176</c:v>
                </c:pt>
                <c:pt idx="9349">
                  <c:v>0.46645892449631127</c:v>
                </c:pt>
                <c:pt idx="9350">
                  <c:v>0.47755938154590166</c:v>
                </c:pt>
                <c:pt idx="9351">
                  <c:v>0.48573164505505378</c:v>
                </c:pt>
                <c:pt idx="9352">
                  <c:v>0.42667274984639836</c:v>
                </c:pt>
                <c:pt idx="9353">
                  <c:v>0.46198941919669323</c:v>
                </c:pt>
                <c:pt idx="9354">
                  <c:v>0.46479198767317875</c:v>
                </c:pt>
                <c:pt idx="9355">
                  <c:v>0.46500773867903816</c:v>
                </c:pt>
                <c:pt idx="9356">
                  <c:v>0.45173318131050388</c:v>
                </c:pt>
                <c:pt idx="9357">
                  <c:v>0.46308708062163467</c:v>
                </c:pt>
                <c:pt idx="9358">
                  <c:v>0.45551498484513425</c:v>
                </c:pt>
                <c:pt idx="9359">
                  <c:v>0.46287007392202706</c:v>
                </c:pt>
                <c:pt idx="9360">
                  <c:v>0.46279018336686933</c:v>
                </c:pt>
                <c:pt idx="9361">
                  <c:v>0.45042386898139514</c:v>
                </c:pt>
                <c:pt idx="9362">
                  <c:v>0.47494811824842087</c:v>
                </c:pt>
                <c:pt idx="9363">
                  <c:v>0.46740963131195779</c:v>
                </c:pt>
                <c:pt idx="9364">
                  <c:v>0.46812155678142692</c:v>
                </c:pt>
                <c:pt idx="9365">
                  <c:v>0.46956651679396738</c:v>
                </c:pt>
                <c:pt idx="9366">
                  <c:v>0.45967634515048189</c:v>
                </c:pt>
                <c:pt idx="9367">
                  <c:v>0.44273305976616778</c:v>
                </c:pt>
                <c:pt idx="9368">
                  <c:v>0.47377795934624867</c:v>
                </c:pt>
                <c:pt idx="9369">
                  <c:v>0.45185119121625195</c:v>
                </c:pt>
                <c:pt idx="9370">
                  <c:v>0.4565896523914173</c:v>
                </c:pt>
                <c:pt idx="9371">
                  <c:v>0.46372296896954823</c:v>
                </c:pt>
                <c:pt idx="9372">
                  <c:v>0.47260537044968193</c:v>
                </c:pt>
                <c:pt idx="9373">
                  <c:v>0.46262796332183376</c:v>
                </c:pt>
                <c:pt idx="9374">
                  <c:v>0.46393835621161189</c:v>
                </c:pt>
                <c:pt idx="9375">
                  <c:v>0.46149732624374518</c:v>
                </c:pt>
                <c:pt idx="9376">
                  <c:v>0.45269183146241471</c:v>
                </c:pt>
                <c:pt idx="9377">
                  <c:v>0.47017887410948089</c:v>
                </c:pt>
                <c:pt idx="9378">
                  <c:v>0.48344621749100208</c:v>
                </c:pt>
                <c:pt idx="9379">
                  <c:v>0.46513901292094856</c:v>
                </c:pt>
                <c:pt idx="9380">
                  <c:v>0.47861021140951832</c:v>
                </c:pt>
                <c:pt idx="9381">
                  <c:v>0.44571735415524061</c:v>
                </c:pt>
                <c:pt idx="9382">
                  <c:v>0.45585688136004499</c:v>
                </c:pt>
                <c:pt idx="9383">
                  <c:v>0.47415373865855037</c:v>
                </c:pt>
                <c:pt idx="9384">
                  <c:v>0.44156066416394624</c:v>
                </c:pt>
                <c:pt idx="9385">
                  <c:v>0.4642305925816359</c:v>
                </c:pt>
                <c:pt idx="9386">
                  <c:v>0.46208144661712208</c:v>
                </c:pt>
                <c:pt idx="9387">
                  <c:v>0.49101369857866839</c:v>
                </c:pt>
                <c:pt idx="9388">
                  <c:v>0.55748518586558227</c:v>
                </c:pt>
                <c:pt idx="9389">
                  <c:v>0.53232840873481968</c:v>
                </c:pt>
                <c:pt idx="9390">
                  <c:v>0.44838689556151856</c:v>
                </c:pt>
                <c:pt idx="9391">
                  <c:v>0.44740659378889552</c:v>
                </c:pt>
                <c:pt idx="9392">
                  <c:v>0.44689582446310333</c:v>
                </c:pt>
                <c:pt idx="9393">
                  <c:v>0.4701267984550041</c:v>
                </c:pt>
                <c:pt idx="9394">
                  <c:v>0.46335762625309551</c:v>
                </c:pt>
                <c:pt idx="9395">
                  <c:v>0.48303869840835023</c:v>
                </c:pt>
                <c:pt idx="9396">
                  <c:v>0.47420722832525281</c:v>
                </c:pt>
                <c:pt idx="9397">
                  <c:v>0.50447956188986876</c:v>
                </c:pt>
                <c:pt idx="9398">
                  <c:v>0.47835391341730199</c:v>
                </c:pt>
                <c:pt idx="9399">
                  <c:v>0.47557676621689315</c:v>
                </c:pt>
                <c:pt idx="9400">
                  <c:v>0.50738679622408467</c:v>
                </c:pt>
                <c:pt idx="9401">
                  <c:v>0.48150697958346461</c:v>
                </c:pt>
                <c:pt idx="9402">
                  <c:v>0.50865278530238811</c:v>
                </c:pt>
                <c:pt idx="9403">
                  <c:v>0.48075567086945475</c:v>
                </c:pt>
                <c:pt idx="9404">
                  <c:v>0.52812860203847456</c:v>
                </c:pt>
                <c:pt idx="9405">
                  <c:v>0.49569555114984881</c:v>
                </c:pt>
                <c:pt idx="9406">
                  <c:v>0.50450987248454615</c:v>
                </c:pt>
                <c:pt idx="9407">
                  <c:v>0.49038062206287969</c:v>
                </c:pt>
                <c:pt idx="9408">
                  <c:v>0.54010463478705717</c:v>
                </c:pt>
                <c:pt idx="9409">
                  <c:v>0.50691153655819665</c:v>
                </c:pt>
                <c:pt idx="9410">
                  <c:v>0.52219962945485054</c:v>
                </c:pt>
                <c:pt idx="9411">
                  <c:v>0.51525082001264444</c:v>
                </c:pt>
                <c:pt idx="9412">
                  <c:v>0.50213257392797872</c:v>
                </c:pt>
                <c:pt idx="9413">
                  <c:v>0.51395381091565029</c:v>
                </c:pt>
                <c:pt idx="9414">
                  <c:v>0.51254792414587758</c:v>
                </c:pt>
                <c:pt idx="9415">
                  <c:v>0.41033546198675863</c:v>
                </c:pt>
                <c:pt idx="9416">
                  <c:v>0.51644744845693791</c:v>
                </c:pt>
                <c:pt idx="9417">
                  <c:v>0.49028779992668958</c:v>
                </c:pt>
                <c:pt idx="9418">
                  <c:v>0.53143701837709156</c:v>
                </c:pt>
                <c:pt idx="9419">
                  <c:v>0.53282276543692697</c:v>
                </c:pt>
                <c:pt idx="9420">
                  <c:v>0.55284883045638678</c:v>
                </c:pt>
                <c:pt idx="9421">
                  <c:v>0.54991346718141332</c:v>
                </c:pt>
                <c:pt idx="9422">
                  <c:v>0.50184425545551647</c:v>
                </c:pt>
                <c:pt idx="9423">
                  <c:v>0.52224751746613918</c:v>
                </c:pt>
                <c:pt idx="9424">
                  <c:v>0.51222504969338156</c:v>
                </c:pt>
                <c:pt idx="9425">
                  <c:v>0.52317617855575071</c:v>
                </c:pt>
                <c:pt idx="9426">
                  <c:v>0.52259783964175577</c:v>
                </c:pt>
                <c:pt idx="9427">
                  <c:v>0.5211982528676169</c:v>
                </c:pt>
                <c:pt idx="9428">
                  <c:v>0.5574373001325289</c:v>
                </c:pt>
                <c:pt idx="9429">
                  <c:v>0.52914727769484293</c:v>
                </c:pt>
                <c:pt idx="9430">
                  <c:v>0.55615071245099656</c:v>
                </c:pt>
                <c:pt idx="9431">
                  <c:v>0.52193830538667518</c:v>
                </c:pt>
                <c:pt idx="9432">
                  <c:v>0.53335102834889059</c:v>
                </c:pt>
                <c:pt idx="9433">
                  <c:v>0.52761482272995619</c:v>
                </c:pt>
                <c:pt idx="9434">
                  <c:v>0.54097330510300012</c:v>
                </c:pt>
                <c:pt idx="9435">
                  <c:v>0.50932647353033822</c:v>
                </c:pt>
                <c:pt idx="9436">
                  <c:v>0.53479547146873041</c:v>
                </c:pt>
                <c:pt idx="9437">
                  <c:v>0.51776209160613085</c:v>
                </c:pt>
                <c:pt idx="9438">
                  <c:v>0.52528211329423968</c:v>
                </c:pt>
                <c:pt idx="9439">
                  <c:v>0.55761197333712986</c:v>
                </c:pt>
                <c:pt idx="9440">
                  <c:v>0.56510286074041405</c:v>
                </c:pt>
                <c:pt idx="9441">
                  <c:v>0.52831623944048578</c:v>
                </c:pt>
                <c:pt idx="9442">
                  <c:v>0.52007629723717241</c:v>
                </c:pt>
                <c:pt idx="9443">
                  <c:v>0.54072904210039907</c:v>
                </c:pt>
                <c:pt idx="9444">
                  <c:v>0.55245393564381806</c:v>
                </c:pt>
                <c:pt idx="9445">
                  <c:v>0.57959761018712175</c:v>
                </c:pt>
                <c:pt idx="9446">
                  <c:v>0.49706973385682418</c:v>
                </c:pt>
                <c:pt idx="9447">
                  <c:v>0.52201912118109572</c:v>
                </c:pt>
                <c:pt idx="9448">
                  <c:v>0.52287531434037826</c:v>
                </c:pt>
                <c:pt idx="9449">
                  <c:v>0.51180812129459918</c:v>
                </c:pt>
                <c:pt idx="9450">
                  <c:v>0.50763192302088234</c:v>
                </c:pt>
                <c:pt idx="9451">
                  <c:v>0.52681002487350159</c:v>
                </c:pt>
                <c:pt idx="9452">
                  <c:v>0.52792298294936923</c:v>
                </c:pt>
                <c:pt idx="9453">
                  <c:v>0.48770033115130024</c:v>
                </c:pt>
                <c:pt idx="9454">
                  <c:v>0.53682449268189825</c:v>
                </c:pt>
                <c:pt idx="9455">
                  <c:v>0.51754385412925052</c:v>
                </c:pt>
                <c:pt idx="9456">
                  <c:v>0.50640706833346238</c:v>
                </c:pt>
                <c:pt idx="9457">
                  <c:v>0.54300607579750637</c:v>
                </c:pt>
                <c:pt idx="9458">
                  <c:v>0.51705661097240108</c:v>
                </c:pt>
                <c:pt idx="9459">
                  <c:v>0.49347171397744971</c:v>
                </c:pt>
                <c:pt idx="9460">
                  <c:v>0.52146590460594211</c:v>
                </c:pt>
                <c:pt idx="9461">
                  <c:v>0.51094493990569112</c:v>
                </c:pt>
                <c:pt idx="9462">
                  <c:v>0.52106299135923617</c:v>
                </c:pt>
                <c:pt idx="9463">
                  <c:v>0.50786558251977776</c:v>
                </c:pt>
                <c:pt idx="9464">
                  <c:v>0.50525880973706561</c:v>
                </c:pt>
                <c:pt idx="9465">
                  <c:v>0.49496743903388973</c:v>
                </c:pt>
                <c:pt idx="9466">
                  <c:v>0.49777611180568365</c:v>
                </c:pt>
                <c:pt idx="9467">
                  <c:v>0.50642466019504873</c:v>
                </c:pt>
                <c:pt idx="9468">
                  <c:v>0.50106255023923718</c:v>
                </c:pt>
                <c:pt idx="9469">
                  <c:v>0.50540830669156678</c:v>
                </c:pt>
                <c:pt idx="9470">
                  <c:v>0.50239775631454608</c:v>
                </c:pt>
                <c:pt idx="9471">
                  <c:v>0.47398331483962414</c:v>
                </c:pt>
                <c:pt idx="9472">
                  <c:v>0.49239073233092023</c:v>
                </c:pt>
                <c:pt idx="9473">
                  <c:v>0.49561467923053459</c:v>
                </c:pt>
                <c:pt idx="9474">
                  <c:v>0.49480957829486599</c:v>
                </c:pt>
                <c:pt idx="9475">
                  <c:v>0.50417851587658946</c:v>
                </c:pt>
                <c:pt idx="9476">
                  <c:v>0.48567089777901756</c:v>
                </c:pt>
                <c:pt idx="9477">
                  <c:v>0.47646366957984593</c:v>
                </c:pt>
                <c:pt idx="9478">
                  <c:v>0.49203446900159697</c:v>
                </c:pt>
                <c:pt idx="9479">
                  <c:v>0.49166209368007574</c:v>
                </c:pt>
                <c:pt idx="9480">
                  <c:v>0.4922879940519842</c:v>
                </c:pt>
                <c:pt idx="9481">
                  <c:v>0.47625542236532287</c:v>
                </c:pt>
                <c:pt idx="9482">
                  <c:v>0.47636187875156527</c:v>
                </c:pt>
                <c:pt idx="9483">
                  <c:v>0.4519976998556971</c:v>
                </c:pt>
                <c:pt idx="9484">
                  <c:v>0.47001453505753721</c:v>
                </c:pt>
                <c:pt idx="9485">
                  <c:v>0.47956350618709259</c:v>
                </c:pt>
                <c:pt idx="9486">
                  <c:v>0.45909501482169141</c:v>
                </c:pt>
                <c:pt idx="9487">
                  <c:v>0.46716944645832686</c:v>
                </c:pt>
                <c:pt idx="9488">
                  <c:v>0.45720056435349826</c:v>
                </c:pt>
                <c:pt idx="9489">
                  <c:v>0.46563680970727955</c:v>
                </c:pt>
                <c:pt idx="9490">
                  <c:v>0.47442505414554026</c:v>
                </c:pt>
                <c:pt idx="9491">
                  <c:v>0.50994435716274455</c:v>
                </c:pt>
                <c:pt idx="9492">
                  <c:v>0.4201418112434574</c:v>
                </c:pt>
                <c:pt idx="9493">
                  <c:v>0.49494159604517607</c:v>
                </c:pt>
                <c:pt idx="9494">
                  <c:v>0.48268768293178865</c:v>
                </c:pt>
                <c:pt idx="9495">
                  <c:v>0.48792787533741411</c:v>
                </c:pt>
                <c:pt idx="9496">
                  <c:v>0.48477559389579039</c:v>
                </c:pt>
                <c:pt idx="9497">
                  <c:v>0.47251671694866348</c:v>
                </c:pt>
                <c:pt idx="9498">
                  <c:v>0.46994419012056565</c:v>
                </c:pt>
                <c:pt idx="9499">
                  <c:v>0.46924276683924732</c:v>
                </c:pt>
                <c:pt idx="9500">
                  <c:v>0.46233314839863526</c:v>
                </c:pt>
                <c:pt idx="9501">
                  <c:v>0.47562165559405506</c:v>
                </c:pt>
                <c:pt idx="9502">
                  <c:v>0.48755040605915184</c:v>
                </c:pt>
                <c:pt idx="9503">
                  <c:v>0.48323843767633728</c:v>
                </c:pt>
                <c:pt idx="9504">
                  <c:v>0.48700679402551394</c:v>
                </c:pt>
                <c:pt idx="9505">
                  <c:v>0.4782961677689675</c:v>
                </c:pt>
                <c:pt idx="9506">
                  <c:v>0.49810742191971857</c:v>
                </c:pt>
                <c:pt idx="9507">
                  <c:v>0.48518759756181662</c:v>
                </c:pt>
                <c:pt idx="9508">
                  <c:v>0.48315606885138085</c:v>
                </c:pt>
                <c:pt idx="9509">
                  <c:v>0.48469749945696355</c:v>
                </c:pt>
                <c:pt idx="9510">
                  <c:v>0.5058204454918217</c:v>
                </c:pt>
                <c:pt idx="9511">
                  <c:v>0.4799038217273664</c:v>
                </c:pt>
                <c:pt idx="9512">
                  <c:v>0.49555946127625328</c:v>
                </c:pt>
                <c:pt idx="9513">
                  <c:v>0.48248154165799984</c:v>
                </c:pt>
                <c:pt idx="9514">
                  <c:v>0.47241970401712119</c:v>
                </c:pt>
                <c:pt idx="9515">
                  <c:v>0.49218467214444256</c:v>
                </c:pt>
                <c:pt idx="9516">
                  <c:v>0.49863594591478688</c:v>
                </c:pt>
                <c:pt idx="9517">
                  <c:v>0.48896605868518761</c:v>
                </c:pt>
                <c:pt idx="9518">
                  <c:v>0.4960586648951949</c:v>
                </c:pt>
                <c:pt idx="9519">
                  <c:v>0.48770725386863112</c:v>
                </c:pt>
                <c:pt idx="9520">
                  <c:v>0.49625735463867959</c:v>
                </c:pt>
                <c:pt idx="9521">
                  <c:v>0.49118710038154351</c:v>
                </c:pt>
                <c:pt idx="9522">
                  <c:v>0.5007089453531185</c:v>
                </c:pt>
                <c:pt idx="9523">
                  <c:v>0.50133660150788084</c:v>
                </c:pt>
                <c:pt idx="9524">
                  <c:v>0.51723655340273544</c:v>
                </c:pt>
                <c:pt idx="9525">
                  <c:v>0.504632588382536</c:v>
                </c:pt>
                <c:pt idx="9526">
                  <c:v>0.51000945238958117</c:v>
                </c:pt>
                <c:pt idx="9527">
                  <c:v>0.51468120798030104</c:v>
                </c:pt>
                <c:pt idx="9528">
                  <c:v>0.49721046557426757</c:v>
                </c:pt>
                <c:pt idx="9529">
                  <c:v>0.50585825048521038</c:v>
                </c:pt>
                <c:pt idx="9530">
                  <c:v>0.47779230005723605</c:v>
                </c:pt>
                <c:pt idx="9531">
                  <c:v>0.46374715498153696</c:v>
                </c:pt>
                <c:pt idx="9532">
                  <c:v>0.46297178594521154</c:v>
                </c:pt>
                <c:pt idx="9533">
                  <c:v>0.47555802461854996</c:v>
                </c:pt>
                <c:pt idx="9534">
                  <c:v>0.47984786425752268</c:v>
                </c:pt>
                <c:pt idx="9535">
                  <c:v>0.47900345585842002</c:v>
                </c:pt>
                <c:pt idx="9536">
                  <c:v>0.50138506634295532</c:v>
                </c:pt>
                <c:pt idx="9537">
                  <c:v>0.48518347661725464</c:v>
                </c:pt>
                <c:pt idx="9538">
                  <c:v>0.48976785399734096</c:v>
                </c:pt>
                <c:pt idx="9539">
                  <c:v>0.48896281866505625</c:v>
                </c:pt>
                <c:pt idx="9540">
                  <c:v>0.49711757116760119</c:v>
                </c:pt>
                <c:pt idx="9541">
                  <c:v>0.48107726616673729</c:v>
                </c:pt>
                <c:pt idx="9542">
                  <c:v>0.48066938369352591</c:v>
                </c:pt>
                <c:pt idx="9543">
                  <c:v>0.48766811787232656</c:v>
                </c:pt>
                <c:pt idx="9544">
                  <c:v>0.51427075180436621</c:v>
                </c:pt>
                <c:pt idx="9545">
                  <c:v>0.5187256397332467</c:v>
                </c:pt>
                <c:pt idx="9546">
                  <c:v>0.53303727872015583</c:v>
                </c:pt>
                <c:pt idx="9547">
                  <c:v>0.51883888112573673</c:v>
                </c:pt>
                <c:pt idx="9548">
                  <c:v>0.52519205327574203</c:v>
                </c:pt>
                <c:pt idx="9549">
                  <c:v>0.49633021247527781</c:v>
                </c:pt>
                <c:pt idx="9550">
                  <c:v>0.51890397169704494</c:v>
                </c:pt>
                <c:pt idx="9551">
                  <c:v>0.52542306184577647</c:v>
                </c:pt>
                <c:pt idx="9552">
                  <c:v>0.51938481359859578</c:v>
                </c:pt>
                <c:pt idx="9553">
                  <c:v>0.51374150136172303</c:v>
                </c:pt>
                <c:pt idx="9554">
                  <c:v>0.51633556569828842</c:v>
                </c:pt>
                <c:pt idx="9555">
                  <c:v>0.52116542246603847</c:v>
                </c:pt>
                <c:pt idx="9556">
                  <c:v>0.52269730257829961</c:v>
                </c:pt>
                <c:pt idx="9557">
                  <c:v>0.52734293976166369</c:v>
                </c:pt>
                <c:pt idx="9558">
                  <c:v>0.54893848106843113</c:v>
                </c:pt>
                <c:pt idx="9559">
                  <c:v>0.54260262279030069</c:v>
                </c:pt>
                <c:pt idx="9560">
                  <c:v>0.52412793225641374</c:v>
                </c:pt>
                <c:pt idx="9561">
                  <c:v>0.51314938649804165</c:v>
                </c:pt>
                <c:pt idx="9562">
                  <c:v>0.54440765390072432</c:v>
                </c:pt>
                <c:pt idx="9563">
                  <c:v>0.55545878854282127</c:v>
                </c:pt>
                <c:pt idx="9564">
                  <c:v>0.57307557980058965</c:v>
                </c:pt>
                <c:pt idx="9565">
                  <c:v>0.53678108766161348</c:v>
                </c:pt>
                <c:pt idx="9566">
                  <c:v>0.54299935879742089</c:v>
                </c:pt>
                <c:pt idx="9567">
                  <c:v>0.52744570549105918</c:v>
                </c:pt>
                <c:pt idx="9568">
                  <c:v>0.53326847793514476</c:v>
                </c:pt>
                <c:pt idx="9569">
                  <c:v>0.5494814586831509</c:v>
                </c:pt>
                <c:pt idx="9570">
                  <c:v>0.54744190587465724</c:v>
                </c:pt>
                <c:pt idx="9571">
                  <c:v>0.52185917228363243</c:v>
                </c:pt>
                <c:pt idx="9572">
                  <c:v>0.52737053545734258</c:v>
                </c:pt>
                <c:pt idx="9573">
                  <c:v>0.53725666586866216</c:v>
                </c:pt>
                <c:pt idx="9574">
                  <c:v>0.5237536183085223</c:v>
                </c:pt>
                <c:pt idx="9575">
                  <c:v>0.55312076569570434</c:v>
                </c:pt>
                <c:pt idx="9576">
                  <c:v>0.5529564335973941</c:v>
                </c:pt>
                <c:pt idx="9577">
                  <c:v>0.52223720959361519</c:v>
                </c:pt>
                <c:pt idx="9578">
                  <c:v>0.52306028585480824</c:v>
                </c:pt>
                <c:pt idx="9579">
                  <c:v>0.56098897750962506</c:v>
                </c:pt>
                <c:pt idx="9580">
                  <c:v>0.52873986273931683</c:v>
                </c:pt>
                <c:pt idx="9581">
                  <c:v>0.52155647919102388</c:v>
                </c:pt>
                <c:pt idx="9582">
                  <c:v>0.53370204213266292</c:v>
                </c:pt>
                <c:pt idx="9583">
                  <c:v>0.51629892642643527</c:v>
                </c:pt>
                <c:pt idx="9584">
                  <c:v>0.52114815607973553</c:v>
                </c:pt>
                <c:pt idx="9585">
                  <c:v>0.55723354627380817</c:v>
                </c:pt>
                <c:pt idx="9586">
                  <c:v>0.55711278934056063</c:v>
                </c:pt>
                <c:pt idx="9587">
                  <c:v>0.51065584838775269</c:v>
                </c:pt>
                <c:pt idx="9588">
                  <c:v>0.54907980888307306</c:v>
                </c:pt>
                <c:pt idx="9589">
                  <c:v>0.52285003746628</c:v>
                </c:pt>
                <c:pt idx="9590">
                  <c:v>0.58800028606045374</c:v>
                </c:pt>
                <c:pt idx="9591">
                  <c:v>0.58732857268943739</c:v>
                </c:pt>
                <c:pt idx="9592">
                  <c:v>0.49178149566497664</c:v>
                </c:pt>
                <c:pt idx="9593">
                  <c:v>0.54490579642300052</c:v>
                </c:pt>
                <c:pt idx="9594">
                  <c:v>0.54187129612283869</c:v>
                </c:pt>
                <c:pt idx="9595">
                  <c:v>0.53473614283367066</c:v>
                </c:pt>
                <c:pt idx="9596">
                  <c:v>0.54085869110879525</c:v>
                </c:pt>
                <c:pt idx="9597">
                  <c:v>0.56260877313265945</c:v>
                </c:pt>
                <c:pt idx="9598">
                  <c:v>0.52976980299791954</c:v>
                </c:pt>
                <c:pt idx="9599">
                  <c:v>0.55097066770081049</c:v>
                </c:pt>
                <c:pt idx="9600">
                  <c:v>0.57207427711820658</c:v>
                </c:pt>
                <c:pt idx="9601">
                  <c:v>0.52969131465249408</c:v>
                </c:pt>
                <c:pt idx="9602">
                  <c:v>0.55526244812350067</c:v>
                </c:pt>
                <c:pt idx="9603">
                  <c:v>0.57607354872217253</c:v>
                </c:pt>
                <c:pt idx="9604">
                  <c:v>0.5227689851959898</c:v>
                </c:pt>
                <c:pt idx="9605">
                  <c:v>0.53111804726708334</c:v>
                </c:pt>
                <c:pt idx="9606">
                  <c:v>0.53993267131998202</c:v>
                </c:pt>
                <c:pt idx="9607">
                  <c:v>0.533657434241816</c:v>
                </c:pt>
                <c:pt idx="9608">
                  <c:v>0.53500065055668899</c:v>
                </c:pt>
                <c:pt idx="9609">
                  <c:v>0.52223420852145375</c:v>
                </c:pt>
                <c:pt idx="9610">
                  <c:v>0.50777939136848671</c:v>
                </c:pt>
                <c:pt idx="9611">
                  <c:v>0.51142035678655495</c:v>
                </c:pt>
                <c:pt idx="9612">
                  <c:v>0.51792026170215955</c:v>
                </c:pt>
                <c:pt idx="9613">
                  <c:v>0.5226296494017989</c:v>
                </c:pt>
                <c:pt idx="9614">
                  <c:v>0.50288520921168911</c:v>
                </c:pt>
                <c:pt idx="9615">
                  <c:v>0.52777575808289756</c:v>
                </c:pt>
                <c:pt idx="9616">
                  <c:v>0.50580838514206916</c:v>
                </c:pt>
                <c:pt idx="9617">
                  <c:v>0.49746651348400778</c:v>
                </c:pt>
                <c:pt idx="9618">
                  <c:v>0.50283677506285474</c:v>
                </c:pt>
                <c:pt idx="9619">
                  <c:v>0.50464699129717228</c:v>
                </c:pt>
                <c:pt idx="9620">
                  <c:v>0.49459451188993081</c:v>
                </c:pt>
                <c:pt idx="9621">
                  <c:v>0.49730375468928129</c:v>
                </c:pt>
                <c:pt idx="9622">
                  <c:v>0.47587869954840206</c:v>
                </c:pt>
                <c:pt idx="9623">
                  <c:v>0.49624405607188471</c:v>
                </c:pt>
                <c:pt idx="9624">
                  <c:v>0.48852124551782405</c:v>
                </c:pt>
                <c:pt idx="9625">
                  <c:v>0.48543634492182131</c:v>
                </c:pt>
                <c:pt idx="9626">
                  <c:v>0.47734312251751926</c:v>
                </c:pt>
                <c:pt idx="9627">
                  <c:v>0.48343466092268578</c:v>
                </c:pt>
                <c:pt idx="9628">
                  <c:v>0.45645683066493842</c:v>
                </c:pt>
                <c:pt idx="9629">
                  <c:v>0.46265670043961982</c:v>
                </c:pt>
                <c:pt idx="9630">
                  <c:v>0.47524801716437254</c:v>
                </c:pt>
                <c:pt idx="9631">
                  <c:v>0.46558180792960435</c:v>
                </c:pt>
                <c:pt idx="9632">
                  <c:v>0.45289760468444412</c:v>
                </c:pt>
                <c:pt idx="9633">
                  <c:v>0.48298100106371855</c:v>
                </c:pt>
                <c:pt idx="9634">
                  <c:v>0.45607741993725393</c:v>
                </c:pt>
                <c:pt idx="9635">
                  <c:v>0.44918378127953507</c:v>
                </c:pt>
                <c:pt idx="9636">
                  <c:v>0.47887515339003983</c:v>
                </c:pt>
                <c:pt idx="9637">
                  <c:v>0.4889993027127314</c:v>
                </c:pt>
                <c:pt idx="9638">
                  <c:v>0.39885575132928602</c:v>
                </c:pt>
                <c:pt idx="9639">
                  <c:v>0.4708930335928298</c:v>
                </c:pt>
                <c:pt idx="9640">
                  <c:v>0.45628220316686663</c:v>
                </c:pt>
                <c:pt idx="9641">
                  <c:v>0.47321667451146376</c:v>
                </c:pt>
                <c:pt idx="9642">
                  <c:v>0.45605477847453141</c:v>
                </c:pt>
                <c:pt idx="9643">
                  <c:v>0.4539892958097006</c:v>
                </c:pt>
                <c:pt idx="9644">
                  <c:v>0.4552819821130954</c:v>
                </c:pt>
                <c:pt idx="9645">
                  <c:v>0.45960897784570481</c:v>
                </c:pt>
                <c:pt idx="9646">
                  <c:v>0.46092954960452354</c:v>
                </c:pt>
                <c:pt idx="9647">
                  <c:v>0.46740563425402715</c:v>
                </c:pt>
                <c:pt idx="9648">
                  <c:v>0.47400810261339776</c:v>
                </c:pt>
                <c:pt idx="9649">
                  <c:v>0.46499687179916632</c:v>
                </c:pt>
                <c:pt idx="9650">
                  <c:v>0.4562727864718274</c:v>
                </c:pt>
                <c:pt idx="9651">
                  <c:v>0.46897645379434333</c:v>
                </c:pt>
                <c:pt idx="9652">
                  <c:v>0.45571303777910449</c:v>
                </c:pt>
                <c:pt idx="9653">
                  <c:v>0.47024932812052345</c:v>
                </c:pt>
                <c:pt idx="9654">
                  <c:v>0.45747510374285039</c:v>
                </c:pt>
                <c:pt idx="9655">
                  <c:v>0.4739614420995592</c:v>
                </c:pt>
                <c:pt idx="9656">
                  <c:v>0.46453544847439365</c:v>
                </c:pt>
                <c:pt idx="9657">
                  <c:v>0.46719329318739011</c:v>
                </c:pt>
                <c:pt idx="9658">
                  <c:v>0.46639438182818865</c:v>
                </c:pt>
                <c:pt idx="9659">
                  <c:v>0.46244322207302607</c:v>
                </c:pt>
                <c:pt idx="9660">
                  <c:v>0.4523532571308771</c:v>
                </c:pt>
                <c:pt idx="9661">
                  <c:v>0.46943200640594612</c:v>
                </c:pt>
                <c:pt idx="9662">
                  <c:v>0.46333595891695434</c:v>
                </c:pt>
                <c:pt idx="9663">
                  <c:v>0.46933105942174297</c:v>
                </c:pt>
                <c:pt idx="9664">
                  <c:v>0.4759345900999854</c:v>
                </c:pt>
                <c:pt idx="9665">
                  <c:v>0.46443484732671708</c:v>
                </c:pt>
                <c:pt idx="9666">
                  <c:v>0.46347700136052861</c:v>
                </c:pt>
                <c:pt idx="9667">
                  <c:v>0.45263256171459743</c:v>
                </c:pt>
                <c:pt idx="9668">
                  <c:v>0.45775249704648685</c:v>
                </c:pt>
                <c:pt idx="9669">
                  <c:v>0.47038637917084658</c:v>
                </c:pt>
                <c:pt idx="9670">
                  <c:v>0.4625149421491927</c:v>
                </c:pt>
                <c:pt idx="9671">
                  <c:v>0.46632508051562072</c:v>
                </c:pt>
                <c:pt idx="9672">
                  <c:v>0.4711737312638456</c:v>
                </c:pt>
                <c:pt idx="9673">
                  <c:v>0.49154966063365646</c:v>
                </c:pt>
                <c:pt idx="9674">
                  <c:v>0.48339456723371627</c:v>
                </c:pt>
                <c:pt idx="9675">
                  <c:v>0.47232369402130375</c:v>
                </c:pt>
                <c:pt idx="9676">
                  <c:v>0.45803062090888813</c:v>
                </c:pt>
                <c:pt idx="9677">
                  <c:v>0.4552780240960867</c:v>
                </c:pt>
                <c:pt idx="9678">
                  <c:v>0.45107164036408259</c:v>
                </c:pt>
                <c:pt idx="9679">
                  <c:v>0.46589314501314549</c:v>
                </c:pt>
                <c:pt idx="9680">
                  <c:v>0.47741358126524774</c:v>
                </c:pt>
                <c:pt idx="9681">
                  <c:v>0.49155036080495623</c:v>
                </c:pt>
                <c:pt idx="9682">
                  <c:v>0.47400970647943813</c:v>
                </c:pt>
                <c:pt idx="9683">
                  <c:v>0.47874450541647162</c:v>
                </c:pt>
                <c:pt idx="9684">
                  <c:v>0.46218439229741376</c:v>
                </c:pt>
                <c:pt idx="9685">
                  <c:v>0.49531616895243696</c:v>
                </c:pt>
                <c:pt idx="9686">
                  <c:v>0.49192311172849085</c:v>
                </c:pt>
                <c:pt idx="9687">
                  <c:v>0.48162748680478312</c:v>
                </c:pt>
                <c:pt idx="9688">
                  <c:v>0.47737278313714643</c:v>
                </c:pt>
                <c:pt idx="9689">
                  <c:v>0.49317019195377704</c:v>
                </c:pt>
                <c:pt idx="9690">
                  <c:v>0.53050718255695861</c:v>
                </c:pt>
                <c:pt idx="9691">
                  <c:v>0.51822879118163467</c:v>
                </c:pt>
                <c:pt idx="9692">
                  <c:v>0.53212221806297133</c:v>
                </c:pt>
                <c:pt idx="9693">
                  <c:v>0.54196731480258198</c:v>
                </c:pt>
                <c:pt idx="9694">
                  <c:v>0.5218154208970307</c:v>
                </c:pt>
                <c:pt idx="9695">
                  <c:v>0.52227804821000456</c:v>
                </c:pt>
                <c:pt idx="9696">
                  <c:v>0.53159309593375315</c:v>
                </c:pt>
                <c:pt idx="9697">
                  <c:v>0.55628066485690086</c:v>
                </c:pt>
                <c:pt idx="9698">
                  <c:v>0.52655817901432134</c:v>
                </c:pt>
                <c:pt idx="9699">
                  <c:v>0.52271281309318463</c:v>
                </c:pt>
                <c:pt idx="9700">
                  <c:v>0.5325803716267361</c:v>
                </c:pt>
                <c:pt idx="9701">
                  <c:v>0.5396185025231186</c:v>
                </c:pt>
                <c:pt idx="9702">
                  <c:v>0.55378936421509606</c:v>
                </c:pt>
                <c:pt idx="9703">
                  <c:v>0.5474602509500649</c:v>
                </c:pt>
                <c:pt idx="9704">
                  <c:v>0.57237908391208259</c:v>
                </c:pt>
                <c:pt idx="9705">
                  <c:v>0.56047370883256331</c:v>
                </c:pt>
                <c:pt idx="9706">
                  <c:v>0.53142181633763808</c:v>
                </c:pt>
                <c:pt idx="9707">
                  <c:v>0.55305732531676732</c:v>
                </c:pt>
                <c:pt idx="9708">
                  <c:v>0.56518560504641469</c:v>
                </c:pt>
                <c:pt idx="9709">
                  <c:v>0.57615215474689774</c:v>
                </c:pt>
                <c:pt idx="9710">
                  <c:v>0.55743296849928881</c:v>
                </c:pt>
                <c:pt idx="9711">
                  <c:v>0.5873111627948453</c:v>
                </c:pt>
                <c:pt idx="9712">
                  <c:v>0.5343212498001948</c:v>
                </c:pt>
                <c:pt idx="9713">
                  <c:v>0.54494431051351355</c:v>
                </c:pt>
                <c:pt idx="9714">
                  <c:v>0.57170079786862782</c:v>
                </c:pt>
                <c:pt idx="9715">
                  <c:v>0.54666331149209524</c:v>
                </c:pt>
                <c:pt idx="9716">
                  <c:v>0.53823481168600706</c:v>
                </c:pt>
                <c:pt idx="9717">
                  <c:v>0.57900539840835796</c:v>
                </c:pt>
                <c:pt idx="9718">
                  <c:v>0.53587085478357288</c:v>
                </c:pt>
                <c:pt idx="9719">
                  <c:v>0.53714686628355512</c:v>
                </c:pt>
                <c:pt idx="9720">
                  <c:v>0.5502032733538309</c:v>
                </c:pt>
                <c:pt idx="9721">
                  <c:v>0.55864642118546104</c:v>
                </c:pt>
                <c:pt idx="9722">
                  <c:v>0.53422568326954922</c:v>
                </c:pt>
                <c:pt idx="9723">
                  <c:v>0.57173211775179944</c:v>
                </c:pt>
                <c:pt idx="9724">
                  <c:v>0.54543812743149844</c:v>
                </c:pt>
                <c:pt idx="9725">
                  <c:v>0.53373254061731668</c:v>
                </c:pt>
                <c:pt idx="9726">
                  <c:v>0.5659048160838942</c:v>
                </c:pt>
                <c:pt idx="9727">
                  <c:v>0.57334709167371822</c:v>
                </c:pt>
                <c:pt idx="9728">
                  <c:v>0.52662238128961281</c:v>
                </c:pt>
                <c:pt idx="9729">
                  <c:v>0.53819632680320018</c:v>
                </c:pt>
                <c:pt idx="9730">
                  <c:v>0.54967577482274022</c:v>
                </c:pt>
                <c:pt idx="9731">
                  <c:v>0.53901019650873427</c:v>
                </c:pt>
                <c:pt idx="9732">
                  <c:v>0.53437200700224852</c:v>
                </c:pt>
                <c:pt idx="9733">
                  <c:v>0.55339253076822148</c:v>
                </c:pt>
                <c:pt idx="9734">
                  <c:v>0.58688805632617402</c:v>
                </c:pt>
                <c:pt idx="9735">
                  <c:v>0.49992464268399145</c:v>
                </c:pt>
                <c:pt idx="9736">
                  <c:v>0.55770253033884687</c:v>
                </c:pt>
                <c:pt idx="9737">
                  <c:v>0.55166355490659436</c:v>
                </c:pt>
                <c:pt idx="9738">
                  <c:v>0.55261565965039849</c:v>
                </c:pt>
                <c:pt idx="9739">
                  <c:v>0.55169123278356735</c:v>
                </c:pt>
                <c:pt idx="9740">
                  <c:v>0.5356792431419658</c:v>
                </c:pt>
                <c:pt idx="9741">
                  <c:v>0.53573958147082146</c:v>
                </c:pt>
                <c:pt idx="9742">
                  <c:v>0.53724343088035398</c:v>
                </c:pt>
                <c:pt idx="9743">
                  <c:v>0.54774628462069674</c:v>
                </c:pt>
                <c:pt idx="9744">
                  <c:v>0.55405804359112021</c:v>
                </c:pt>
                <c:pt idx="9745">
                  <c:v>0.54064000320132055</c:v>
                </c:pt>
                <c:pt idx="9746">
                  <c:v>0.51379339109900179</c:v>
                </c:pt>
                <c:pt idx="9747">
                  <c:v>0.54408392682947881</c:v>
                </c:pt>
                <c:pt idx="9748">
                  <c:v>0.55484214578001756</c:v>
                </c:pt>
                <c:pt idx="9749">
                  <c:v>0.54050791188432001</c:v>
                </c:pt>
                <c:pt idx="9750">
                  <c:v>0.53654240872927517</c:v>
                </c:pt>
                <c:pt idx="9751">
                  <c:v>0.56139383737477033</c:v>
                </c:pt>
                <c:pt idx="9752">
                  <c:v>0.53079705063635985</c:v>
                </c:pt>
                <c:pt idx="9753">
                  <c:v>0.52673009577782082</c:v>
                </c:pt>
                <c:pt idx="9754">
                  <c:v>0.52783166561587813</c:v>
                </c:pt>
                <c:pt idx="9755">
                  <c:v>0.54650293358614721</c:v>
                </c:pt>
                <c:pt idx="9756">
                  <c:v>0.54923960602856603</c:v>
                </c:pt>
                <c:pt idx="9757">
                  <c:v>0.55598257332633905</c:v>
                </c:pt>
                <c:pt idx="9758">
                  <c:v>0.52437703609736319</c:v>
                </c:pt>
                <c:pt idx="9759">
                  <c:v>0.53745665416198929</c:v>
                </c:pt>
                <c:pt idx="9760">
                  <c:v>0.54064575626608724</c:v>
                </c:pt>
                <c:pt idx="9761">
                  <c:v>0.52196402706905864</c:v>
                </c:pt>
                <c:pt idx="9762">
                  <c:v>0.52950760673868547</c:v>
                </c:pt>
                <c:pt idx="9763">
                  <c:v>0.52297484401624972</c:v>
                </c:pt>
                <c:pt idx="9764">
                  <c:v>0.48872552714402612</c:v>
                </c:pt>
                <c:pt idx="9765">
                  <c:v>0.51377596216078869</c:v>
                </c:pt>
                <c:pt idx="9766">
                  <c:v>0.52386880619763998</c:v>
                </c:pt>
                <c:pt idx="9767">
                  <c:v>0.5328911411145385</c:v>
                </c:pt>
                <c:pt idx="9768">
                  <c:v>0.52140969442710206</c:v>
                </c:pt>
                <c:pt idx="9769">
                  <c:v>0.52632053511046872</c:v>
                </c:pt>
                <c:pt idx="9770">
                  <c:v>0.50449519317820135</c:v>
                </c:pt>
                <c:pt idx="9771">
                  <c:v>0.50705938480211576</c:v>
                </c:pt>
                <c:pt idx="9772">
                  <c:v>0.5416889268908246</c:v>
                </c:pt>
                <c:pt idx="9773">
                  <c:v>0.52751299935433482</c:v>
                </c:pt>
                <c:pt idx="9774">
                  <c:v>0.53695669984797045</c:v>
                </c:pt>
                <c:pt idx="9775">
                  <c:v>0.50139916667758522</c:v>
                </c:pt>
                <c:pt idx="9776">
                  <c:v>0.49296505966949755</c:v>
                </c:pt>
                <c:pt idx="9777">
                  <c:v>0.50885037249207565</c:v>
                </c:pt>
                <c:pt idx="9778">
                  <c:v>0.50661393060681525</c:v>
                </c:pt>
                <c:pt idx="9779">
                  <c:v>0.5039152355558949</c:v>
                </c:pt>
                <c:pt idx="9780">
                  <c:v>0.51380243790567059</c:v>
                </c:pt>
                <c:pt idx="9781">
                  <c:v>0.49530728405213803</c:v>
                </c:pt>
                <c:pt idx="9782">
                  <c:v>0.49112192512474306</c:v>
                </c:pt>
                <c:pt idx="9783">
                  <c:v>0.50896541081270719</c:v>
                </c:pt>
                <c:pt idx="9784">
                  <c:v>0.49601001778058534</c:v>
                </c:pt>
                <c:pt idx="9785">
                  <c:v>0.51806203858728439</c:v>
                </c:pt>
                <c:pt idx="9786">
                  <c:v>0.50901451145965337</c:v>
                </c:pt>
                <c:pt idx="9787">
                  <c:v>0.49807583348065609</c:v>
                </c:pt>
                <c:pt idx="9788">
                  <c:v>0.48884531638521816</c:v>
                </c:pt>
                <c:pt idx="9789">
                  <c:v>0.51670297789852426</c:v>
                </c:pt>
                <c:pt idx="9790">
                  <c:v>0.51525400232746832</c:v>
                </c:pt>
                <c:pt idx="9791">
                  <c:v>0.53036159965139129</c:v>
                </c:pt>
                <c:pt idx="9792">
                  <c:v>0.51525585866701362</c:v>
                </c:pt>
                <c:pt idx="9793">
                  <c:v>0.51519605402480451</c:v>
                </c:pt>
                <c:pt idx="9794">
                  <c:v>0.50908875723623404</c:v>
                </c:pt>
                <c:pt idx="9795">
                  <c:v>0.49960158965735091</c:v>
                </c:pt>
                <c:pt idx="9796">
                  <c:v>0.50055466698896778</c:v>
                </c:pt>
                <c:pt idx="9797">
                  <c:v>0.50795323985339069</c:v>
                </c:pt>
                <c:pt idx="9798">
                  <c:v>0.48250055878479003</c:v>
                </c:pt>
                <c:pt idx="9799">
                  <c:v>0.49504329182886486</c:v>
                </c:pt>
                <c:pt idx="9800">
                  <c:v>0.50084672102514238</c:v>
                </c:pt>
                <c:pt idx="9801">
                  <c:v>0.47872344809194789</c:v>
                </c:pt>
                <c:pt idx="9802">
                  <c:v>0.50426705648724446</c:v>
                </c:pt>
                <c:pt idx="9803">
                  <c:v>0.5056130692591152</c:v>
                </c:pt>
                <c:pt idx="9804">
                  <c:v>0.48259591783264061</c:v>
                </c:pt>
                <c:pt idx="9805">
                  <c:v>0.50514767112434233</c:v>
                </c:pt>
                <c:pt idx="9806">
                  <c:v>0.48809460887478673</c:v>
                </c:pt>
                <c:pt idx="9807">
                  <c:v>0.50205275525683013</c:v>
                </c:pt>
                <c:pt idx="9808">
                  <c:v>0.51455040888752646</c:v>
                </c:pt>
                <c:pt idx="9809">
                  <c:v>0.51379152849776422</c:v>
                </c:pt>
                <c:pt idx="9810">
                  <c:v>0.53298751089373075</c:v>
                </c:pt>
                <c:pt idx="9811">
                  <c:v>0.52347865600982924</c:v>
                </c:pt>
                <c:pt idx="9812">
                  <c:v>0.50475975232624393</c:v>
                </c:pt>
                <c:pt idx="9813">
                  <c:v>0.51087328779651253</c:v>
                </c:pt>
                <c:pt idx="9814">
                  <c:v>0.50622366457268508</c:v>
                </c:pt>
                <c:pt idx="9815">
                  <c:v>0.49990513715352597</c:v>
                </c:pt>
                <c:pt idx="9816">
                  <c:v>0.51841548863709386</c:v>
                </c:pt>
                <c:pt idx="9817">
                  <c:v>0.5298235311207018</c:v>
                </c:pt>
                <c:pt idx="9818">
                  <c:v>0.51373045736105327</c:v>
                </c:pt>
                <c:pt idx="9819">
                  <c:v>0.50689545130954639</c:v>
                </c:pt>
                <c:pt idx="9820">
                  <c:v>0.51423619733846515</c:v>
                </c:pt>
                <c:pt idx="9821">
                  <c:v>0.51073745116760205</c:v>
                </c:pt>
                <c:pt idx="9822">
                  <c:v>0.50904544874244406</c:v>
                </c:pt>
                <c:pt idx="9823">
                  <c:v>0.51580392726506874</c:v>
                </c:pt>
                <c:pt idx="9824">
                  <c:v>0.50860499015816873</c:v>
                </c:pt>
                <c:pt idx="9825">
                  <c:v>0.50719205399223843</c:v>
                </c:pt>
                <c:pt idx="9826">
                  <c:v>0.50534238243581009</c:v>
                </c:pt>
                <c:pt idx="9827">
                  <c:v>0.50497269570528436</c:v>
                </c:pt>
                <c:pt idx="9828">
                  <c:v>0.53207783027213496</c:v>
                </c:pt>
                <c:pt idx="9829">
                  <c:v>0.52482734608091086</c:v>
                </c:pt>
                <c:pt idx="9830">
                  <c:v>0.49598742481741526</c:v>
                </c:pt>
                <c:pt idx="9831">
                  <c:v>0.50240431209671155</c:v>
                </c:pt>
                <c:pt idx="9832">
                  <c:v>0.50713828867511235</c:v>
                </c:pt>
                <c:pt idx="9833">
                  <c:v>0.53489268698684667</c:v>
                </c:pt>
                <c:pt idx="9834">
                  <c:v>0.50488280504933125</c:v>
                </c:pt>
                <c:pt idx="9835">
                  <c:v>0.51000904976868155</c:v>
                </c:pt>
                <c:pt idx="9836">
                  <c:v>0.50179761983577975</c:v>
                </c:pt>
                <c:pt idx="9837">
                  <c:v>0.52683610517547774</c:v>
                </c:pt>
                <c:pt idx="9838">
                  <c:v>0.53634490404521673</c:v>
                </c:pt>
                <c:pt idx="9839">
                  <c:v>0.52798080303879025</c:v>
                </c:pt>
                <c:pt idx="9840">
                  <c:v>0.49720410736443238</c:v>
                </c:pt>
                <c:pt idx="9841">
                  <c:v>0.540645005870657</c:v>
                </c:pt>
                <c:pt idx="9842">
                  <c:v>0.53197628251827767</c:v>
                </c:pt>
                <c:pt idx="9843">
                  <c:v>0.51944562010963025</c:v>
                </c:pt>
                <c:pt idx="9844">
                  <c:v>0.52473057531526601</c:v>
                </c:pt>
                <c:pt idx="9845">
                  <c:v>0.53684758137568456</c:v>
                </c:pt>
                <c:pt idx="9846">
                  <c:v>0.52995211822549548</c:v>
                </c:pt>
                <c:pt idx="9847">
                  <c:v>0.53691734466979835</c:v>
                </c:pt>
                <c:pt idx="9848">
                  <c:v>0.50581597371581344</c:v>
                </c:pt>
                <c:pt idx="9849">
                  <c:v>0.52133203397910799</c:v>
                </c:pt>
                <c:pt idx="9850">
                  <c:v>0.53722704414552214</c:v>
                </c:pt>
                <c:pt idx="9851">
                  <c:v>0.5509585769050912</c:v>
                </c:pt>
                <c:pt idx="9852">
                  <c:v>0.55920616439775017</c:v>
                </c:pt>
                <c:pt idx="9853">
                  <c:v>0.57481391353104938</c:v>
                </c:pt>
                <c:pt idx="9854">
                  <c:v>0.51756456172869902</c:v>
                </c:pt>
                <c:pt idx="9855">
                  <c:v>0.55658228928900355</c:v>
                </c:pt>
                <c:pt idx="9856">
                  <c:v>0.54047338139388867</c:v>
                </c:pt>
                <c:pt idx="9857">
                  <c:v>0.52854610700028437</c:v>
                </c:pt>
                <c:pt idx="9858">
                  <c:v>0.52089758542209108</c:v>
                </c:pt>
                <c:pt idx="9859">
                  <c:v>0.5341306035297082</c:v>
                </c:pt>
                <c:pt idx="9860">
                  <c:v>0.54035675814049933</c:v>
                </c:pt>
                <c:pt idx="9861">
                  <c:v>0.46474983745430887</c:v>
                </c:pt>
                <c:pt idx="9862">
                  <c:v>0.55430740880555907</c:v>
                </c:pt>
                <c:pt idx="9863">
                  <c:v>0.5519681582752346</c:v>
                </c:pt>
                <c:pt idx="9864">
                  <c:v>0.53450103048000552</c:v>
                </c:pt>
                <c:pt idx="9865">
                  <c:v>0.58189757175357804</c:v>
                </c:pt>
                <c:pt idx="9866">
                  <c:v>0.56170742182589983</c:v>
                </c:pt>
                <c:pt idx="9867">
                  <c:v>0.5486339547383281</c:v>
                </c:pt>
                <c:pt idx="9868">
                  <c:v>0.54960766380289794</c:v>
                </c:pt>
                <c:pt idx="9869">
                  <c:v>0.57281144708760323</c:v>
                </c:pt>
                <c:pt idx="9870">
                  <c:v>0.53860891827710267</c:v>
                </c:pt>
                <c:pt idx="9871">
                  <c:v>0.57392806709809829</c:v>
                </c:pt>
                <c:pt idx="9872">
                  <c:v>0.57980085376519475</c:v>
                </c:pt>
                <c:pt idx="9873">
                  <c:v>0.56589372400640636</c:v>
                </c:pt>
                <c:pt idx="9874">
                  <c:v>0.53592105191094064</c:v>
                </c:pt>
                <c:pt idx="9875">
                  <c:v>0.58122864764373772</c:v>
                </c:pt>
                <c:pt idx="9876">
                  <c:v>0.56277638734518443</c:v>
                </c:pt>
                <c:pt idx="9877">
                  <c:v>0.54726506393762087</c:v>
                </c:pt>
                <c:pt idx="9878">
                  <c:v>0.54434937603292488</c:v>
                </c:pt>
                <c:pt idx="9879">
                  <c:v>0.57421455922100972</c:v>
                </c:pt>
                <c:pt idx="9880">
                  <c:v>0.51449701560124816</c:v>
                </c:pt>
                <c:pt idx="9881">
                  <c:v>0.59132377008241621</c:v>
                </c:pt>
                <c:pt idx="9882">
                  <c:v>0.56248498239194833</c:v>
                </c:pt>
                <c:pt idx="9883">
                  <c:v>0.54551864430697272</c:v>
                </c:pt>
                <c:pt idx="9884">
                  <c:v>0.56794283088032105</c:v>
                </c:pt>
                <c:pt idx="9885">
                  <c:v>0.53331783199480021</c:v>
                </c:pt>
                <c:pt idx="9886">
                  <c:v>0.54926584491253938</c:v>
                </c:pt>
                <c:pt idx="9887">
                  <c:v>0.51877667435256603</c:v>
                </c:pt>
                <c:pt idx="9888">
                  <c:v>0.55078206181607736</c:v>
                </c:pt>
                <c:pt idx="9889">
                  <c:v>0.55215259602121491</c:v>
                </c:pt>
                <c:pt idx="9890">
                  <c:v>0.55573078610516313</c:v>
                </c:pt>
                <c:pt idx="9891">
                  <c:v>0.52092232180310982</c:v>
                </c:pt>
                <c:pt idx="9892">
                  <c:v>0.5185398651685903</c:v>
                </c:pt>
                <c:pt idx="9893">
                  <c:v>0.55955737409296769</c:v>
                </c:pt>
                <c:pt idx="9894">
                  <c:v>0.54976408274090061</c:v>
                </c:pt>
                <c:pt idx="9895">
                  <c:v>0.54608060974726302</c:v>
                </c:pt>
                <c:pt idx="9896">
                  <c:v>0.53484110336582502</c:v>
                </c:pt>
                <c:pt idx="9897">
                  <c:v>0.54289684946202121</c:v>
                </c:pt>
                <c:pt idx="9898">
                  <c:v>0.5332551208464148</c:v>
                </c:pt>
                <c:pt idx="9899">
                  <c:v>0.51039660090392869</c:v>
                </c:pt>
                <c:pt idx="9900">
                  <c:v>0.53994169076107912</c:v>
                </c:pt>
                <c:pt idx="9901">
                  <c:v>0.53159092502673722</c:v>
                </c:pt>
                <c:pt idx="9902">
                  <c:v>0.55541781101917609</c:v>
                </c:pt>
                <c:pt idx="9903">
                  <c:v>0.53460338467275759</c:v>
                </c:pt>
                <c:pt idx="9904">
                  <c:v>0.53749961379435285</c:v>
                </c:pt>
                <c:pt idx="9905">
                  <c:v>0.53028232159412314</c:v>
                </c:pt>
                <c:pt idx="9906">
                  <c:v>0.53849392989061495</c:v>
                </c:pt>
                <c:pt idx="9907">
                  <c:v>0.5168302238565945</c:v>
                </c:pt>
                <c:pt idx="9908">
                  <c:v>0.5293216388028209</c:v>
                </c:pt>
                <c:pt idx="9909">
                  <c:v>0.49841987194240056</c:v>
                </c:pt>
                <c:pt idx="9910">
                  <c:v>0.49749193040344131</c:v>
                </c:pt>
                <c:pt idx="9911">
                  <c:v>0.51574181401088692</c:v>
                </c:pt>
                <c:pt idx="9912">
                  <c:v>0.54261445046523105</c:v>
                </c:pt>
                <c:pt idx="9913">
                  <c:v>0.53267795681758079</c:v>
                </c:pt>
                <c:pt idx="9914">
                  <c:v>0.52270577477693037</c:v>
                </c:pt>
                <c:pt idx="9915">
                  <c:v>0.51926396329415569</c:v>
                </c:pt>
                <c:pt idx="9916">
                  <c:v>0.50992824962143068</c:v>
                </c:pt>
                <c:pt idx="9917">
                  <c:v>0.52606310238999099</c:v>
                </c:pt>
                <c:pt idx="9918">
                  <c:v>0.54126314226225414</c:v>
                </c:pt>
                <c:pt idx="9919">
                  <c:v>0.52891040424692504</c:v>
                </c:pt>
                <c:pt idx="9920">
                  <c:v>0.50323950100359716</c:v>
                </c:pt>
                <c:pt idx="9921">
                  <c:v>0.48995468460210273</c:v>
                </c:pt>
                <c:pt idx="9922">
                  <c:v>0.48603837415644308</c:v>
                </c:pt>
                <c:pt idx="9923">
                  <c:v>0.5084431207715624</c:v>
                </c:pt>
                <c:pt idx="9924">
                  <c:v>0.50431859485917951</c:v>
                </c:pt>
                <c:pt idx="9925">
                  <c:v>0.51631360896067779</c:v>
                </c:pt>
                <c:pt idx="9926">
                  <c:v>0.51454084639342901</c:v>
                </c:pt>
                <c:pt idx="9927">
                  <c:v>0.50256435174511971</c:v>
                </c:pt>
                <c:pt idx="9928">
                  <c:v>0.49390285298666092</c:v>
                </c:pt>
                <c:pt idx="9929">
                  <c:v>0.49843324188333471</c:v>
                </c:pt>
                <c:pt idx="9930">
                  <c:v>0.48678074874130189</c:v>
                </c:pt>
                <c:pt idx="9931">
                  <c:v>0.49757576806426923</c:v>
                </c:pt>
                <c:pt idx="9932">
                  <c:v>0.48747111277375854</c:v>
                </c:pt>
                <c:pt idx="9933">
                  <c:v>0.48022734180461085</c:v>
                </c:pt>
                <c:pt idx="9934">
                  <c:v>0.50431451552756801</c:v>
                </c:pt>
                <c:pt idx="9935">
                  <c:v>0.497139414198772</c:v>
                </c:pt>
                <c:pt idx="9936">
                  <c:v>0.5025695397570028</c:v>
                </c:pt>
                <c:pt idx="9937">
                  <c:v>0.50626847367419692</c:v>
                </c:pt>
                <c:pt idx="9938">
                  <c:v>0.49508093545819903</c:v>
                </c:pt>
                <c:pt idx="9939">
                  <c:v>0.50908647087094261</c:v>
                </c:pt>
                <c:pt idx="9940">
                  <c:v>0.49075451817414734</c:v>
                </c:pt>
                <c:pt idx="9941">
                  <c:v>0.48639023567417927</c:v>
                </c:pt>
                <c:pt idx="9942">
                  <c:v>0.49250727939956884</c:v>
                </c:pt>
                <c:pt idx="9943">
                  <c:v>0.48887237008689366</c:v>
                </c:pt>
                <c:pt idx="9944">
                  <c:v>0.47067372243061373</c:v>
                </c:pt>
                <c:pt idx="9945">
                  <c:v>0.46983467658190553</c:v>
                </c:pt>
                <c:pt idx="9946">
                  <c:v>0.46976238840527124</c:v>
                </c:pt>
                <c:pt idx="9947">
                  <c:v>0.48850700284293758</c:v>
                </c:pt>
                <c:pt idx="9948">
                  <c:v>0.4715143766112414</c:v>
                </c:pt>
                <c:pt idx="9949">
                  <c:v>0.47916255593048818</c:v>
                </c:pt>
                <c:pt idx="9950">
                  <c:v>0.47188801624434229</c:v>
                </c:pt>
                <c:pt idx="9951">
                  <c:v>0.48398161988215571</c:v>
                </c:pt>
                <c:pt idx="9952">
                  <c:v>0.47230876373093267</c:v>
                </c:pt>
                <c:pt idx="9953">
                  <c:v>0.48111241052012127</c:v>
                </c:pt>
                <c:pt idx="9954">
                  <c:v>0.4848845328034993</c:v>
                </c:pt>
                <c:pt idx="9955">
                  <c:v>0.51885334654023441</c:v>
                </c:pt>
                <c:pt idx="9956">
                  <c:v>0.50056577686232107</c:v>
                </c:pt>
                <c:pt idx="9957">
                  <c:v>0.49545372288721595</c:v>
                </c:pt>
                <c:pt idx="9958">
                  <c:v>0.47468251593330213</c:v>
                </c:pt>
                <c:pt idx="9959">
                  <c:v>0.47760854917454448</c:v>
                </c:pt>
                <c:pt idx="9960">
                  <c:v>0.49599380086471484</c:v>
                </c:pt>
                <c:pt idx="9961">
                  <c:v>0.48288072655135966</c:v>
                </c:pt>
                <c:pt idx="9962">
                  <c:v>0.49985801806796476</c:v>
                </c:pt>
                <c:pt idx="9963">
                  <c:v>0.50119925509724261</c:v>
                </c:pt>
                <c:pt idx="9964">
                  <c:v>0.48859484872974906</c:v>
                </c:pt>
                <c:pt idx="9965">
                  <c:v>0.5002518478095489</c:v>
                </c:pt>
                <c:pt idx="9966">
                  <c:v>0.48128622566315449</c:v>
                </c:pt>
                <c:pt idx="9967">
                  <c:v>0.49595401834393676</c:v>
                </c:pt>
                <c:pt idx="9968">
                  <c:v>0.50040897790804806</c:v>
                </c:pt>
                <c:pt idx="9969">
                  <c:v>0.49393781027212547</c:v>
                </c:pt>
                <c:pt idx="9970">
                  <c:v>0.48882699781782957</c:v>
                </c:pt>
                <c:pt idx="9971">
                  <c:v>0.47858510781566588</c:v>
                </c:pt>
                <c:pt idx="9972">
                  <c:v>0.49250434514497105</c:v>
                </c:pt>
                <c:pt idx="9973">
                  <c:v>0.49784554089512462</c:v>
                </c:pt>
                <c:pt idx="9974">
                  <c:v>0.51744597427782413</c:v>
                </c:pt>
                <c:pt idx="9975">
                  <c:v>0.5089364859155977</c:v>
                </c:pt>
                <c:pt idx="9976">
                  <c:v>0.48264194574219277</c:v>
                </c:pt>
                <c:pt idx="9977">
                  <c:v>0.46970039649570788</c:v>
                </c:pt>
                <c:pt idx="9978">
                  <c:v>0.51700722268162169</c:v>
                </c:pt>
                <c:pt idx="9979">
                  <c:v>0.49032796443567955</c:v>
                </c:pt>
                <c:pt idx="9980">
                  <c:v>0.49025254759409487</c:v>
                </c:pt>
                <c:pt idx="9981">
                  <c:v>0.49582216937658963</c:v>
                </c:pt>
                <c:pt idx="9982">
                  <c:v>0.48174194486292177</c:v>
                </c:pt>
                <c:pt idx="9983">
                  <c:v>0.52844141464885908</c:v>
                </c:pt>
                <c:pt idx="9984">
                  <c:v>0.51990461178346226</c:v>
                </c:pt>
                <c:pt idx="9985">
                  <c:v>0.50935322191375998</c:v>
                </c:pt>
                <c:pt idx="9986">
                  <c:v>0.49249260792832694</c:v>
                </c:pt>
                <c:pt idx="9987">
                  <c:v>0.53885512978775818</c:v>
                </c:pt>
                <c:pt idx="9988">
                  <c:v>0.54570843685093384</c:v>
                </c:pt>
                <c:pt idx="9989">
                  <c:v>0.53005580631431093</c:v>
                </c:pt>
                <c:pt idx="9990">
                  <c:v>0.53372046855657429</c:v>
                </c:pt>
                <c:pt idx="9991">
                  <c:v>0.54365700731921129</c:v>
                </c:pt>
                <c:pt idx="9992">
                  <c:v>0.53718494000699701</c:v>
                </c:pt>
                <c:pt idx="9993">
                  <c:v>0.51987155224623427</c:v>
                </c:pt>
                <c:pt idx="9994">
                  <c:v>0.52213685815189237</c:v>
                </c:pt>
                <c:pt idx="9995">
                  <c:v>0.51608643707734725</c:v>
                </c:pt>
                <c:pt idx="9996">
                  <c:v>0.55366764567410109</c:v>
                </c:pt>
                <c:pt idx="9997">
                  <c:v>0.56314455480700321</c:v>
                </c:pt>
                <c:pt idx="9998">
                  <c:v>0.57443283336757422</c:v>
                </c:pt>
                <c:pt idx="9999">
                  <c:v>0.56355203809547572</c:v>
                </c:pt>
                <c:pt idx="10000">
                  <c:v>0.55389212489665629</c:v>
                </c:pt>
                <c:pt idx="10001">
                  <c:v>0.54669908002384582</c:v>
                </c:pt>
                <c:pt idx="10002">
                  <c:v>0.55836483802320558</c:v>
                </c:pt>
                <c:pt idx="10003">
                  <c:v>0.51962601956458543</c:v>
                </c:pt>
                <c:pt idx="10004">
                  <c:v>0.54796179310368154</c:v>
                </c:pt>
                <c:pt idx="10005">
                  <c:v>0.53758652791297945</c:v>
                </c:pt>
                <c:pt idx="10006">
                  <c:v>0.55222018733722811</c:v>
                </c:pt>
                <c:pt idx="10007">
                  <c:v>0.54044960880844062</c:v>
                </c:pt>
                <c:pt idx="10008">
                  <c:v>0.54119532271160387</c:v>
                </c:pt>
                <c:pt idx="10009">
                  <c:v>0.54197329967974917</c:v>
                </c:pt>
                <c:pt idx="10010">
                  <c:v>0.5542662012907732</c:v>
                </c:pt>
                <c:pt idx="10011">
                  <c:v>0.55436375981232888</c:v>
                </c:pt>
                <c:pt idx="10012">
                  <c:v>0.55643530218982007</c:v>
                </c:pt>
                <c:pt idx="10013">
                  <c:v>0.54610765769336522</c:v>
                </c:pt>
                <c:pt idx="10014">
                  <c:v>0.52358897400161086</c:v>
                </c:pt>
                <c:pt idx="10015">
                  <c:v>0.56561632995779432</c:v>
                </c:pt>
                <c:pt idx="10016">
                  <c:v>0.54866170358397792</c:v>
                </c:pt>
                <c:pt idx="10017">
                  <c:v>0.56031070175032927</c:v>
                </c:pt>
                <c:pt idx="10018">
                  <c:v>0.51955604817706424</c:v>
                </c:pt>
                <c:pt idx="10019">
                  <c:v>0.53750704626140922</c:v>
                </c:pt>
                <c:pt idx="10020">
                  <c:v>0.56229464922465078</c:v>
                </c:pt>
                <c:pt idx="10021">
                  <c:v>0.57999566340008746</c:v>
                </c:pt>
                <c:pt idx="10022">
                  <c:v>0.55013157412194613</c:v>
                </c:pt>
                <c:pt idx="10023">
                  <c:v>0.53579889966387484</c:v>
                </c:pt>
                <c:pt idx="10024">
                  <c:v>0.52223590478218007</c:v>
                </c:pt>
                <c:pt idx="10025">
                  <c:v>0.56593089315014167</c:v>
                </c:pt>
                <c:pt idx="10026">
                  <c:v>0.5608483692196683</c:v>
                </c:pt>
                <c:pt idx="10027">
                  <c:v>0.58069500089345771</c:v>
                </c:pt>
                <c:pt idx="10028">
                  <c:v>0.55065094224207101</c:v>
                </c:pt>
                <c:pt idx="10029">
                  <c:v>0.52942175566180116</c:v>
                </c:pt>
                <c:pt idx="10030">
                  <c:v>0.54627719388375318</c:v>
                </c:pt>
                <c:pt idx="10031">
                  <c:v>0.56390330859661109</c:v>
                </c:pt>
                <c:pt idx="10032">
                  <c:v>0.54052505099948456</c:v>
                </c:pt>
                <c:pt idx="10033">
                  <c:v>0.54457079033888456</c:v>
                </c:pt>
                <c:pt idx="10034">
                  <c:v>0.53395435264877511</c:v>
                </c:pt>
                <c:pt idx="10035">
                  <c:v>0.55544645942908244</c:v>
                </c:pt>
                <c:pt idx="10036">
                  <c:v>0.52478324411664157</c:v>
                </c:pt>
                <c:pt idx="10037">
                  <c:v>0.54866059857534832</c:v>
                </c:pt>
                <c:pt idx="10038">
                  <c:v>0.55403500311820864</c:v>
                </c:pt>
                <c:pt idx="10039">
                  <c:v>0.5767566688499397</c:v>
                </c:pt>
                <c:pt idx="10040">
                  <c:v>0.55277002616135629</c:v>
                </c:pt>
                <c:pt idx="10041">
                  <c:v>0.54774566943201231</c:v>
                </c:pt>
                <c:pt idx="10042">
                  <c:v>0.52597113437925114</c:v>
                </c:pt>
                <c:pt idx="10043">
                  <c:v>0.55808523475504057</c:v>
                </c:pt>
                <c:pt idx="10044">
                  <c:v>0.56241040552098254</c:v>
                </c:pt>
                <c:pt idx="10045">
                  <c:v>0.54810958583912095</c:v>
                </c:pt>
                <c:pt idx="10046">
                  <c:v>0.5384571020363782</c:v>
                </c:pt>
                <c:pt idx="10047">
                  <c:v>0.54688576860661464</c:v>
                </c:pt>
                <c:pt idx="10048">
                  <c:v>0.54308281636892619</c:v>
                </c:pt>
                <c:pt idx="10049">
                  <c:v>0.5470721305152173</c:v>
                </c:pt>
                <c:pt idx="10050">
                  <c:v>0.51709305434493846</c:v>
                </c:pt>
                <c:pt idx="10051">
                  <c:v>0.52515900498805834</c:v>
                </c:pt>
                <c:pt idx="10052">
                  <c:v>0.50959106220619166</c:v>
                </c:pt>
                <c:pt idx="10053">
                  <c:v>0.54783018819242091</c:v>
                </c:pt>
                <c:pt idx="10054">
                  <c:v>0.52082965128702607</c:v>
                </c:pt>
                <c:pt idx="10055">
                  <c:v>0.53646412477881134</c:v>
                </c:pt>
                <c:pt idx="10056">
                  <c:v>0.52010370291810903</c:v>
                </c:pt>
                <c:pt idx="10057">
                  <c:v>0.53595088926745948</c:v>
                </c:pt>
                <c:pt idx="10058">
                  <c:v>0.54518745247032574</c:v>
                </c:pt>
                <c:pt idx="10059">
                  <c:v>0.50836418419738283</c:v>
                </c:pt>
                <c:pt idx="10060">
                  <c:v>0.50236115137858961</c:v>
                </c:pt>
                <c:pt idx="10061">
                  <c:v>0.53983983535305968</c:v>
                </c:pt>
                <c:pt idx="10062">
                  <c:v>0.53384091998453986</c:v>
                </c:pt>
                <c:pt idx="10063">
                  <c:v>0.54650552477685066</c:v>
                </c:pt>
                <c:pt idx="10064">
                  <c:v>0.5312353883990214</c:v>
                </c:pt>
                <c:pt idx="10065">
                  <c:v>0.5289823534451964</c:v>
                </c:pt>
                <c:pt idx="10066">
                  <c:v>0.52252717191980769</c:v>
                </c:pt>
                <c:pt idx="10067">
                  <c:v>0.53256559180081886</c:v>
                </c:pt>
                <c:pt idx="10068">
                  <c:v>0.51575611806356114</c:v>
                </c:pt>
                <c:pt idx="10069">
                  <c:v>0.53246747158294949</c:v>
                </c:pt>
                <c:pt idx="10070">
                  <c:v>0.5163612245753556</c:v>
                </c:pt>
                <c:pt idx="10071">
                  <c:v>0.52371538893880254</c:v>
                </c:pt>
                <c:pt idx="10072">
                  <c:v>0.50611697052039462</c:v>
                </c:pt>
                <c:pt idx="10073">
                  <c:v>0.51395992857475736</c:v>
                </c:pt>
                <c:pt idx="10074">
                  <c:v>0.52565809025404153</c:v>
                </c:pt>
                <c:pt idx="10075">
                  <c:v>0.53123078738322638</c:v>
                </c:pt>
                <c:pt idx="10076">
                  <c:v>0.50924231963040101</c:v>
                </c:pt>
                <c:pt idx="10077">
                  <c:v>0.53133902614458972</c:v>
                </c:pt>
                <c:pt idx="10078">
                  <c:v>0.53587388953539505</c:v>
                </c:pt>
                <c:pt idx="10079">
                  <c:v>0.50720245505655559</c:v>
                </c:pt>
                <c:pt idx="10080">
                  <c:v>0.52821625346623136</c:v>
                </c:pt>
                <c:pt idx="10081">
                  <c:v>0.50792074127503894</c:v>
                </c:pt>
                <c:pt idx="10082">
                  <c:v>0.51621042388273741</c:v>
                </c:pt>
                <c:pt idx="10083">
                  <c:v>0.53481740072880968</c:v>
                </c:pt>
                <c:pt idx="10084">
                  <c:v>0.52939583017691583</c:v>
                </c:pt>
                <c:pt idx="10085">
                  <c:v>0.50693586605434715</c:v>
                </c:pt>
                <c:pt idx="10086">
                  <c:v>0.50423931298436908</c:v>
                </c:pt>
                <c:pt idx="10087">
                  <c:v>0.48972524705297493</c:v>
                </c:pt>
                <c:pt idx="10088">
                  <c:v>0.52292755723692297</c:v>
                </c:pt>
                <c:pt idx="10089">
                  <c:v>0.50781351917509443</c:v>
                </c:pt>
                <c:pt idx="10090">
                  <c:v>0.51340273524279811</c:v>
                </c:pt>
                <c:pt idx="10091">
                  <c:v>0.50183509284048844</c:v>
                </c:pt>
                <c:pt idx="10092">
                  <c:v>0.52479842088622097</c:v>
                </c:pt>
                <c:pt idx="10093">
                  <c:v>0.54209809051518432</c:v>
                </c:pt>
                <c:pt idx="10094">
                  <c:v>0.51543403032955681</c:v>
                </c:pt>
                <c:pt idx="10095">
                  <c:v>0.50365765149039199</c:v>
                </c:pt>
                <c:pt idx="10096">
                  <c:v>0.51960934823074223</c:v>
                </c:pt>
                <c:pt idx="10097">
                  <c:v>0.49914937918442476</c:v>
                </c:pt>
                <c:pt idx="10098">
                  <c:v>0.51332695923345717</c:v>
                </c:pt>
                <c:pt idx="10099">
                  <c:v>0.48797545951246707</c:v>
                </c:pt>
                <c:pt idx="10100">
                  <c:v>0.49784554089512462</c:v>
                </c:pt>
                <c:pt idx="10101">
                  <c:v>0.50239024435915169</c:v>
                </c:pt>
                <c:pt idx="10102">
                  <c:v>0.49368789436967048</c:v>
                </c:pt>
                <c:pt idx="10103">
                  <c:v>0.50172403204574856</c:v>
                </c:pt>
                <c:pt idx="10104">
                  <c:v>0.50458108726142092</c:v>
                </c:pt>
                <c:pt idx="10105">
                  <c:v>0.5039612360795479</c:v>
                </c:pt>
                <c:pt idx="10106">
                  <c:v>0.50000691341477022</c:v>
                </c:pt>
                <c:pt idx="10107">
                  <c:v>0.52027989718662349</c:v>
                </c:pt>
                <c:pt idx="10108">
                  <c:v>0.48658631514326273</c:v>
                </c:pt>
                <c:pt idx="10109">
                  <c:v>0.5053113158916982</c:v>
                </c:pt>
                <c:pt idx="10110">
                  <c:v>0.50269416993993976</c:v>
                </c:pt>
                <c:pt idx="10111">
                  <c:v>0.52877752385991605</c:v>
                </c:pt>
                <c:pt idx="10112">
                  <c:v>0.49893328522499597</c:v>
                </c:pt>
                <c:pt idx="10113">
                  <c:v>0.50580418426744223</c:v>
                </c:pt>
                <c:pt idx="10114">
                  <c:v>0.50519286278260844</c:v>
                </c:pt>
                <c:pt idx="10115">
                  <c:v>0.51888530024817625</c:v>
                </c:pt>
                <c:pt idx="10116">
                  <c:v>0.54142359386826078</c:v>
                </c:pt>
                <c:pt idx="10117">
                  <c:v>0.51291055459420576</c:v>
                </c:pt>
                <c:pt idx="10118">
                  <c:v>0.51316577472018099</c:v>
                </c:pt>
                <c:pt idx="10119">
                  <c:v>0.49008326845274891</c:v>
                </c:pt>
                <c:pt idx="10120">
                  <c:v>0.50517047110727287</c:v>
                </c:pt>
                <c:pt idx="10121">
                  <c:v>0.50453420098301294</c:v>
                </c:pt>
                <c:pt idx="10122">
                  <c:v>0.53080754112862261</c:v>
                </c:pt>
                <c:pt idx="10123">
                  <c:v>0.50593913398776857</c:v>
                </c:pt>
                <c:pt idx="10124">
                  <c:v>0.52222455275727786</c:v>
                </c:pt>
                <c:pt idx="10125">
                  <c:v>0.48605014528611451</c:v>
                </c:pt>
                <c:pt idx="10126">
                  <c:v>0.50268625364269248</c:v>
                </c:pt>
                <c:pt idx="10127">
                  <c:v>0.51553541236916234</c:v>
                </c:pt>
                <c:pt idx="10128">
                  <c:v>0.52115783580508901</c:v>
                </c:pt>
                <c:pt idx="10129">
                  <c:v>0.51994042344247327</c:v>
                </c:pt>
                <c:pt idx="10130">
                  <c:v>0.54435508016949374</c:v>
                </c:pt>
                <c:pt idx="10131">
                  <c:v>0.53487278936258853</c:v>
                </c:pt>
                <c:pt idx="10132">
                  <c:v>0.544267153741812</c:v>
                </c:pt>
                <c:pt idx="10133">
                  <c:v>0.5322845520021755</c:v>
                </c:pt>
                <c:pt idx="10134">
                  <c:v>0.54172011720848079</c:v>
                </c:pt>
                <c:pt idx="10135">
                  <c:v>0.52158261553032725</c:v>
                </c:pt>
                <c:pt idx="10136">
                  <c:v>0.54097980357273412</c:v>
                </c:pt>
                <c:pt idx="10137">
                  <c:v>0.50681920723708107</c:v>
                </c:pt>
                <c:pt idx="10138">
                  <c:v>0.53417478201914648</c:v>
                </c:pt>
                <c:pt idx="10139">
                  <c:v>0.54598339614420788</c:v>
                </c:pt>
                <c:pt idx="10140">
                  <c:v>0.53576778708039208</c:v>
                </c:pt>
                <c:pt idx="10141">
                  <c:v>0.5338775062082709</c:v>
                </c:pt>
                <c:pt idx="10142">
                  <c:v>0.55082445641459588</c:v>
                </c:pt>
                <c:pt idx="10143">
                  <c:v>0.52559905375684857</c:v>
                </c:pt>
                <c:pt idx="10144">
                  <c:v>0.54630101995923619</c:v>
                </c:pt>
                <c:pt idx="10145">
                  <c:v>0.5021146706735079</c:v>
                </c:pt>
                <c:pt idx="10146">
                  <c:v>0.56796479289138047</c:v>
                </c:pt>
                <c:pt idx="10147">
                  <c:v>0.5452478454536982</c:v>
                </c:pt>
                <c:pt idx="10148">
                  <c:v>0.52336440572404364</c:v>
                </c:pt>
                <c:pt idx="10149">
                  <c:v>0.51301239407923171</c:v>
                </c:pt>
                <c:pt idx="10150">
                  <c:v>0.54516183241789096</c:v>
                </c:pt>
                <c:pt idx="10151">
                  <c:v>0.52334683610039112</c:v>
                </c:pt>
                <c:pt idx="10152">
                  <c:v>0.55332354260060568</c:v>
                </c:pt>
                <c:pt idx="10153">
                  <c:v>0.55527599169216935</c:v>
                </c:pt>
                <c:pt idx="10154">
                  <c:v>0.5474590197612087</c:v>
                </c:pt>
                <c:pt idx="10155">
                  <c:v>0.54474650252933499</c:v>
                </c:pt>
                <c:pt idx="10156">
                  <c:v>0.57189333865654102</c:v>
                </c:pt>
                <c:pt idx="10157">
                  <c:v>0.54605133678425255</c:v>
                </c:pt>
                <c:pt idx="10158">
                  <c:v>0.52946898227054373</c:v>
                </c:pt>
                <c:pt idx="10159">
                  <c:v>0.52857426930789686</c:v>
                </c:pt>
                <c:pt idx="10160">
                  <c:v>0.57018508326787198</c:v>
                </c:pt>
                <c:pt idx="10161">
                  <c:v>0.57138060006960467</c:v>
                </c:pt>
                <c:pt idx="10162">
                  <c:v>0.53960684370340239</c:v>
                </c:pt>
                <c:pt idx="10163">
                  <c:v>0.54651811034035858</c:v>
                </c:pt>
                <c:pt idx="10164">
                  <c:v>0.56764829169880127</c:v>
                </c:pt>
                <c:pt idx="10165">
                  <c:v>0.56944484248942795</c:v>
                </c:pt>
                <c:pt idx="10166">
                  <c:v>0.59003846071973398</c:v>
                </c:pt>
                <c:pt idx="10167">
                  <c:v>0.53904183085312496</c:v>
                </c:pt>
                <c:pt idx="10168">
                  <c:v>0.5472104944019931</c:v>
                </c:pt>
                <c:pt idx="10169">
                  <c:v>0.53849908302729343</c:v>
                </c:pt>
                <c:pt idx="10170">
                  <c:v>0.5716120653415504</c:v>
                </c:pt>
                <c:pt idx="10171">
                  <c:v>0.56012575087315364</c:v>
                </c:pt>
                <c:pt idx="10172">
                  <c:v>0.55646496889274943</c:v>
                </c:pt>
                <c:pt idx="10173">
                  <c:v>0.55686045188945499</c:v>
                </c:pt>
                <c:pt idx="10174">
                  <c:v>0.51874234502403749</c:v>
                </c:pt>
                <c:pt idx="10175">
                  <c:v>0.59485908339075522</c:v>
                </c:pt>
                <c:pt idx="10176">
                  <c:v>0.59043866074514695</c:v>
                </c:pt>
                <c:pt idx="10177">
                  <c:v>0.54637063892790372</c:v>
                </c:pt>
                <c:pt idx="10178">
                  <c:v>0.54512457544182313</c:v>
                </c:pt>
                <c:pt idx="10179">
                  <c:v>0.56068263649436989</c:v>
                </c:pt>
                <c:pt idx="10180">
                  <c:v>0.53670423499483955</c:v>
                </c:pt>
                <c:pt idx="10181">
                  <c:v>0.5525244006844009</c:v>
                </c:pt>
                <c:pt idx="10182">
                  <c:v>0.56129164408230292</c:v>
                </c:pt>
                <c:pt idx="10183">
                  <c:v>0.57622959427704057</c:v>
                </c:pt>
                <c:pt idx="10184">
                  <c:v>0.56878727456646538</c:v>
                </c:pt>
                <c:pt idx="10185">
                  <c:v>0.59649648157996782</c:v>
                </c:pt>
                <c:pt idx="10186">
                  <c:v>0.54030469301541673</c:v>
                </c:pt>
                <c:pt idx="10187">
                  <c:v>0.5533660542110157</c:v>
                </c:pt>
                <c:pt idx="10188">
                  <c:v>0.59142102763668092</c:v>
                </c:pt>
                <c:pt idx="10189">
                  <c:v>0.55305574526568291</c:v>
                </c:pt>
                <c:pt idx="10190">
                  <c:v>0.53802259932165164</c:v>
                </c:pt>
                <c:pt idx="10191">
                  <c:v>0.5462705272866305</c:v>
                </c:pt>
                <c:pt idx="10192">
                  <c:v>0.53966814302620125</c:v>
                </c:pt>
                <c:pt idx="10193">
                  <c:v>0.56431754216820706</c:v>
                </c:pt>
                <c:pt idx="10194">
                  <c:v>0.55319914187193497</c:v>
                </c:pt>
                <c:pt idx="10195">
                  <c:v>0.53727292544502092</c:v>
                </c:pt>
                <c:pt idx="10196">
                  <c:v>0.54690056215620719</c:v>
                </c:pt>
                <c:pt idx="10197">
                  <c:v>0.51803819273933183</c:v>
                </c:pt>
                <c:pt idx="10198">
                  <c:v>0.541078393424828</c:v>
                </c:pt>
                <c:pt idx="10199">
                  <c:v>0.53882122118458575</c:v>
                </c:pt>
                <c:pt idx="10200">
                  <c:v>0.53609119849844034</c:v>
                </c:pt>
                <c:pt idx="10201">
                  <c:v>0.5366938859777719</c:v>
                </c:pt>
                <c:pt idx="10202">
                  <c:v>0.54289349013018562</c:v>
                </c:pt>
                <c:pt idx="10203">
                  <c:v>0.56229631500166444</c:v>
                </c:pt>
                <c:pt idx="10204">
                  <c:v>0.50712126610706243</c:v>
                </c:pt>
                <c:pt idx="10205">
                  <c:v>0.53511124736778337</c:v>
                </c:pt>
                <c:pt idx="10206">
                  <c:v>0.53959806804124755</c:v>
                </c:pt>
                <c:pt idx="10207">
                  <c:v>0.54232215027881592</c:v>
                </c:pt>
                <c:pt idx="10208">
                  <c:v>0.54473027257793394</c:v>
                </c:pt>
                <c:pt idx="10209">
                  <c:v>0.54495508394035042</c:v>
                </c:pt>
                <c:pt idx="10210">
                  <c:v>0.53079769030777679</c:v>
                </c:pt>
                <c:pt idx="10211">
                  <c:v>0.51819836953546916</c:v>
                </c:pt>
                <c:pt idx="10212">
                  <c:v>0.53583076877993208</c:v>
                </c:pt>
                <c:pt idx="10213">
                  <c:v>0.50365274883224354</c:v>
                </c:pt>
                <c:pt idx="10214">
                  <c:v>0.53507324476696716</c:v>
                </c:pt>
                <c:pt idx="10215">
                  <c:v>0.50270618059814531</c:v>
                </c:pt>
                <c:pt idx="10216">
                  <c:v>0.5158555711813998</c:v>
                </c:pt>
                <c:pt idx="10217">
                  <c:v>0.50818457024051955</c:v>
                </c:pt>
                <c:pt idx="10218">
                  <c:v>0.52540946126829946</c:v>
                </c:pt>
                <c:pt idx="10219">
                  <c:v>0.5249869836834653</c:v>
                </c:pt>
                <c:pt idx="10220">
                  <c:v>0.50579402069300616</c:v>
                </c:pt>
                <c:pt idx="10221">
                  <c:v>0.49977475727415704</c:v>
                </c:pt>
                <c:pt idx="10222">
                  <c:v>0.49804851935361227</c:v>
                </c:pt>
                <c:pt idx="10223">
                  <c:v>0.50630637504504261</c:v>
                </c:pt>
                <c:pt idx="10224">
                  <c:v>0.49355897962123996</c:v>
                </c:pt>
                <c:pt idx="10225">
                  <c:v>0.5113485154902131</c:v>
                </c:pt>
                <c:pt idx="10226">
                  <c:v>0.48084524208000845</c:v>
                </c:pt>
                <c:pt idx="10227">
                  <c:v>0.51084020330083268</c:v>
                </c:pt>
                <c:pt idx="10228">
                  <c:v>0.51815148178648085</c:v>
                </c:pt>
                <c:pt idx="10229">
                  <c:v>0.51797073219993528</c:v>
                </c:pt>
                <c:pt idx="10230">
                  <c:v>0.49404280448177845</c:v>
                </c:pt>
                <c:pt idx="10231">
                  <c:v>0.46473792145638643</c:v>
                </c:pt>
                <c:pt idx="10232">
                  <c:v>0.47731823497130982</c:v>
                </c:pt>
                <c:pt idx="10233">
                  <c:v>0.50645754153323719</c:v>
                </c:pt>
                <c:pt idx="10234">
                  <c:v>0.50910408902190618</c:v>
                </c:pt>
                <c:pt idx="10235">
                  <c:v>0.50172143299248528</c:v>
                </c:pt>
                <c:pt idx="10236">
                  <c:v>0.48218573959626182</c:v>
                </c:pt>
                <c:pt idx="10237">
                  <c:v>0.53475237027413181</c:v>
                </c:pt>
                <c:pt idx="10238">
                  <c:v>0.50938144706459498</c:v>
                </c:pt>
                <c:pt idx="10239">
                  <c:v>0.48942251898690403</c:v>
                </c:pt>
                <c:pt idx="10240">
                  <c:v>0.48998560441430816</c:v>
                </c:pt>
                <c:pt idx="10241">
                  <c:v>0.48601795119860947</c:v>
                </c:pt>
                <c:pt idx="10242">
                  <c:v>0.49099855592674641</c:v>
                </c:pt>
                <c:pt idx="10243">
                  <c:v>0.48130701572076556</c:v>
                </c:pt>
                <c:pt idx="10244">
                  <c:v>0.46013798958305518</c:v>
                </c:pt>
                <c:pt idx="10245">
                  <c:v>0.50637580719044295</c:v>
                </c:pt>
                <c:pt idx="10246">
                  <c:v>0.49383933772987765</c:v>
                </c:pt>
                <c:pt idx="10247">
                  <c:v>0.47970671583568403</c:v>
                </c:pt>
                <c:pt idx="10248">
                  <c:v>0.48550564490639359</c:v>
                </c:pt>
                <c:pt idx="10249">
                  <c:v>0.50029110135324528</c:v>
                </c:pt>
                <c:pt idx="10250">
                  <c:v>0.46907851552305568</c:v>
                </c:pt>
                <c:pt idx="10251">
                  <c:v>0.49907217579018021</c:v>
                </c:pt>
                <c:pt idx="10252">
                  <c:v>0.49574867150545288</c:v>
                </c:pt>
                <c:pt idx="10253">
                  <c:v>0.48534728956786322</c:v>
                </c:pt>
                <c:pt idx="10254">
                  <c:v>0.50209950016268468</c:v>
                </c:pt>
                <c:pt idx="10255">
                  <c:v>0.47868291707986499</c:v>
                </c:pt>
                <c:pt idx="10256">
                  <c:v>0.51980686896842354</c:v>
                </c:pt>
                <c:pt idx="10257">
                  <c:v>0.47019270105900063</c:v>
                </c:pt>
                <c:pt idx="10258">
                  <c:v>0.49489324051639938</c:v>
                </c:pt>
                <c:pt idx="10259">
                  <c:v>0.50327426003061648</c:v>
                </c:pt>
                <c:pt idx="10260">
                  <c:v>0.52063233334939618</c:v>
                </c:pt>
                <c:pt idx="10261">
                  <c:v>0.511824292912616</c:v>
                </c:pt>
                <c:pt idx="10262">
                  <c:v>0.49797194787028354</c:v>
                </c:pt>
                <c:pt idx="10263">
                  <c:v>0.49339391288481793</c:v>
                </c:pt>
                <c:pt idx="10264">
                  <c:v>0.49112711147110499</c:v>
                </c:pt>
                <c:pt idx="10265">
                  <c:v>0.48371564090379954</c:v>
                </c:pt>
                <c:pt idx="10266">
                  <c:v>0.51348422297914897</c:v>
                </c:pt>
                <c:pt idx="10267">
                  <c:v>0.51678424519548716</c:v>
                </c:pt>
                <c:pt idx="10268">
                  <c:v>0.48367699910970369</c:v>
                </c:pt>
                <c:pt idx="10269">
                  <c:v>0.5020273304763081</c:v>
                </c:pt>
                <c:pt idx="10270">
                  <c:v>0.47657282895400921</c:v>
                </c:pt>
                <c:pt idx="10271">
                  <c:v>0.50930079890928759</c:v>
                </c:pt>
                <c:pt idx="10272">
                  <c:v>0.53024158830534196</c:v>
                </c:pt>
                <c:pt idx="10273">
                  <c:v>0.51374496087043142</c:v>
                </c:pt>
                <c:pt idx="10274">
                  <c:v>0.53015857279617273</c:v>
                </c:pt>
                <c:pt idx="10275">
                  <c:v>0.56569118478484437</c:v>
                </c:pt>
                <c:pt idx="10276">
                  <c:v>0.56185454134114243</c:v>
                </c:pt>
                <c:pt idx="10277">
                  <c:v>0.54392482764379058</c:v>
                </c:pt>
                <c:pt idx="10278">
                  <c:v>0.54564464613577746</c:v>
                </c:pt>
                <c:pt idx="10279">
                  <c:v>0.55500540303275891</c:v>
                </c:pt>
                <c:pt idx="10280">
                  <c:v>0.52355996620750667</c:v>
                </c:pt>
                <c:pt idx="10281">
                  <c:v>0.55079269139809539</c:v>
                </c:pt>
                <c:pt idx="10282">
                  <c:v>0.51972117831229125</c:v>
                </c:pt>
                <c:pt idx="10283">
                  <c:v>0.55341499814017348</c:v>
                </c:pt>
                <c:pt idx="10284">
                  <c:v>0.56119252820075194</c:v>
                </c:pt>
                <c:pt idx="10285">
                  <c:v>0.53756939839049189</c:v>
                </c:pt>
                <c:pt idx="10286">
                  <c:v>0.55299837336336566</c:v>
                </c:pt>
                <c:pt idx="10287">
                  <c:v>0.57331484401868993</c:v>
                </c:pt>
                <c:pt idx="10288">
                  <c:v>0.53308831345792462</c:v>
                </c:pt>
                <c:pt idx="10289">
                  <c:v>0.51150154856400232</c:v>
                </c:pt>
                <c:pt idx="10290">
                  <c:v>0.56517532196911702</c:v>
                </c:pt>
                <c:pt idx="10291">
                  <c:v>0.56721969597616217</c:v>
                </c:pt>
                <c:pt idx="10292">
                  <c:v>0.54282629803606375</c:v>
                </c:pt>
                <c:pt idx="10293">
                  <c:v>0.51468797924659704</c:v>
                </c:pt>
                <c:pt idx="10294">
                  <c:v>0.5828567599956006</c:v>
                </c:pt>
                <c:pt idx="10295">
                  <c:v>0.56740341485320589</c:v>
                </c:pt>
                <c:pt idx="10296">
                  <c:v>0.61196831264193063</c:v>
                </c:pt>
                <c:pt idx="10297">
                  <c:v>0.57469401631437533</c:v>
                </c:pt>
                <c:pt idx="10298">
                  <c:v>0.55661640633326404</c:v>
                </c:pt>
                <c:pt idx="10299">
                  <c:v>0.56527365131497964</c:v>
                </c:pt>
                <c:pt idx="10300">
                  <c:v>0.57180103682685712</c:v>
                </c:pt>
                <c:pt idx="10301">
                  <c:v>0.57313186864403232</c:v>
                </c:pt>
                <c:pt idx="10302">
                  <c:v>0.58945384317472582</c:v>
                </c:pt>
                <c:pt idx="10303">
                  <c:v>0.55065815301426435</c:v>
                </c:pt>
                <c:pt idx="10304">
                  <c:v>0.54431180126118373</c:v>
                </c:pt>
                <c:pt idx="10305">
                  <c:v>0.54671005667215278</c:v>
                </c:pt>
                <c:pt idx="10306">
                  <c:v>0.56339991457831617</c:v>
                </c:pt>
                <c:pt idx="10307">
                  <c:v>0.56662307365341702</c:v>
                </c:pt>
                <c:pt idx="10308">
                  <c:v>0.65040068727903577</c:v>
                </c:pt>
                <c:pt idx="10309">
                  <c:v>0.56239851009898612</c:v>
                </c:pt>
                <c:pt idx="10310">
                  <c:v>0.56262850979712087</c:v>
                </c:pt>
                <c:pt idx="10311">
                  <c:v>0.56342163281827851</c:v>
                </c:pt>
                <c:pt idx="10312">
                  <c:v>0.55633290031704863</c:v>
                </c:pt>
                <c:pt idx="10313">
                  <c:v>0.56427715519172916</c:v>
                </c:pt>
                <c:pt idx="10314">
                  <c:v>0.57222874239759647</c:v>
                </c:pt>
                <c:pt idx="10315">
                  <c:v>0.56306973480501354</c:v>
                </c:pt>
                <c:pt idx="10316">
                  <c:v>0.58909065803649019</c:v>
                </c:pt>
                <c:pt idx="10317">
                  <c:v>0.56617023342726602</c:v>
                </c:pt>
                <c:pt idx="10318">
                  <c:v>0.5651957696881299</c:v>
                </c:pt>
                <c:pt idx="10319">
                  <c:v>0.56230440582770502</c:v>
                </c:pt>
                <c:pt idx="10320">
                  <c:v>0.55339168062862287</c:v>
                </c:pt>
                <c:pt idx="10321">
                  <c:v>0.56499148565766788</c:v>
                </c:pt>
                <c:pt idx="10322">
                  <c:v>0.56874108792832989</c:v>
                </c:pt>
                <c:pt idx="10323">
                  <c:v>0.56615761503091444</c:v>
                </c:pt>
                <c:pt idx="10324">
                  <c:v>0.54490344336142327</c:v>
                </c:pt>
                <c:pt idx="10325">
                  <c:v>0.55675055797495554</c:v>
                </c:pt>
                <c:pt idx="10326">
                  <c:v>0.58814033390782294</c:v>
                </c:pt>
                <c:pt idx="10327">
                  <c:v>0.54489502177341675</c:v>
                </c:pt>
                <c:pt idx="10328">
                  <c:v>0.57062663857504459</c:v>
                </c:pt>
                <c:pt idx="10329">
                  <c:v>0.5736887928656178</c:v>
                </c:pt>
                <c:pt idx="10330">
                  <c:v>0.56490586585924329</c:v>
                </c:pt>
                <c:pt idx="10331">
                  <c:v>0.59493425169538316</c:v>
                </c:pt>
                <c:pt idx="10332">
                  <c:v>0.58455396935302395</c:v>
                </c:pt>
                <c:pt idx="10333">
                  <c:v>0.5503074975416653</c:v>
                </c:pt>
                <c:pt idx="10334">
                  <c:v>0.54083268939605911</c:v>
                </c:pt>
                <c:pt idx="10335">
                  <c:v>0.536622698251362</c:v>
                </c:pt>
                <c:pt idx="10336">
                  <c:v>0.57929737186845387</c:v>
                </c:pt>
                <c:pt idx="10337">
                  <c:v>0.55666161030248185</c:v>
                </c:pt>
                <c:pt idx="10338">
                  <c:v>0.55739181582858888</c:v>
                </c:pt>
                <c:pt idx="10339">
                  <c:v>0.53256469989867994</c:v>
                </c:pt>
                <c:pt idx="10340">
                  <c:v>0.51929404765492615</c:v>
                </c:pt>
                <c:pt idx="10341">
                  <c:v>0.52791796035105343</c:v>
                </c:pt>
                <c:pt idx="10342">
                  <c:v>0.54747440937105063</c:v>
                </c:pt>
                <c:pt idx="10343">
                  <c:v>0.54692312134917931</c:v>
                </c:pt>
                <c:pt idx="10344">
                  <c:v>0.55852941710534521</c:v>
                </c:pt>
                <c:pt idx="10345">
                  <c:v>0.53568632732140364</c:v>
                </c:pt>
                <c:pt idx="10346">
                  <c:v>0.5306799749018114</c:v>
                </c:pt>
                <c:pt idx="10347">
                  <c:v>0.55229129909514008</c:v>
                </c:pt>
                <c:pt idx="10348">
                  <c:v>0.56758317710416939</c:v>
                </c:pt>
                <c:pt idx="10349">
                  <c:v>0.55119117406665807</c:v>
                </c:pt>
                <c:pt idx="10350">
                  <c:v>0.5345583619463351</c:v>
                </c:pt>
                <c:pt idx="10351">
                  <c:v>0.54615075801689994</c:v>
                </c:pt>
                <c:pt idx="10352">
                  <c:v>0.5285392911901835</c:v>
                </c:pt>
                <c:pt idx="10353">
                  <c:v>0.52088541303483704</c:v>
                </c:pt>
                <c:pt idx="10354">
                  <c:v>0.51188336097887432</c:v>
                </c:pt>
                <c:pt idx="10355">
                  <c:v>0.5717236185272534</c:v>
                </c:pt>
                <c:pt idx="10356">
                  <c:v>0.54192679002688671</c:v>
                </c:pt>
                <c:pt idx="10357">
                  <c:v>0.49055076786298168</c:v>
                </c:pt>
                <c:pt idx="10358">
                  <c:v>0.52121185517536983</c:v>
                </c:pt>
                <c:pt idx="10359">
                  <c:v>0.50069290295651447</c:v>
                </c:pt>
                <c:pt idx="10360">
                  <c:v>0.51510175547661718</c:v>
                </c:pt>
                <c:pt idx="10361">
                  <c:v>0.51729634168351868</c:v>
                </c:pt>
                <c:pt idx="10362">
                  <c:v>0.53754622207874225</c:v>
                </c:pt>
                <c:pt idx="10363">
                  <c:v>0.52252130415650044</c:v>
                </c:pt>
                <c:pt idx="10364">
                  <c:v>0.52436496084373652</c:v>
                </c:pt>
                <c:pt idx="10365">
                  <c:v>0.49747065764845366</c:v>
                </c:pt>
                <c:pt idx="10366">
                  <c:v>0.50515527125165038</c:v>
                </c:pt>
                <c:pt idx="10367">
                  <c:v>0.50893392966925222</c:v>
                </c:pt>
                <c:pt idx="10368">
                  <c:v>0.5150395417086594</c:v>
                </c:pt>
                <c:pt idx="10369">
                  <c:v>0.51357088678241736</c:v>
                </c:pt>
                <c:pt idx="10370">
                  <c:v>0.51827461717109335</c:v>
                </c:pt>
                <c:pt idx="10371">
                  <c:v>0.52127999109328294</c:v>
                </c:pt>
                <c:pt idx="10372">
                  <c:v>0.56020586208601919</c:v>
                </c:pt>
                <c:pt idx="10373">
                  <c:v>0.55182423268755665</c:v>
                </c:pt>
                <c:pt idx="10374">
                  <c:v>0.53388284144172804</c:v>
                </c:pt>
                <c:pt idx="10375">
                  <c:v>0.49333255452332803</c:v>
                </c:pt>
                <c:pt idx="10376">
                  <c:v>0.49981941232490856</c:v>
                </c:pt>
                <c:pt idx="10377">
                  <c:v>0.51943485154229918</c:v>
                </c:pt>
                <c:pt idx="10378">
                  <c:v>0.50789174671473603</c:v>
                </c:pt>
                <c:pt idx="10379">
                  <c:v>0.53764332759770583</c:v>
                </c:pt>
                <c:pt idx="10380">
                  <c:v>0.51295547888142889</c:v>
                </c:pt>
                <c:pt idx="10381">
                  <c:v>0.49830007544712329</c:v>
                </c:pt>
                <c:pt idx="10382">
                  <c:v>0.50507098382723037</c:v>
                </c:pt>
                <c:pt idx="10383">
                  <c:v>0.50506989789216372</c:v>
                </c:pt>
                <c:pt idx="10384">
                  <c:v>0.51042904882316265</c:v>
                </c:pt>
                <c:pt idx="10385">
                  <c:v>0.53075470229273047</c:v>
                </c:pt>
                <c:pt idx="10386">
                  <c:v>0.51081247467690105</c:v>
                </c:pt>
                <c:pt idx="10387">
                  <c:v>0.5044136324399362</c:v>
                </c:pt>
                <c:pt idx="10388">
                  <c:v>0.50146856650709937</c:v>
                </c:pt>
                <c:pt idx="10389">
                  <c:v>0.50600076875443933</c:v>
                </c:pt>
                <c:pt idx="10390">
                  <c:v>0.49615871391047567</c:v>
                </c:pt>
                <c:pt idx="10391">
                  <c:v>0.50210332700818572</c:v>
                </c:pt>
                <c:pt idx="10392">
                  <c:v>0.51308755869441303</c:v>
                </c:pt>
                <c:pt idx="10393">
                  <c:v>0.4915724856366161</c:v>
                </c:pt>
                <c:pt idx="10394">
                  <c:v>0.49871184945144192</c:v>
                </c:pt>
                <c:pt idx="10395">
                  <c:v>0.51175452344554628</c:v>
                </c:pt>
                <c:pt idx="10396">
                  <c:v>0.50224585298553148</c:v>
                </c:pt>
                <c:pt idx="10397">
                  <c:v>0.51421240631965304</c:v>
                </c:pt>
                <c:pt idx="10398">
                  <c:v>0.51920733598416335</c:v>
                </c:pt>
                <c:pt idx="10399">
                  <c:v>0.495149824573484</c:v>
                </c:pt>
                <c:pt idx="10400">
                  <c:v>0.51425985415423714</c:v>
                </c:pt>
                <c:pt idx="10401">
                  <c:v>0.52447531357807076</c:v>
                </c:pt>
                <c:pt idx="10402">
                  <c:v>0.516071614514236</c:v>
                </c:pt>
                <c:pt idx="10403">
                  <c:v>0.50623882708225987</c:v>
                </c:pt>
                <c:pt idx="10404">
                  <c:v>0.50499645523195169</c:v>
                </c:pt>
                <c:pt idx="10405">
                  <c:v>0.52340266600067054</c:v>
                </c:pt>
                <c:pt idx="10406">
                  <c:v>0.54919313233908507</c:v>
                </c:pt>
                <c:pt idx="10407">
                  <c:v>0.52092808033513871</c:v>
                </c:pt>
                <c:pt idx="10408">
                  <c:v>0.48164496545598501</c:v>
                </c:pt>
                <c:pt idx="10409">
                  <c:v>0.51690327763641364</c:v>
                </c:pt>
                <c:pt idx="10410">
                  <c:v>0.50527631249395133</c:v>
                </c:pt>
                <c:pt idx="10411">
                  <c:v>0.50471859115085294</c:v>
                </c:pt>
                <c:pt idx="10412">
                  <c:v>0.51044915995281992</c:v>
                </c:pt>
                <c:pt idx="10413">
                  <c:v>0.50494418255738316</c:v>
                </c:pt>
                <c:pt idx="10414">
                  <c:v>0.515371864146002</c:v>
                </c:pt>
                <c:pt idx="10415">
                  <c:v>0.54781235081326041</c:v>
                </c:pt>
                <c:pt idx="10416">
                  <c:v>0.52806990044338942</c:v>
                </c:pt>
                <c:pt idx="10417">
                  <c:v>0.51046645477950436</c:v>
                </c:pt>
                <c:pt idx="10418">
                  <c:v>0.53054379467515023</c:v>
                </c:pt>
                <c:pt idx="10419">
                  <c:v>0.54515836678750285</c:v>
                </c:pt>
                <c:pt idx="10420">
                  <c:v>0.50556236222635853</c:v>
                </c:pt>
                <c:pt idx="10421">
                  <c:v>0.52444545619347527</c:v>
                </c:pt>
                <c:pt idx="10422">
                  <c:v>0.53389998996250898</c:v>
                </c:pt>
                <c:pt idx="10423">
                  <c:v>0.53749457476128515</c:v>
                </c:pt>
                <c:pt idx="10424">
                  <c:v>0.51214706468904514</c:v>
                </c:pt>
                <c:pt idx="10425">
                  <c:v>0.51791802136134391</c:v>
                </c:pt>
                <c:pt idx="10426">
                  <c:v>0.5383880885352782</c:v>
                </c:pt>
                <c:pt idx="10427">
                  <c:v>0.52438171029895375</c:v>
                </c:pt>
                <c:pt idx="10428">
                  <c:v>0.53473005738717239</c:v>
                </c:pt>
                <c:pt idx="10429">
                  <c:v>0.51127023909820879</c:v>
                </c:pt>
                <c:pt idx="10430">
                  <c:v>0.5082189357461836</c:v>
                </c:pt>
                <c:pt idx="10431">
                  <c:v>0.52489323126056475</c:v>
                </c:pt>
                <c:pt idx="10432">
                  <c:v>0.54124515799891371</c:v>
                </c:pt>
                <c:pt idx="10433">
                  <c:v>0.54307162328910397</c:v>
                </c:pt>
                <c:pt idx="10434">
                  <c:v>0.52137099668048303</c:v>
                </c:pt>
                <c:pt idx="10435">
                  <c:v>0.52165918594975369</c:v>
                </c:pt>
                <c:pt idx="10436">
                  <c:v>0.5597820615666782</c:v>
                </c:pt>
                <c:pt idx="10437">
                  <c:v>0.54598154306876512</c:v>
                </c:pt>
                <c:pt idx="10438">
                  <c:v>0.52121800223237402</c:v>
                </c:pt>
                <c:pt idx="10439">
                  <c:v>0.53154341775617686</c:v>
                </c:pt>
                <c:pt idx="10440">
                  <c:v>0.59081398021455955</c:v>
                </c:pt>
                <c:pt idx="10441">
                  <c:v>0.58178985318423582</c:v>
                </c:pt>
                <c:pt idx="10442">
                  <c:v>0.59057714423607377</c:v>
                </c:pt>
                <c:pt idx="10443">
                  <c:v>0.59799930489748587</c:v>
                </c:pt>
                <c:pt idx="10444">
                  <c:v>0.55680924382117802</c:v>
                </c:pt>
                <c:pt idx="10445">
                  <c:v>0.57745905417752752</c:v>
                </c:pt>
                <c:pt idx="10446">
                  <c:v>0.56824221720518386</c:v>
                </c:pt>
                <c:pt idx="10447">
                  <c:v>0.59822960947005244</c:v>
                </c:pt>
                <c:pt idx="10448">
                  <c:v>0.57482847930815983</c:v>
                </c:pt>
                <c:pt idx="10449">
                  <c:v>0.58462596956477431</c:v>
                </c:pt>
                <c:pt idx="10450">
                  <c:v>0.54410849389539762</c:v>
                </c:pt>
                <c:pt idx="10451">
                  <c:v>0.54767553220914655</c:v>
                </c:pt>
                <c:pt idx="10452">
                  <c:v>0.58485421157578543</c:v>
                </c:pt>
                <c:pt idx="10453">
                  <c:v>0.56723251883029124</c:v>
                </c:pt>
                <c:pt idx="10454">
                  <c:v>0.63675661440566189</c:v>
                </c:pt>
                <c:pt idx="10455">
                  <c:v>0.6294781021251199</c:v>
                </c:pt>
                <c:pt idx="10456">
                  <c:v>0.56694232381104825</c:v>
                </c:pt>
                <c:pt idx="10457">
                  <c:v>0.57559930567931594</c:v>
                </c:pt>
                <c:pt idx="10458">
                  <c:v>0.56775240774859204</c:v>
                </c:pt>
                <c:pt idx="10459">
                  <c:v>0.56269674894167565</c:v>
                </c:pt>
                <c:pt idx="10460">
                  <c:v>0.57637521694301663</c:v>
                </c:pt>
                <c:pt idx="10461">
                  <c:v>0.596914399473783</c:v>
                </c:pt>
                <c:pt idx="10462">
                  <c:v>0.57919003635343669</c:v>
                </c:pt>
                <c:pt idx="10463">
                  <c:v>0.57504136134285611</c:v>
                </c:pt>
                <c:pt idx="10464">
                  <c:v>0.56797031258048036</c:v>
                </c:pt>
                <c:pt idx="10465">
                  <c:v>0.54592520580120729</c:v>
                </c:pt>
                <c:pt idx="10466">
                  <c:v>0.56855945881930969</c:v>
                </c:pt>
                <c:pt idx="10467">
                  <c:v>0.57242662890233365</c:v>
                </c:pt>
                <c:pt idx="10468">
                  <c:v>0.55964872351410289</c:v>
                </c:pt>
                <c:pt idx="10469">
                  <c:v>0.59497784555869315</c:v>
                </c:pt>
                <c:pt idx="10470">
                  <c:v>0.51395221499040611</c:v>
                </c:pt>
                <c:pt idx="10471">
                  <c:v>0.5500089483455346</c:v>
                </c:pt>
                <c:pt idx="10472">
                  <c:v>0.55680080897193285</c:v>
                </c:pt>
                <c:pt idx="10473">
                  <c:v>0.56697116370451772</c:v>
                </c:pt>
                <c:pt idx="10474">
                  <c:v>0.54283388877495886</c:v>
                </c:pt>
                <c:pt idx="10475">
                  <c:v>0.56839910712969222</c:v>
                </c:pt>
                <c:pt idx="10476">
                  <c:v>0.58861855558183684</c:v>
                </c:pt>
                <c:pt idx="10477">
                  <c:v>0.5850491392152668</c:v>
                </c:pt>
                <c:pt idx="10478">
                  <c:v>0.59138898178677435</c:v>
                </c:pt>
                <c:pt idx="10479">
                  <c:v>0.58631843142836226</c:v>
                </c:pt>
                <c:pt idx="10480">
                  <c:v>0.54118557980672</c:v>
                </c:pt>
                <c:pt idx="10481">
                  <c:v>0.53246211893344442</c:v>
                </c:pt>
                <c:pt idx="10482">
                  <c:v>0.55730047184606801</c:v>
                </c:pt>
                <c:pt idx="10483">
                  <c:v>0.57122082057124601</c:v>
                </c:pt>
                <c:pt idx="10484">
                  <c:v>0.57975719528136149</c:v>
                </c:pt>
                <c:pt idx="10485">
                  <c:v>0.51896471409651701</c:v>
                </c:pt>
                <c:pt idx="10486">
                  <c:v>0.53454999100939415</c:v>
                </c:pt>
                <c:pt idx="10487">
                  <c:v>0.55036473680646314</c:v>
                </c:pt>
                <c:pt idx="10488">
                  <c:v>0.52327498846552922</c:v>
                </c:pt>
                <c:pt idx="10489">
                  <c:v>0.55585132405377702</c:v>
                </c:pt>
                <c:pt idx="10490">
                  <c:v>0.5765636244428568</c:v>
                </c:pt>
                <c:pt idx="10491">
                  <c:v>0.55000674517066261</c:v>
                </c:pt>
                <c:pt idx="10492">
                  <c:v>0.53567620702968888</c:v>
                </c:pt>
                <c:pt idx="10493">
                  <c:v>0.55381314570872764</c:v>
                </c:pt>
                <c:pt idx="10494">
                  <c:v>0.54713398696201654</c:v>
                </c:pt>
                <c:pt idx="10495">
                  <c:v>0.58723926938725668</c:v>
                </c:pt>
                <c:pt idx="10496">
                  <c:v>0.53137671808145803</c:v>
                </c:pt>
                <c:pt idx="10497">
                  <c:v>0.53438291902592228</c:v>
                </c:pt>
                <c:pt idx="10498">
                  <c:v>0.52433483616683751</c:v>
                </c:pt>
                <c:pt idx="10499">
                  <c:v>0.54105727783679725</c:v>
                </c:pt>
                <c:pt idx="10500">
                  <c:v>0.49975400828824712</c:v>
                </c:pt>
                <c:pt idx="10501">
                  <c:v>0.53784678833118504</c:v>
                </c:pt>
                <c:pt idx="10502">
                  <c:v>0.54328200493655265</c:v>
                </c:pt>
                <c:pt idx="10503">
                  <c:v>0.50139820841691507</c:v>
                </c:pt>
                <c:pt idx="10504">
                  <c:v>0.51076960568713048</c:v>
                </c:pt>
                <c:pt idx="10505">
                  <c:v>0.52452424928649755</c:v>
                </c:pt>
                <c:pt idx="10506">
                  <c:v>0.51240807249616327</c:v>
                </c:pt>
                <c:pt idx="10507">
                  <c:v>0.49336978892683031</c:v>
                </c:pt>
                <c:pt idx="10508">
                  <c:v>0.52214051244734394</c:v>
                </c:pt>
                <c:pt idx="10509">
                  <c:v>0.51125739239388668</c:v>
                </c:pt>
                <c:pt idx="10510">
                  <c:v>0.51964728443173303</c:v>
                </c:pt>
                <c:pt idx="10511">
                  <c:v>0.49715973552609061</c:v>
                </c:pt>
                <c:pt idx="10512">
                  <c:v>0.49629738640781057</c:v>
                </c:pt>
                <c:pt idx="10513">
                  <c:v>0.49371618081090396</c:v>
                </c:pt>
                <c:pt idx="10514">
                  <c:v>0.50657767933061237</c:v>
                </c:pt>
                <c:pt idx="10515">
                  <c:v>0.49653943765345365</c:v>
                </c:pt>
                <c:pt idx="10516">
                  <c:v>0.50640530910811077</c:v>
                </c:pt>
                <c:pt idx="10517">
                  <c:v>0.5054914437989555</c:v>
                </c:pt>
                <c:pt idx="10518">
                  <c:v>0.52281094661988936</c:v>
                </c:pt>
                <c:pt idx="10519">
                  <c:v>0.53898759913759464</c:v>
                </c:pt>
                <c:pt idx="10520">
                  <c:v>0.52785729823036009</c:v>
                </c:pt>
                <c:pt idx="10521">
                  <c:v>0.49964585017234819</c:v>
                </c:pt>
                <c:pt idx="10522">
                  <c:v>0.4856166722386015</c:v>
                </c:pt>
                <c:pt idx="10523">
                  <c:v>0.49690599636027061</c:v>
                </c:pt>
                <c:pt idx="10524">
                  <c:v>0.49827539519415071</c:v>
                </c:pt>
                <c:pt idx="10525">
                  <c:v>0.51832491484581733</c:v>
                </c:pt>
                <c:pt idx="10526">
                  <c:v>0.50637797253695183</c:v>
                </c:pt>
                <c:pt idx="10527">
                  <c:v>0.47965994400787554</c:v>
                </c:pt>
                <c:pt idx="10528">
                  <c:v>0.48670471333597509</c:v>
                </c:pt>
                <c:pt idx="10529">
                  <c:v>0.48922264785662328</c:v>
                </c:pt>
                <c:pt idx="10530">
                  <c:v>0.49415765634053138</c:v>
                </c:pt>
                <c:pt idx="10531">
                  <c:v>0.50651477348026752</c:v>
                </c:pt>
                <c:pt idx="10532">
                  <c:v>0.4952517493066772</c:v>
                </c:pt>
                <c:pt idx="10533">
                  <c:v>0.49081750426288601</c:v>
                </c:pt>
                <c:pt idx="10534">
                  <c:v>0.49709254710447315</c:v>
                </c:pt>
                <c:pt idx="10535">
                  <c:v>0.4925201339955671</c:v>
                </c:pt>
                <c:pt idx="10536">
                  <c:v>0.46862347752473266</c:v>
                </c:pt>
                <c:pt idx="10537">
                  <c:v>0.4812348914654207</c:v>
                </c:pt>
                <c:pt idx="10538">
                  <c:v>0.49747590686665027</c:v>
                </c:pt>
                <c:pt idx="10539">
                  <c:v>0.48452717927219791</c:v>
                </c:pt>
                <c:pt idx="10540">
                  <c:v>0.45303932327748397</c:v>
                </c:pt>
                <c:pt idx="10541">
                  <c:v>0.48692499535324568</c:v>
                </c:pt>
                <c:pt idx="10542">
                  <c:v>0.48682973284536663</c:v>
                </c:pt>
                <c:pt idx="10543">
                  <c:v>0.50049403773449963</c:v>
                </c:pt>
                <c:pt idx="10544">
                  <c:v>0.48178018632664782</c:v>
                </c:pt>
                <c:pt idx="10545">
                  <c:v>0.47361716590101072</c:v>
                </c:pt>
                <c:pt idx="10546">
                  <c:v>0.49581870277538265</c:v>
                </c:pt>
                <c:pt idx="10547">
                  <c:v>0.51700735474336401</c:v>
                </c:pt>
                <c:pt idx="10548">
                  <c:v>0.49189484817908408</c:v>
                </c:pt>
                <c:pt idx="10549">
                  <c:v>0.49618503876839259</c:v>
                </c:pt>
                <c:pt idx="10550">
                  <c:v>0.48669465924122485</c:v>
                </c:pt>
                <c:pt idx="10551">
                  <c:v>0.51223880244533027</c:v>
                </c:pt>
                <c:pt idx="10552">
                  <c:v>0.53939793481658016</c:v>
                </c:pt>
                <c:pt idx="10553">
                  <c:v>0.51634971794683338</c:v>
                </c:pt>
                <c:pt idx="10554">
                  <c:v>0.46930924589563489</c:v>
                </c:pt>
                <c:pt idx="10555">
                  <c:v>0.50444965698793387</c:v>
                </c:pt>
                <c:pt idx="10556">
                  <c:v>0.52715488128174759</c:v>
                </c:pt>
                <c:pt idx="10557">
                  <c:v>0.49092045071707829</c:v>
                </c:pt>
                <c:pt idx="10558">
                  <c:v>0.51461269275942745</c:v>
                </c:pt>
                <c:pt idx="10559">
                  <c:v>0.48671519200391972</c:v>
                </c:pt>
                <c:pt idx="10560">
                  <c:v>0.51386123755588786</c:v>
                </c:pt>
                <c:pt idx="10561">
                  <c:v>0.55382673454899967</c:v>
                </c:pt>
                <c:pt idx="10562">
                  <c:v>0.55509481149834738</c:v>
                </c:pt>
                <c:pt idx="10563">
                  <c:v>0.49854363154175479</c:v>
                </c:pt>
                <c:pt idx="10564">
                  <c:v>0.50615799938082606</c:v>
                </c:pt>
                <c:pt idx="10565">
                  <c:v>0.52346057055237727</c:v>
                </c:pt>
                <c:pt idx="10566">
                  <c:v>0.47110753702104474</c:v>
                </c:pt>
                <c:pt idx="10567">
                  <c:v>0.50409104559940709</c:v>
                </c:pt>
                <c:pt idx="10568">
                  <c:v>0.50693951536121762</c:v>
                </c:pt>
                <c:pt idx="10569">
                  <c:v>0.52129672918413361</c:v>
                </c:pt>
                <c:pt idx="10570">
                  <c:v>0.52596091450909421</c:v>
                </c:pt>
                <c:pt idx="10571">
                  <c:v>0.51889279522197973</c:v>
                </c:pt>
                <c:pt idx="10572">
                  <c:v>0.55361836605540615</c:v>
                </c:pt>
                <c:pt idx="10573">
                  <c:v>0.52962076563658</c:v>
                </c:pt>
                <c:pt idx="10574">
                  <c:v>0.54097855387456784</c:v>
                </c:pt>
                <c:pt idx="10575">
                  <c:v>0.5169624514365363</c:v>
                </c:pt>
                <c:pt idx="10576">
                  <c:v>0.51066737286279984</c:v>
                </c:pt>
                <c:pt idx="10577">
                  <c:v>0.53104287092713487</c:v>
                </c:pt>
                <c:pt idx="10578">
                  <c:v>0.52842572148267075</c:v>
                </c:pt>
                <c:pt idx="10579">
                  <c:v>0.54402759103739196</c:v>
                </c:pt>
                <c:pt idx="10580">
                  <c:v>0.52547940255838776</c:v>
                </c:pt>
                <c:pt idx="10581">
                  <c:v>0.56977430604201462</c:v>
                </c:pt>
                <c:pt idx="10582">
                  <c:v>0.57425229631760133</c:v>
                </c:pt>
                <c:pt idx="10583">
                  <c:v>0.53057861172842435</c:v>
                </c:pt>
                <c:pt idx="10584">
                  <c:v>0.52522432153004328</c:v>
                </c:pt>
                <c:pt idx="10585">
                  <c:v>0.53288681224744983</c:v>
                </c:pt>
                <c:pt idx="10586">
                  <c:v>0.50914524008631123</c:v>
                </c:pt>
                <c:pt idx="10587">
                  <c:v>0.53137403503477287</c:v>
                </c:pt>
                <c:pt idx="10588">
                  <c:v>0.55534878113844666</c:v>
                </c:pt>
                <c:pt idx="10589">
                  <c:v>0.58918002885724874</c:v>
                </c:pt>
                <c:pt idx="10590">
                  <c:v>0.54809716925007246</c:v>
                </c:pt>
                <c:pt idx="10591">
                  <c:v>0.5567175361685518</c:v>
                </c:pt>
                <c:pt idx="10592">
                  <c:v>0.54494121465177092</c:v>
                </c:pt>
                <c:pt idx="10593">
                  <c:v>0.55578163835765171</c:v>
                </c:pt>
                <c:pt idx="10594">
                  <c:v>0.56390674637028682</c:v>
                </c:pt>
                <c:pt idx="10595">
                  <c:v>0.56163163880801215</c:v>
                </c:pt>
                <c:pt idx="10596">
                  <c:v>0.56678631976381777</c:v>
                </c:pt>
                <c:pt idx="10597">
                  <c:v>0.56319549628927212</c:v>
                </c:pt>
                <c:pt idx="10598">
                  <c:v>0.54240760647308794</c:v>
                </c:pt>
                <c:pt idx="10599">
                  <c:v>0.56077195852977313</c:v>
                </c:pt>
                <c:pt idx="10600">
                  <c:v>0.55507122106567663</c:v>
                </c:pt>
                <c:pt idx="10601">
                  <c:v>0.55780460981447788</c:v>
                </c:pt>
                <c:pt idx="10602">
                  <c:v>0.52540337325276443</c:v>
                </c:pt>
                <c:pt idx="10603">
                  <c:v>0.53566380935093572</c:v>
                </c:pt>
                <c:pt idx="10604">
                  <c:v>0.52292951133805377</c:v>
                </c:pt>
                <c:pt idx="10605">
                  <c:v>0.55735775964651968</c:v>
                </c:pt>
                <c:pt idx="10606">
                  <c:v>0.5271858430097297</c:v>
                </c:pt>
                <c:pt idx="10607">
                  <c:v>0.54482590904403183</c:v>
                </c:pt>
                <c:pt idx="10608">
                  <c:v>0.54641260241860679</c:v>
                </c:pt>
                <c:pt idx="10609">
                  <c:v>0.50385765998796317</c:v>
                </c:pt>
                <c:pt idx="10610">
                  <c:v>0.54668168948498608</c:v>
                </c:pt>
                <c:pt idx="10611">
                  <c:v>0.51129847374831006</c:v>
                </c:pt>
                <c:pt idx="10612">
                  <c:v>0.53874962766023482</c:v>
                </c:pt>
                <c:pt idx="10613">
                  <c:v>0.5403790340998873</c:v>
                </c:pt>
                <c:pt idx="10614">
                  <c:v>0.52722028533853038</c:v>
                </c:pt>
                <c:pt idx="10615">
                  <c:v>0.50485360695111337</c:v>
                </c:pt>
                <c:pt idx="10616">
                  <c:v>0.5341797327767247</c:v>
                </c:pt>
                <c:pt idx="10617">
                  <c:v>0.52688425924114624</c:v>
                </c:pt>
                <c:pt idx="10618">
                  <c:v>0.53515418630514799</c:v>
                </c:pt>
                <c:pt idx="10619">
                  <c:v>0.52528237243281339</c:v>
                </c:pt>
                <c:pt idx="10620">
                  <c:v>0.51164369793772657</c:v>
                </c:pt>
                <c:pt idx="10621">
                  <c:v>0.49826505388907899</c:v>
                </c:pt>
                <c:pt idx="10622">
                  <c:v>0.50827243270986788</c:v>
                </c:pt>
                <c:pt idx="10623">
                  <c:v>0.51283455931595667</c:v>
                </c:pt>
                <c:pt idx="10624">
                  <c:v>0.51706968340341652</c:v>
                </c:pt>
                <c:pt idx="10625">
                  <c:v>0.53615110052331205</c:v>
                </c:pt>
                <c:pt idx="10626">
                  <c:v>0.53535805665203096</c:v>
                </c:pt>
                <c:pt idx="10627">
                  <c:v>0.53511720080729086</c:v>
                </c:pt>
                <c:pt idx="10628">
                  <c:v>0.53768815757991262</c:v>
                </c:pt>
                <c:pt idx="10629">
                  <c:v>0.54877452244435521</c:v>
                </c:pt>
                <c:pt idx="10630">
                  <c:v>0.5435699332464824</c:v>
                </c:pt>
                <c:pt idx="10631">
                  <c:v>0.54866673747660122</c:v>
                </c:pt>
                <c:pt idx="10632">
                  <c:v>0.54498108766269304</c:v>
                </c:pt>
                <c:pt idx="10633">
                  <c:v>0.55000588837741626</c:v>
                </c:pt>
                <c:pt idx="10634">
                  <c:v>0.54590358319866128</c:v>
                </c:pt>
                <c:pt idx="10635">
                  <c:v>0.56176210607243748</c:v>
                </c:pt>
                <c:pt idx="10636">
                  <c:v>0.56819057311957533</c:v>
                </c:pt>
                <c:pt idx="10637">
                  <c:v>0.56740106298994442</c:v>
                </c:pt>
                <c:pt idx="10638">
                  <c:v>0.55407829394484254</c:v>
                </c:pt>
                <c:pt idx="10639">
                  <c:v>0.55387720366206339</c:v>
                </c:pt>
                <c:pt idx="10640">
                  <c:v>0.54941123354751664</c:v>
                </c:pt>
                <c:pt idx="10641">
                  <c:v>0.56135031575012739</c:v>
                </c:pt>
                <c:pt idx="10642">
                  <c:v>0.55539605147040594</c:v>
                </c:pt>
                <c:pt idx="10643">
                  <c:v>0.55190564607660098</c:v>
                </c:pt>
                <c:pt idx="10644">
                  <c:v>0.55019948068757119</c:v>
                </c:pt>
                <c:pt idx="10645">
                  <c:v>0.55686828317934334</c:v>
                </c:pt>
                <c:pt idx="10646">
                  <c:v>0.55983315964591984</c:v>
                </c:pt>
                <c:pt idx="10647">
                  <c:v>0.55861474319265203</c:v>
                </c:pt>
                <c:pt idx="10648">
                  <c:v>0.57506100317749076</c:v>
                </c:pt>
                <c:pt idx="10649">
                  <c:v>0.56078401798520428</c:v>
                </c:pt>
                <c:pt idx="10650">
                  <c:v>0.54673188581115639</c:v>
                </c:pt>
                <c:pt idx="10651">
                  <c:v>0.54831840180057889</c:v>
                </c:pt>
                <c:pt idx="10652">
                  <c:v>0.556377048254871</c:v>
                </c:pt>
                <c:pt idx="10653">
                  <c:v>0.56516456584612162</c:v>
                </c:pt>
                <c:pt idx="10654">
                  <c:v>0.55308965433067103</c:v>
                </c:pt>
                <c:pt idx="10655">
                  <c:v>0.56215041630449725</c:v>
                </c:pt>
                <c:pt idx="10656">
                  <c:v>0.55680550840815102</c:v>
                </c:pt>
                <c:pt idx="10657">
                  <c:v>0.56116592646672347</c:v>
                </c:pt>
                <c:pt idx="10658">
                  <c:v>0.57385253325073649</c:v>
                </c:pt>
                <c:pt idx="10659">
                  <c:v>0.5771151330978439</c:v>
                </c:pt>
                <c:pt idx="10660">
                  <c:v>0.56596971085977765</c:v>
                </c:pt>
                <c:pt idx="10661">
                  <c:v>0.56795809870621317</c:v>
                </c:pt>
                <c:pt idx="10662">
                  <c:v>0.55576509089102732</c:v>
                </c:pt>
                <c:pt idx="10663">
                  <c:v>0.55480449955987465</c:v>
                </c:pt>
                <c:pt idx="10664">
                  <c:v>0.56103957580558428</c:v>
                </c:pt>
                <c:pt idx="10665">
                  <c:v>0.56410028469476681</c:v>
                </c:pt>
                <c:pt idx="10666">
                  <c:v>0.55735390860274292</c:v>
                </c:pt>
                <c:pt idx="10667">
                  <c:v>0.56135031575012739</c:v>
                </c:pt>
                <c:pt idx="10668">
                  <c:v>0.56538956152986564</c:v>
                </c:pt>
                <c:pt idx="10669">
                  <c:v>0.55665027961607649</c:v>
                </c:pt>
                <c:pt idx="10670">
                  <c:v>0.55783322142816971</c:v>
                </c:pt>
                <c:pt idx="10671">
                  <c:v>0.54628484799869703</c:v>
                </c:pt>
                <c:pt idx="10672">
                  <c:v>0.52420691286346122</c:v>
                </c:pt>
                <c:pt idx="10673">
                  <c:v>0.52548043864098182</c:v>
                </c:pt>
                <c:pt idx="10674">
                  <c:v>0.51349287682426448</c:v>
                </c:pt>
                <c:pt idx="10675">
                  <c:v>0.50311502723939172</c:v>
                </c:pt>
                <c:pt idx="10676">
                  <c:v>0.5022608817621409</c:v>
                </c:pt>
                <c:pt idx="10677">
                  <c:v>0.50085617864714116</c:v>
                </c:pt>
                <c:pt idx="10678">
                  <c:v>0.50577193103766271</c:v>
                </c:pt>
                <c:pt idx="10679">
                  <c:v>0.48886278876028699</c:v>
                </c:pt>
                <c:pt idx="10680">
                  <c:v>0.48865843073389809</c:v>
                </c:pt>
                <c:pt idx="10681">
                  <c:v>0.4950702399986695</c:v>
                </c:pt>
                <c:pt idx="10682">
                  <c:v>0.47424759627271112</c:v>
                </c:pt>
                <c:pt idx="10683">
                  <c:v>0.47824678915007451</c:v>
                </c:pt>
                <c:pt idx="10684">
                  <c:v>0.47235911481371684</c:v>
                </c:pt>
                <c:pt idx="10685">
                  <c:v>0.48176715309741353</c:v>
                </c:pt>
                <c:pt idx="10686">
                  <c:v>0.50086097591290224</c:v>
                </c:pt>
                <c:pt idx="10687">
                  <c:v>0.50634102483262566</c:v>
                </c:pt>
                <c:pt idx="10688">
                  <c:v>0.52100542049068588</c:v>
                </c:pt>
                <c:pt idx="10689">
                  <c:v>0.5212448128466648</c:v>
                </c:pt>
                <c:pt idx="10690">
                  <c:v>0.49738693785715365</c:v>
                </c:pt>
                <c:pt idx="10691">
                  <c:v>0.4984763812571737</c:v>
                </c:pt>
                <c:pt idx="10692">
                  <c:v>0.50193846874558212</c:v>
                </c:pt>
                <c:pt idx="10693">
                  <c:v>0.52114056911715212</c:v>
                </c:pt>
                <c:pt idx="10694">
                  <c:v>0.5326160449963997</c:v>
                </c:pt>
                <c:pt idx="10695">
                  <c:v>0.51586364826423003</c:v>
                </c:pt>
                <c:pt idx="10696">
                  <c:v>0.51989346103034118</c:v>
                </c:pt>
                <c:pt idx="10697">
                  <c:v>0.50118281991516389</c:v>
                </c:pt>
                <c:pt idx="10698">
                  <c:v>0.52118386534771677</c:v>
                </c:pt>
                <c:pt idx="10699">
                  <c:v>0.5195267697483783</c:v>
                </c:pt>
                <c:pt idx="10700">
                  <c:v>0.53034469504375159</c:v>
                </c:pt>
                <c:pt idx="10701">
                  <c:v>0.53677023572868643</c:v>
                </c:pt>
                <c:pt idx="10702">
                  <c:v>0.52099756932636943</c:v>
                </c:pt>
                <c:pt idx="10703">
                  <c:v>0.50179502122286967</c:v>
                </c:pt>
                <c:pt idx="10704">
                  <c:v>0.52335282286680396</c:v>
                </c:pt>
                <c:pt idx="10705">
                  <c:v>0.53545274150502353</c:v>
                </c:pt>
                <c:pt idx="10706">
                  <c:v>0.50261349884396866</c:v>
                </c:pt>
                <c:pt idx="10707">
                  <c:v>0.52280951322198055</c:v>
                </c:pt>
                <c:pt idx="10708">
                  <c:v>0.48861529185282171</c:v>
                </c:pt>
                <c:pt idx="10709">
                  <c:v>0.49925876156434496</c:v>
                </c:pt>
                <c:pt idx="10710">
                  <c:v>0.48677253699238288</c:v>
                </c:pt>
                <c:pt idx="10711">
                  <c:v>0.49646869177457031</c:v>
                </c:pt>
                <c:pt idx="10712">
                  <c:v>0.49756831034498766</c:v>
                </c:pt>
                <c:pt idx="10713">
                  <c:v>0.48796416403778409</c:v>
                </c:pt>
                <c:pt idx="10714">
                  <c:v>0.5032919792483157</c:v>
                </c:pt>
                <c:pt idx="10715">
                  <c:v>0.49725179166937478</c:v>
                </c:pt>
                <c:pt idx="10716">
                  <c:v>0.48617648756244336</c:v>
                </c:pt>
                <c:pt idx="10717">
                  <c:v>0.50783577499551436</c:v>
                </c:pt>
                <c:pt idx="10718">
                  <c:v>0.55661978172551174</c:v>
                </c:pt>
                <c:pt idx="10719">
                  <c:v>0.52355333186577035</c:v>
                </c:pt>
                <c:pt idx="10720">
                  <c:v>0.51219460515938975</c:v>
                </c:pt>
                <c:pt idx="10721">
                  <c:v>0.5107460259389226</c:v>
                </c:pt>
                <c:pt idx="10722">
                  <c:v>0.48324043603257344</c:v>
                </c:pt>
                <c:pt idx="10723">
                  <c:v>0.54488102671451899</c:v>
                </c:pt>
                <c:pt idx="10724">
                  <c:v>0.57033111129740366</c:v>
                </c:pt>
                <c:pt idx="10725">
                  <c:v>0.5568564759497725</c:v>
                </c:pt>
                <c:pt idx="10726">
                  <c:v>0.57262035869502381</c:v>
                </c:pt>
                <c:pt idx="10727">
                  <c:v>0.52751506183679253</c:v>
                </c:pt>
                <c:pt idx="10728">
                  <c:v>0.51105795210082872</c:v>
                </c:pt>
                <c:pt idx="10729">
                  <c:v>0.53231043310967208</c:v>
                </c:pt>
                <c:pt idx="10730">
                  <c:v>0.50335930568309262</c:v>
                </c:pt>
                <c:pt idx="10731">
                  <c:v>0.53994494773544188</c:v>
                </c:pt>
                <c:pt idx="10732">
                  <c:v>0.55274290347452526</c:v>
                </c:pt>
                <c:pt idx="10733">
                  <c:v>0.59777150976376658</c:v>
                </c:pt>
                <c:pt idx="10734">
                  <c:v>0.55248740492111614</c:v>
                </c:pt>
                <c:pt idx="10735">
                  <c:v>0.55823058366206946</c:v>
                </c:pt>
                <c:pt idx="10736">
                  <c:v>0.55059618535365207</c:v>
                </c:pt>
                <c:pt idx="10737">
                  <c:v>0.59503401449031301</c:v>
                </c:pt>
                <c:pt idx="10738">
                  <c:v>0.55358559079907566</c:v>
                </c:pt>
                <c:pt idx="10739">
                  <c:v>0.56121674271234234</c:v>
                </c:pt>
                <c:pt idx="10740">
                  <c:v>0.56177104075240925</c:v>
                </c:pt>
                <c:pt idx="10741">
                  <c:v>0.57256609517474599</c:v>
                </c:pt>
                <c:pt idx="10742">
                  <c:v>0.5440372703938392</c:v>
                </c:pt>
                <c:pt idx="10743">
                  <c:v>0.55780388848893292</c:v>
                </c:pt>
                <c:pt idx="10744">
                  <c:v>0.55248947384633451</c:v>
                </c:pt>
                <c:pt idx="10745">
                  <c:v>0.54877636364079863</c:v>
                </c:pt>
                <c:pt idx="10746">
                  <c:v>0.53579637026878013</c:v>
                </c:pt>
                <c:pt idx="10747">
                  <c:v>0.53903618203205195</c:v>
                </c:pt>
                <c:pt idx="10748">
                  <c:v>0.52861078757180058</c:v>
                </c:pt>
                <c:pt idx="10749">
                  <c:v>0.57122664871937046</c:v>
                </c:pt>
                <c:pt idx="10750">
                  <c:v>0.52325220820106755</c:v>
                </c:pt>
                <c:pt idx="10751">
                  <c:v>0.5397550002559145</c:v>
                </c:pt>
                <c:pt idx="10752">
                  <c:v>0.54693717402458708</c:v>
                </c:pt>
                <c:pt idx="10753">
                  <c:v>0.48882798422191037</c:v>
                </c:pt>
                <c:pt idx="10754">
                  <c:v>0.55386434430064424</c:v>
                </c:pt>
                <c:pt idx="10755">
                  <c:v>0.51610747895434494</c:v>
                </c:pt>
                <c:pt idx="10756">
                  <c:v>0.54217598869113981</c:v>
                </c:pt>
                <c:pt idx="10757">
                  <c:v>0.54296763822666172</c:v>
                </c:pt>
                <c:pt idx="10758">
                  <c:v>0.53511555411942169</c:v>
                </c:pt>
                <c:pt idx="10759">
                  <c:v>0.4931856776007813</c:v>
                </c:pt>
                <c:pt idx="10760">
                  <c:v>0.52533963826483143</c:v>
                </c:pt>
                <c:pt idx="10761">
                  <c:v>0.52585236205836872</c:v>
                </c:pt>
                <c:pt idx="10762">
                  <c:v>0.53014704160921466</c:v>
                </c:pt>
                <c:pt idx="10763">
                  <c:v>0.5114666392974293</c:v>
                </c:pt>
                <c:pt idx="10764">
                  <c:v>0.5043429340747797</c:v>
                </c:pt>
                <c:pt idx="10765">
                  <c:v>0.4914545668843317</c:v>
                </c:pt>
                <c:pt idx="10766">
                  <c:v>0.5055393116177983</c:v>
                </c:pt>
                <c:pt idx="10767">
                  <c:v>0.49804976094211006</c:v>
                </c:pt>
                <c:pt idx="10768">
                  <c:v>0.50305652724480232</c:v>
                </c:pt>
                <c:pt idx="10769">
                  <c:v>0.52769768160475461</c:v>
                </c:pt>
                <c:pt idx="10770">
                  <c:v>0.53092995411695576</c:v>
                </c:pt>
                <c:pt idx="10771">
                  <c:v>0.52799908752285751</c:v>
                </c:pt>
                <c:pt idx="10772">
                  <c:v>0.52948373953264338</c:v>
                </c:pt>
                <c:pt idx="10773">
                  <c:v>0.53579358791716081</c:v>
                </c:pt>
                <c:pt idx="10774">
                  <c:v>0.53243280563531803</c:v>
                </c:pt>
                <c:pt idx="10775">
                  <c:v>0.5308060059504609</c:v>
                </c:pt>
                <c:pt idx="10776">
                  <c:v>0.53729460393327544</c:v>
                </c:pt>
                <c:pt idx="10777">
                  <c:v>0.53671319552992658</c:v>
                </c:pt>
                <c:pt idx="10778">
                  <c:v>0.52773685043743102</c:v>
                </c:pt>
                <c:pt idx="10779">
                  <c:v>0.5445316233498031</c:v>
                </c:pt>
                <c:pt idx="10780">
                  <c:v>0.54535079117911589</c:v>
                </c:pt>
                <c:pt idx="10781">
                  <c:v>0.54822500624740822</c:v>
                </c:pt>
                <c:pt idx="10782">
                  <c:v>0.53708445345719913</c:v>
                </c:pt>
                <c:pt idx="10783">
                  <c:v>0.53390596002935975</c:v>
                </c:pt>
                <c:pt idx="10784">
                  <c:v>0.52974223109414809</c:v>
                </c:pt>
                <c:pt idx="10785">
                  <c:v>0.54295955222041115</c:v>
                </c:pt>
                <c:pt idx="10786">
                  <c:v>0.54014608119973595</c:v>
                </c:pt>
                <c:pt idx="10787">
                  <c:v>0.53609688575451098</c:v>
                </c:pt>
                <c:pt idx="10788">
                  <c:v>0.53300113078900191</c:v>
                </c:pt>
                <c:pt idx="10789">
                  <c:v>0.5409950496008159</c:v>
                </c:pt>
                <c:pt idx="10790">
                  <c:v>0.54424805312338942</c:v>
                </c:pt>
                <c:pt idx="10791">
                  <c:v>0.54210207924119036</c:v>
                </c:pt>
                <c:pt idx="10792">
                  <c:v>0.54874101130518793</c:v>
                </c:pt>
                <c:pt idx="10793">
                  <c:v>0.53334085349088067</c:v>
                </c:pt>
                <c:pt idx="10794">
                  <c:v>0.51796401192384944</c:v>
                </c:pt>
                <c:pt idx="10795">
                  <c:v>0.51836493815264106</c:v>
                </c:pt>
                <c:pt idx="10796">
                  <c:v>0.52719925907305554</c:v>
                </c:pt>
                <c:pt idx="10797">
                  <c:v>0.53773537516943992</c:v>
                </c:pt>
                <c:pt idx="10798">
                  <c:v>0.52410701557828732</c:v>
                </c:pt>
                <c:pt idx="10799">
                  <c:v>0.53541856619826511</c:v>
                </c:pt>
                <c:pt idx="10800">
                  <c:v>0.52616785234660468</c:v>
                </c:pt>
                <c:pt idx="10801">
                  <c:v>0.53319965273062331</c:v>
                </c:pt>
                <c:pt idx="10802">
                  <c:v>0.54858999497324756</c:v>
                </c:pt>
                <c:pt idx="10803">
                  <c:v>0.55366327627866119</c:v>
                </c:pt>
                <c:pt idx="10804">
                  <c:v>0.54356061615628215</c:v>
                </c:pt>
                <c:pt idx="10805">
                  <c:v>0.54144169558100408</c:v>
                </c:pt>
                <c:pt idx="10806">
                  <c:v>0.53299565742448018</c:v>
                </c:pt>
                <c:pt idx="10807">
                  <c:v>0.53038336976763079</c:v>
                </c:pt>
                <c:pt idx="10808">
                  <c:v>0.53982404750584267</c:v>
                </c:pt>
                <c:pt idx="10809">
                  <c:v>0.54027552881182483</c:v>
                </c:pt>
                <c:pt idx="10810">
                  <c:v>0.53691822767764963</c:v>
                </c:pt>
                <c:pt idx="10811">
                  <c:v>0.54317036117417605</c:v>
                </c:pt>
                <c:pt idx="10812">
                  <c:v>0.55401778259815737</c:v>
                </c:pt>
                <c:pt idx="10813">
                  <c:v>0.53844000681751703</c:v>
                </c:pt>
                <c:pt idx="10814">
                  <c:v>0.54046687534194138</c:v>
                </c:pt>
                <c:pt idx="10815">
                  <c:v>0.52893635872495393</c:v>
                </c:pt>
                <c:pt idx="10816">
                  <c:v>0.50317488271364808</c:v>
                </c:pt>
                <c:pt idx="10817">
                  <c:v>0.50611074137759382</c:v>
                </c:pt>
                <c:pt idx="10818">
                  <c:v>0.49421764565929249</c:v>
                </c:pt>
                <c:pt idx="10819">
                  <c:v>0.47792785865524073</c:v>
                </c:pt>
                <c:pt idx="10820">
                  <c:v>0.47804199566073458</c:v>
                </c:pt>
                <c:pt idx="10821">
                  <c:v>0.47674673143352492</c:v>
                </c:pt>
                <c:pt idx="10822">
                  <c:v>0.48812128594722098</c:v>
                </c:pt>
                <c:pt idx="10823">
                  <c:v>0.46788679325252552</c:v>
                </c:pt>
                <c:pt idx="10824">
                  <c:v>0.4764881712165131</c:v>
                </c:pt>
                <c:pt idx="10825">
                  <c:v>0.48188243347681048</c:v>
                </c:pt>
                <c:pt idx="10826">
                  <c:v>0.45711431831903104</c:v>
                </c:pt>
                <c:pt idx="10827">
                  <c:v>0.46237193944828053</c:v>
                </c:pt>
                <c:pt idx="10828">
                  <c:v>0.46090069797039968</c:v>
                </c:pt>
                <c:pt idx="10829">
                  <c:v>0.46591795321193535</c:v>
                </c:pt>
                <c:pt idx="10830">
                  <c:v>0.46686035734811715</c:v>
                </c:pt>
                <c:pt idx="10831">
                  <c:v>0.46940725077701129</c:v>
                </c:pt>
                <c:pt idx="10832">
                  <c:v>0.48622100346813435</c:v>
                </c:pt>
                <c:pt idx="10833">
                  <c:v>0.48270126023275284</c:v>
                </c:pt>
                <c:pt idx="10834">
                  <c:v>0.45561995502250624</c:v>
                </c:pt>
                <c:pt idx="10835">
                  <c:v>0.45913062576630181</c:v>
                </c:pt>
                <c:pt idx="10836">
                  <c:v>0.4648898259450569</c:v>
                </c:pt>
                <c:pt idx="10837">
                  <c:v>0.4749500096275816</c:v>
                </c:pt>
                <c:pt idx="10838">
                  <c:v>0.50217316101596565</c:v>
                </c:pt>
                <c:pt idx="10839">
                  <c:v>0.4865479279392777</c:v>
                </c:pt>
                <c:pt idx="10840">
                  <c:v>0.48633113945750067</c:v>
                </c:pt>
                <c:pt idx="10841">
                  <c:v>0.47079154433684395</c:v>
                </c:pt>
                <c:pt idx="10842">
                  <c:v>0.49079744509680978</c:v>
                </c:pt>
                <c:pt idx="10843">
                  <c:v>0.4932531941498921</c:v>
                </c:pt>
                <c:pt idx="10844">
                  <c:v>0.50514346385381881</c:v>
                </c:pt>
                <c:pt idx="10845">
                  <c:v>0.492925138317098</c:v>
                </c:pt>
                <c:pt idx="10846">
                  <c:v>0.50170816389920625</c:v>
                </c:pt>
                <c:pt idx="10847">
                  <c:v>0.47472254859557222</c:v>
                </c:pt>
                <c:pt idx="10848">
                  <c:v>0.50081834692333238</c:v>
                </c:pt>
                <c:pt idx="10849">
                  <c:v>0.51420177304066805</c:v>
                </c:pt>
                <c:pt idx="10850">
                  <c:v>0.49882671269597451</c:v>
                </c:pt>
                <c:pt idx="10851">
                  <c:v>0.51951521538582135</c:v>
                </c:pt>
                <c:pt idx="10852">
                  <c:v>0.50204974810233838</c:v>
                </c:pt>
                <c:pt idx="10853">
                  <c:v>0.49665861355220375</c:v>
                </c:pt>
                <c:pt idx="10854">
                  <c:v>0.4946543018632556</c:v>
                </c:pt>
                <c:pt idx="10855">
                  <c:v>0.50287374922486971</c:v>
                </c:pt>
                <c:pt idx="10856">
                  <c:v>0.50407716844642403</c:v>
                </c:pt>
                <c:pt idx="10857">
                  <c:v>0.49326574772281728</c:v>
                </c:pt>
                <c:pt idx="10858">
                  <c:v>0.50673132068976678</c:v>
                </c:pt>
                <c:pt idx="10859">
                  <c:v>0.48553958082419774</c:v>
                </c:pt>
                <c:pt idx="10860">
                  <c:v>0.48529572285715844</c:v>
                </c:pt>
                <c:pt idx="10861">
                  <c:v>0.51145406592405851</c:v>
                </c:pt>
                <c:pt idx="10862">
                  <c:v>0.54874125681744157</c:v>
                </c:pt>
                <c:pt idx="10863">
                  <c:v>0.5081971038576153</c:v>
                </c:pt>
                <c:pt idx="10864">
                  <c:v>0.50116364474994657</c:v>
                </c:pt>
                <c:pt idx="10865">
                  <c:v>0.50641153402735073</c:v>
                </c:pt>
                <c:pt idx="10866">
                  <c:v>0.49577904288847585</c:v>
                </c:pt>
                <c:pt idx="10867">
                  <c:v>0.51979256649690864</c:v>
                </c:pt>
                <c:pt idx="10868">
                  <c:v>0.53057259574590721</c:v>
                </c:pt>
                <c:pt idx="10869">
                  <c:v>0.53536463968919323</c:v>
                </c:pt>
                <c:pt idx="10870">
                  <c:v>0.53304746069286313</c:v>
                </c:pt>
                <c:pt idx="10871">
                  <c:v>0.52352692357936326</c:v>
                </c:pt>
                <c:pt idx="10872">
                  <c:v>0.5349512339436695</c:v>
                </c:pt>
                <c:pt idx="10873">
                  <c:v>0.53504093994148105</c:v>
                </c:pt>
                <c:pt idx="10874">
                  <c:v>0.55412849134903941</c:v>
                </c:pt>
                <c:pt idx="10875">
                  <c:v>0.5333233013005233</c:v>
                </c:pt>
                <c:pt idx="10876">
                  <c:v>0.51524525090559181</c:v>
                </c:pt>
                <c:pt idx="10877">
                  <c:v>0.54345699664144775</c:v>
                </c:pt>
                <c:pt idx="10878">
                  <c:v>0.54209135945697751</c:v>
                </c:pt>
                <c:pt idx="10879">
                  <c:v>0.52398890188913116</c:v>
                </c:pt>
                <c:pt idx="10880">
                  <c:v>0.52802509651890472</c:v>
                </c:pt>
                <c:pt idx="10881">
                  <c:v>0.53846740912257707</c:v>
                </c:pt>
                <c:pt idx="10882">
                  <c:v>0.54288216774632325</c:v>
                </c:pt>
                <c:pt idx="10883">
                  <c:v>0.5221978025596663</c:v>
                </c:pt>
                <c:pt idx="10884">
                  <c:v>0.52714765656093132</c:v>
                </c:pt>
                <c:pt idx="10885">
                  <c:v>0.56388801610118666</c:v>
                </c:pt>
                <c:pt idx="10886">
                  <c:v>0.56668338528014783</c:v>
                </c:pt>
                <c:pt idx="10887">
                  <c:v>0.56580167243325308</c:v>
                </c:pt>
                <c:pt idx="10888">
                  <c:v>0.55766585281915471</c:v>
                </c:pt>
                <c:pt idx="10889">
                  <c:v>0.52172699045954862</c:v>
                </c:pt>
                <c:pt idx="10890">
                  <c:v>0.53394851025652523</c:v>
                </c:pt>
                <c:pt idx="10891">
                  <c:v>0.53180094194229754</c:v>
                </c:pt>
                <c:pt idx="10892">
                  <c:v>0.53300838607285927</c:v>
                </c:pt>
                <c:pt idx="10893">
                  <c:v>0.57039803413698975</c:v>
                </c:pt>
                <c:pt idx="10894">
                  <c:v>0.55570119001051499</c:v>
                </c:pt>
                <c:pt idx="10895">
                  <c:v>0.57233850962092514</c:v>
                </c:pt>
                <c:pt idx="10896">
                  <c:v>0.53425538348742563</c:v>
                </c:pt>
                <c:pt idx="10897">
                  <c:v>0.52864755990363632</c:v>
                </c:pt>
                <c:pt idx="10898">
                  <c:v>0.5413466843867103</c:v>
                </c:pt>
                <c:pt idx="10899">
                  <c:v>0.53545248836448955</c:v>
                </c:pt>
                <c:pt idx="10900">
                  <c:v>0.52798633997086009</c:v>
                </c:pt>
                <c:pt idx="10901">
                  <c:v>0.51938100470009263</c:v>
                </c:pt>
                <c:pt idx="10902">
                  <c:v>0.52774419420029417</c:v>
                </c:pt>
                <c:pt idx="10903">
                  <c:v>0.5195447571783004</c:v>
                </c:pt>
                <c:pt idx="10904">
                  <c:v>0.51314485631127671</c:v>
                </c:pt>
                <c:pt idx="10905">
                  <c:v>0.52423483842375562</c:v>
                </c:pt>
                <c:pt idx="10906">
                  <c:v>0.51057516849848239</c:v>
                </c:pt>
                <c:pt idx="10907">
                  <c:v>0.51639904881510001</c:v>
                </c:pt>
                <c:pt idx="10908">
                  <c:v>0.52969092987076338</c:v>
                </c:pt>
                <c:pt idx="10909">
                  <c:v>0.5121645591189673</c:v>
                </c:pt>
                <c:pt idx="10910">
                  <c:v>0.53255832911584688</c:v>
                </c:pt>
                <c:pt idx="10911">
                  <c:v>0.52131608179754285</c:v>
                </c:pt>
                <c:pt idx="10912">
                  <c:v>0.51111752607638061</c:v>
                </c:pt>
                <c:pt idx="10913">
                  <c:v>0.50950292867836677</c:v>
                </c:pt>
                <c:pt idx="10914">
                  <c:v>0.50953033797211855</c:v>
                </c:pt>
                <c:pt idx="10915">
                  <c:v>0.52660791399963858</c:v>
                </c:pt>
                <c:pt idx="10916">
                  <c:v>0.53261400659706848</c:v>
                </c:pt>
                <c:pt idx="10917">
                  <c:v>0.53751347083382695</c:v>
                </c:pt>
                <c:pt idx="10918">
                  <c:v>0.54451662492819741</c:v>
                </c:pt>
                <c:pt idx="10919">
                  <c:v>0.54022195169489962</c:v>
                </c:pt>
                <c:pt idx="10920">
                  <c:v>0.54286039310151157</c:v>
                </c:pt>
                <c:pt idx="10921">
                  <c:v>0.56166011856855769</c:v>
                </c:pt>
                <c:pt idx="10922">
                  <c:v>0.55651633814649126</c:v>
                </c:pt>
                <c:pt idx="10923">
                  <c:v>0.54639877959891725</c:v>
                </c:pt>
                <c:pt idx="10924">
                  <c:v>0.55677490091061732</c:v>
                </c:pt>
                <c:pt idx="10925">
                  <c:v>0.55699729841195311</c:v>
                </c:pt>
                <c:pt idx="10926">
                  <c:v>0.54494876851565277</c:v>
                </c:pt>
                <c:pt idx="10927">
                  <c:v>0.5566600433102743</c:v>
                </c:pt>
                <c:pt idx="10928">
                  <c:v>0.55957054491971425</c:v>
                </c:pt>
                <c:pt idx="10929">
                  <c:v>0.55810625930038305</c:v>
                </c:pt>
                <c:pt idx="10930">
                  <c:v>0.5640257476894569</c:v>
                </c:pt>
                <c:pt idx="10931">
                  <c:v>0.55199740065907699</c:v>
                </c:pt>
                <c:pt idx="10932">
                  <c:v>0.555807243413727</c:v>
                </c:pt>
                <c:pt idx="10933">
                  <c:v>0.54535277066547361</c:v>
                </c:pt>
                <c:pt idx="10934">
                  <c:v>0.55181874770393768</c:v>
                </c:pt>
                <c:pt idx="10935">
                  <c:v>0.56671683577452225</c:v>
                </c:pt>
                <c:pt idx="10936">
                  <c:v>0.56833211021389074</c:v>
                </c:pt>
                <c:pt idx="10937">
                  <c:v>0.53959342940532806</c:v>
                </c:pt>
                <c:pt idx="10938">
                  <c:v>0.53440994413671605</c:v>
                </c:pt>
                <c:pt idx="10939">
                  <c:v>0.53130605898924177</c:v>
                </c:pt>
                <c:pt idx="10940">
                  <c:v>0.53738269316813847</c:v>
                </c:pt>
                <c:pt idx="10941">
                  <c:v>0.54303319151940999</c:v>
                </c:pt>
                <c:pt idx="10942">
                  <c:v>0.54720692189077613</c:v>
                </c:pt>
                <c:pt idx="10943">
                  <c:v>0.55491319261618821</c:v>
                </c:pt>
                <c:pt idx="10944">
                  <c:v>0.57018543379392894</c:v>
                </c:pt>
                <c:pt idx="10945">
                  <c:v>0.55898405618595837</c:v>
                </c:pt>
                <c:pt idx="10946">
                  <c:v>0.55619499957919538</c:v>
                </c:pt>
                <c:pt idx="10947">
                  <c:v>0.56217862403443808</c:v>
                </c:pt>
                <c:pt idx="10948">
                  <c:v>0.55250006172110833</c:v>
                </c:pt>
                <c:pt idx="10949">
                  <c:v>0.56881833642086554</c:v>
                </c:pt>
                <c:pt idx="10950">
                  <c:v>0.55497491041601232</c:v>
                </c:pt>
                <c:pt idx="10951">
                  <c:v>0.55520125495002948</c:v>
                </c:pt>
                <c:pt idx="10952">
                  <c:v>0.55556647209763577</c:v>
                </c:pt>
                <c:pt idx="10953">
                  <c:v>0.55578055131714932</c:v>
                </c:pt>
                <c:pt idx="10954">
                  <c:v>0.56580910809235085</c:v>
                </c:pt>
                <c:pt idx="10955">
                  <c:v>0.56946099390083138</c:v>
                </c:pt>
                <c:pt idx="10956">
                  <c:v>0.56213839473200777</c:v>
                </c:pt>
                <c:pt idx="10957">
                  <c:v>0.55620006757291607</c:v>
                </c:pt>
                <c:pt idx="10958">
                  <c:v>0.55891511121835991</c:v>
                </c:pt>
                <c:pt idx="10959">
                  <c:v>0.53631863066935248</c:v>
                </c:pt>
                <c:pt idx="10960">
                  <c:v>0.53130605898924177</c:v>
                </c:pt>
                <c:pt idx="10961">
                  <c:v>0.51460193648149311</c:v>
                </c:pt>
                <c:pt idx="10962">
                  <c:v>0.50990126815126768</c:v>
                </c:pt>
                <c:pt idx="10963">
                  <c:v>0.51910799042863121</c:v>
                </c:pt>
                <c:pt idx="10964">
                  <c:v>0.51926422604868572</c:v>
                </c:pt>
                <c:pt idx="10965">
                  <c:v>0.50075610930920456</c:v>
                </c:pt>
                <c:pt idx="10966">
                  <c:v>0.49194018090210151</c:v>
                </c:pt>
                <c:pt idx="10967">
                  <c:v>0.48200841926448051</c:v>
                </c:pt>
                <c:pt idx="10968">
                  <c:v>0.48940380256650851</c:v>
                </c:pt>
                <c:pt idx="10969">
                  <c:v>0.49368176307542061</c:v>
                </c:pt>
                <c:pt idx="10970">
                  <c:v>0.47967620678384565</c:v>
                </c:pt>
                <c:pt idx="10971">
                  <c:v>0.49229540320360499</c:v>
                </c:pt>
                <c:pt idx="10972">
                  <c:v>0.49780316700533905</c:v>
                </c:pt>
                <c:pt idx="10973">
                  <c:v>0.49404642451907294</c:v>
                </c:pt>
                <c:pt idx="10974">
                  <c:v>0.48900521875599035</c:v>
                </c:pt>
                <c:pt idx="10975">
                  <c:v>0.47596681462935253</c:v>
                </c:pt>
                <c:pt idx="10976">
                  <c:v>0.47414207791108565</c:v>
                </c:pt>
                <c:pt idx="10977">
                  <c:v>0.50607729206110397</c:v>
                </c:pt>
                <c:pt idx="10978">
                  <c:v>0.50278069384987378</c:v>
                </c:pt>
                <c:pt idx="10979">
                  <c:v>0.49813955976394558</c:v>
                </c:pt>
                <c:pt idx="10980">
                  <c:v>0.48043340625948161</c:v>
                </c:pt>
                <c:pt idx="10981">
                  <c:v>0.50574794283879021</c:v>
                </c:pt>
                <c:pt idx="10982">
                  <c:v>0.50293609335786749</c:v>
                </c:pt>
                <c:pt idx="10983">
                  <c:v>0.51366631676934127</c:v>
                </c:pt>
                <c:pt idx="10984">
                  <c:v>0.51946492406807132</c:v>
                </c:pt>
                <c:pt idx="10985">
                  <c:v>0.5158522608581525</c:v>
                </c:pt>
                <c:pt idx="10986">
                  <c:v>0.49132036384445604</c:v>
                </c:pt>
                <c:pt idx="10987">
                  <c:v>0.5083345456013717</c:v>
                </c:pt>
                <c:pt idx="10988">
                  <c:v>0.51639785859202147</c:v>
                </c:pt>
                <c:pt idx="10989">
                  <c:v>0.53088416520982762</c:v>
                </c:pt>
                <c:pt idx="10990">
                  <c:v>0.48975702688617107</c:v>
                </c:pt>
                <c:pt idx="10991">
                  <c:v>0.50351804026822899</c:v>
                </c:pt>
                <c:pt idx="10992">
                  <c:v>0.51202418318645382</c:v>
                </c:pt>
                <c:pt idx="10993">
                  <c:v>0.50401893398962927</c:v>
                </c:pt>
                <c:pt idx="10994">
                  <c:v>0.49244481741400065</c:v>
                </c:pt>
                <c:pt idx="10995">
                  <c:v>0.49832751162400496</c:v>
                </c:pt>
                <c:pt idx="10996">
                  <c:v>0.50605047657851765</c:v>
                </c:pt>
                <c:pt idx="10997">
                  <c:v>0.51107174186023574</c:v>
                </c:pt>
                <c:pt idx="10998">
                  <c:v>0.50252694161426392</c:v>
                </c:pt>
                <c:pt idx="10999">
                  <c:v>0.49699464907055291</c:v>
                </c:pt>
                <c:pt idx="11000">
                  <c:v>0.49499869865865126</c:v>
                </c:pt>
                <c:pt idx="11001">
                  <c:v>0.50880192618668563</c:v>
                </c:pt>
                <c:pt idx="11002">
                  <c:v>0.51977734500066786</c:v>
                </c:pt>
                <c:pt idx="11003">
                  <c:v>0.51473179077114684</c:v>
                </c:pt>
                <c:pt idx="11004">
                  <c:v>0.4997393047643261</c:v>
                </c:pt>
                <c:pt idx="11005">
                  <c:v>0.51377090630737632</c:v>
                </c:pt>
                <c:pt idx="11006">
                  <c:v>0.49722097023875023</c:v>
                </c:pt>
                <c:pt idx="11007">
                  <c:v>0.51159984119377799</c:v>
                </c:pt>
                <c:pt idx="11008">
                  <c:v>0.51743950973749253</c:v>
                </c:pt>
                <c:pt idx="11009">
                  <c:v>0.50726147975548563</c:v>
                </c:pt>
                <c:pt idx="11010">
                  <c:v>0.49813045658167332</c:v>
                </c:pt>
                <c:pt idx="11011">
                  <c:v>0.49724184059455545</c:v>
                </c:pt>
                <c:pt idx="11012">
                  <c:v>0.45324156712433106</c:v>
                </c:pt>
                <c:pt idx="11013">
                  <c:v>0.52827725150900162</c:v>
                </c:pt>
                <c:pt idx="11014">
                  <c:v>0.54202504049146194</c:v>
                </c:pt>
                <c:pt idx="11015">
                  <c:v>0.52813774126597746</c:v>
                </c:pt>
                <c:pt idx="11016">
                  <c:v>0.52363800967790741</c:v>
                </c:pt>
                <c:pt idx="11017">
                  <c:v>0.52990071359191804</c:v>
                </c:pt>
                <c:pt idx="11018">
                  <c:v>0.5392236836296983</c:v>
                </c:pt>
                <c:pt idx="11019">
                  <c:v>0.5454960120392004</c:v>
                </c:pt>
                <c:pt idx="11020">
                  <c:v>0.52487507492528873</c:v>
                </c:pt>
                <c:pt idx="11021">
                  <c:v>0.51310608130905833</c:v>
                </c:pt>
                <c:pt idx="11022">
                  <c:v>0.53382275276299407</c:v>
                </c:pt>
                <c:pt idx="11023">
                  <c:v>0.53869573632782708</c:v>
                </c:pt>
                <c:pt idx="11024">
                  <c:v>0.52386555639386612</c:v>
                </c:pt>
                <c:pt idx="11025">
                  <c:v>0.52189351729898814</c:v>
                </c:pt>
                <c:pt idx="11026">
                  <c:v>0.5300602916433369</c:v>
                </c:pt>
                <c:pt idx="11027">
                  <c:v>0.53783143137899891</c:v>
                </c:pt>
                <c:pt idx="11028">
                  <c:v>0.52915459764677686</c:v>
                </c:pt>
                <c:pt idx="11029">
                  <c:v>0.5226296494017989</c:v>
                </c:pt>
                <c:pt idx="11030">
                  <c:v>0.56912157092777715</c:v>
                </c:pt>
                <c:pt idx="11031">
                  <c:v>0.56625454320883017</c:v>
                </c:pt>
                <c:pt idx="11032">
                  <c:v>0.56359284844463309</c:v>
                </c:pt>
                <c:pt idx="11033">
                  <c:v>0.54840919743118266</c:v>
                </c:pt>
                <c:pt idx="11034">
                  <c:v>0.51295361268307849</c:v>
                </c:pt>
                <c:pt idx="11035">
                  <c:v>0.53145528567017453</c:v>
                </c:pt>
                <c:pt idx="11036">
                  <c:v>0.540264012792955</c:v>
                </c:pt>
                <c:pt idx="11037">
                  <c:v>0.52902166350722957</c:v>
                </c:pt>
                <c:pt idx="11038">
                  <c:v>0.5628139430769532</c:v>
                </c:pt>
                <c:pt idx="11039">
                  <c:v>0.55038613843995166</c:v>
                </c:pt>
                <c:pt idx="11040">
                  <c:v>0.5622131373298227</c:v>
                </c:pt>
                <c:pt idx="11041">
                  <c:v>0.53902463310252946</c:v>
                </c:pt>
                <c:pt idx="11042">
                  <c:v>0.52229931408391428</c:v>
                </c:pt>
                <c:pt idx="11043">
                  <c:v>0.53830862771740351</c:v>
                </c:pt>
                <c:pt idx="11044">
                  <c:v>0.52316589270148051</c:v>
                </c:pt>
                <c:pt idx="11045">
                  <c:v>0.51591846252944107</c:v>
                </c:pt>
                <c:pt idx="11046">
                  <c:v>0.51451388433883272</c:v>
                </c:pt>
                <c:pt idx="11047">
                  <c:v>0.5245840809491058</c:v>
                </c:pt>
                <c:pt idx="11048">
                  <c:v>0.5214647281883662</c:v>
                </c:pt>
                <c:pt idx="11049">
                  <c:v>0.50917576466413261</c:v>
                </c:pt>
                <c:pt idx="11050">
                  <c:v>0.51444906230404452</c:v>
                </c:pt>
                <c:pt idx="11051">
                  <c:v>0.49554086872682934</c:v>
                </c:pt>
                <c:pt idx="11052">
                  <c:v>0.5188476919355629</c:v>
                </c:pt>
                <c:pt idx="11053">
                  <c:v>0.51892316826528551</c:v>
                </c:pt>
                <c:pt idx="11054">
                  <c:v>0.51193921433897693</c:v>
                </c:pt>
                <c:pt idx="11055">
                  <c:v>0.52817069237679293</c:v>
                </c:pt>
                <c:pt idx="11056">
                  <c:v>0.51832346656490891</c:v>
                </c:pt>
                <c:pt idx="11057">
                  <c:v>0.50433831108848681</c:v>
                </c:pt>
                <c:pt idx="11058">
                  <c:v>0.50078654379433873</c:v>
                </c:pt>
                <c:pt idx="11059">
                  <c:v>0.50272228527761997</c:v>
                </c:pt>
                <c:pt idx="11060">
                  <c:v>0.51171816403185344</c:v>
                </c:pt>
                <c:pt idx="11061">
                  <c:v>0.51264638044791655</c:v>
                </c:pt>
                <c:pt idx="11062">
                  <c:v>0.52097558531116916</c:v>
                </c:pt>
                <c:pt idx="11063">
                  <c:v>0.52756919849842521</c:v>
                </c:pt>
                <c:pt idx="11064">
                  <c:v>0.52658466198817711</c:v>
                </c:pt>
                <c:pt idx="11065">
                  <c:v>0.52894560945108138</c:v>
                </c:pt>
                <c:pt idx="11066">
                  <c:v>0.54823434670659432</c:v>
                </c:pt>
                <c:pt idx="11067">
                  <c:v>0.54359365986687469</c:v>
                </c:pt>
                <c:pt idx="11068">
                  <c:v>0.53246874601358429</c:v>
                </c:pt>
                <c:pt idx="11069">
                  <c:v>0.54450311350988212</c:v>
                </c:pt>
                <c:pt idx="11070">
                  <c:v>0.54441273734389006</c:v>
                </c:pt>
                <c:pt idx="11071">
                  <c:v>0.53255730978192095</c:v>
                </c:pt>
                <c:pt idx="11072">
                  <c:v>0.54105740278412462</c:v>
                </c:pt>
                <c:pt idx="11073">
                  <c:v>0.54089806573886134</c:v>
                </c:pt>
                <c:pt idx="11074">
                  <c:v>0.5387506325632937</c:v>
                </c:pt>
                <c:pt idx="11075">
                  <c:v>0.54521208095098916</c:v>
                </c:pt>
                <c:pt idx="11076">
                  <c:v>0.53334962932004948</c:v>
                </c:pt>
                <c:pt idx="11077">
                  <c:v>0.53813871887373732</c:v>
                </c:pt>
                <c:pt idx="11078">
                  <c:v>0.53124765753617509</c:v>
                </c:pt>
                <c:pt idx="11079">
                  <c:v>0.54038566660862108</c:v>
                </c:pt>
                <c:pt idx="11080">
                  <c:v>0.55826457147108111</c:v>
                </c:pt>
                <c:pt idx="11081">
                  <c:v>0.55358401266876278</c:v>
                </c:pt>
                <c:pt idx="11082">
                  <c:v>0.52601628004178203</c:v>
                </c:pt>
                <c:pt idx="11083">
                  <c:v>0.52171784596020454</c:v>
                </c:pt>
                <c:pt idx="11084">
                  <c:v>0.51783195716799701</c:v>
                </c:pt>
                <c:pt idx="11085">
                  <c:v>0.52285577049455645</c:v>
                </c:pt>
                <c:pt idx="11086">
                  <c:v>0.52853954839250672</c:v>
                </c:pt>
                <c:pt idx="11087">
                  <c:v>0.52356595003665363</c:v>
                </c:pt>
                <c:pt idx="11088">
                  <c:v>0.53576867242861836</c:v>
                </c:pt>
                <c:pt idx="11089">
                  <c:v>0.55550822235619046</c:v>
                </c:pt>
                <c:pt idx="11090">
                  <c:v>0.54069627990912517</c:v>
                </c:pt>
                <c:pt idx="11091">
                  <c:v>0.53758917285255958</c:v>
                </c:pt>
                <c:pt idx="11092">
                  <c:v>0.5436927759163559</c:v>
                </c:pt>
                <c:pt idx="11093">
                  <c:v>0.53547767512460709</c:v>
                </c:pt>
                <c:pt idx="11094">
                  <c:v>0.55260215453240413</c:v>
                </c:pt>
                <c:pt idx="11095">
                  <c:v>0.53786227061032077</c:v>
                </c:pt>
                <c:pt idx="11096">
                  <c:v>0.53441742966810868</c:v>
                </c:pt>
                <c:pt idx="11097">
                  <c:v>0.53753639696459976</c:v>
                </c:pt>
                <c:pt idx="11098">
                  <c:v>0.53555689631395653</c:v>
                </c:pt>
                <c:pt idx="11099">
                  <c:v>0.53987115874774894</c:v>
                </c:pt>
                <c:pt idx="11100">
                  <c:v>0.54657782510224429</c:v>
                </c:pt>
                <c:pt idx="11101">
                  <c:v>0.54132283468679609</c:v>
                </c:pt>
                <c:pt idx="11102">
                  <c:v>0.53699819551607764</c:v>
                </c:pt>
                <c:pt idx="11103">
                  <c:v>0.53800926182737796</c:v>
                </c:pt>
                <c:pt idx="11104">
                  <c:v>0.51223639908318941</c:v>
                </c:pt>
                <c:pt idx="11105">
                  <c:v>0.50600564497796241</c:v>
                </c:pt>
                <c:pt idx="11106">
                  <c:v>0.48149823756865806</c:v>
                </c:pt>
                <c:pt idx="11107">
                  <c:v>0.47818570782782321</c:v>
                </c:pt>
                <c:pt idx="11108">
                  <c:v>0.48578429528235767</c:v>
                </c:pt>
                <c:pt idx="11109">
                  <c:v>0.47916097098170418</c:v>
                </c:pt>
                <c:pt idx="11110">
                  <c:v>0.4704900210377061</c:v>
                </c:pt>
                <c:pt idx="11111">
                  <c:v>0.45917966148313127</c:v>
                </c:pt>
                <c:pt idx="11112">
                  <c:v>0.45705822646920008</c:v>
                </c:pt>
                <c:pt idx="11113">
                  <c:v>0.45991950390570807</c:v>
                </c:pt>
                <c:pt idx="11114">
                  <c:v>0.46935803003715437</c:v>
                </c:pt>
                <c:pt idx="11115">
                  <c:v>0.45600888410345686</c:v>
                </c:pt>
                <c:pt idx="11116">
                  <c:v>0.46739482720950426</c:v>
                </c:pt>
                <c:pt idx="11117">
                  <c:v>0.46200860567506719</c:v>
                </c:pt>
                <c:pt idx="11118">
                  <c:v>0.45162665328845464</c:v>
                </c:pt>
                <c:pt idx="11119">
                  <c:v>0.45612209157612638</c:v>
                </c:pt>
                <c:pt idx="11120">
                  <c:v>0.45363201979358264</c:v>
                </c:pt>
                <c:pt idx="11121">
                  <c:v>0.44779287789539635</c:v>
                </c:pt>
                <c:pt idx="11122">
                  <c:v>0.46493806684209382</c:v>
                </c:pt>
                <c:pt idx="11123">
                  <c:v>0.46291689432686062</c:v>
                </c:pt>
                <c:pt idx="11124">
                  <c:v>0.46932560614293117</c:v>
                </c:pt>
                <c:pt idx="11125">
                  <c:v>0.44566381738496952</c:v>
                </c:pt>
                <c:pt idx="11126">
                  <c:v>0.47480813332770155</c:v>
                </c:pt>
                <c:pt idx="11127">
                  <c:v>0.46749711325473253</c:v>
                </c:pt>
                <c:pt idx="11128">
                  <c:v>0.48262450717032535</c:v>
                </c:pt>
                <c:pt idx="11129">
                  <c:v>0.48302041889109398</c:v>
                </c:pt>
                <c:pt idx="11130">
                  <c:v>0.49382345746415995</c:v>
                </c:pt>
                <c:pt idx="11131">
                  <c:v>0.47398243995117184</c:v>
                </c:pt>
                <c:pt idx="11132">
                  <c:v>0.50805422613815787</c:v>
                </c:pt>
                <c:pt idx="11133">
                  <c:v>0.50908916071121246</c:v>
                </c:pt>
                <c:pt idx="11134">
                  <c:v>0.53778686796820518</c:v>
                </c:pt>
                <c:pt idx="11135">
                  <c:v>0.51023700767338576</c:v>
                </c:pt>
                <c:pt idx="11136">
                  <c:v>0.52657574838703336</c:v>
                </c:pt>
                <c:pt idx="11137">
                  <c:v>0.52440715784732317</c:v>
                </c:pt>
                <c:pt idx="11138">
                  <c:v>0.51819534042374205</c:v>
                </c:pt>
                <c:pt idx="11139">
                  <c:v>0.50481150391161278</c:v>
                </c:pt>
                <c:pt idx="11140">
                  <c:v>0.50622122769141331</c:v>
                </c:pt>
                <c:pt idx="11141">
                  <c:v>0.51091253050934604</c:v>
                </c:pt>
                <c:pt idx="11142">
                  <c:v>0.52644408998657777</c:v>
                </c:pt>
                <c:pt idx="11143">
                  <c:v>0.51715655885659417</c:v>
                </c:pt>
                <c:pt idx="11144">
                  <c:v>0.51869117481955695</c:v>
                </c:pt>
                <c:pt idx="11145">
                  <c:v>0.51716513983518819</c:v>
                </c:pt>
                <c:pt idx="11146">
                  <c:v>0.53551336441390918</c:v>
                </c:pt>
                <c:pt idx="11147">
                  <c:v>0.54499829879401462</c:v>
                </c:pt>
                <c:pt idx="11148">
                  <c:v>0.53846326117827592</c:v>
                </c:pt>
                <c:pt idx="11149">
                  <c:v>0.52761353397563948</c:v>
                </c:pt>
                <c:pt idx="11150">
                  <c:v>0.52643388124014201</c:v>
                </c:pt>
                <c:pt idx="11151">
                  <c:v>0.48901381096101426</c:v>
                </c:pt>
                <c:pt idx="11152">
                  <c:v>0.50911673061348273</c:v>
                </c:pt>
                <c:pt idx="11153">
                  <c:v>0.50384636175844988</c:v>
                </c:pt>
                <c:pt idx="11154">
                  <c:v>0.51032177373357079</c:v>
                </c:pt>
                <c:pt idx="11155">
                  <c:v>0.4879621872995098</c:v>
                </c:pt>
                <c:pt idx="11156">
                  <c:v>0.52772731624424207</c:v>
                </c:pt>
                <c:pt idx="11157">
                  <c:v>0.54718585579604528</c:v>
                </c:pt>
                <c:pt idx="11158">
                  <c:v>0.544779951661018</c:v>
                </c:pt>
                <c:pt idx="11159">
                  <c:v>0.53600221483880828</c:v>
                </c:pt>
                <c:pt idx="11160">
                  <c:v>0.51839205711285652</c:v>
                </c:pt>
                <c:pt idx="11161">
                  <c:v>0.51103572690686738</c:v>
                </c:pt>
                <c:pt idx="11162">
                  <c:v>0.51552997942211554</c:v>
                </c:pt>
                <c:pt idx="11163">
                  <c:v>0.51953582920401342</c:v>
                </c:pt>
                <c:pt idx="11164">
                  <c:v>0.52572825039082327</c:v>
                </c:pt>
                <c:pt idx="11165">
                  <c:v>0.534819302057576</c:v>
                </c:pt>
                <c:pt idx="11166">
                  <c:v>0.53280697510984287</c:v>
                </c:pt>
                <c:pt idx="11167">
                  <c:v>0.53633922003613665</c:v>
                </c:pt>
                <c:pt idx="11168">
                  <c:v>0.51370091660551553</c:v>
                </c:pt>
                <c:pt idx="11169">
                  <c:v>0.52838404179655385</c:v>
                </c:pt>
                <c:pt idx="11170">
                  <c:v>0.54792416063050242</c:v>
                </c:pt>
                <c:pt idx="11171">
                  <c:v>0.56275344822786921</c:v>
                </c:pt>
                <c:pt idx="11172">
                  <c:v>0.5371798973214873</c:v>
                </c:pt>
                <c:pt idx="11173">
                  <c:v>0.52160744359583777</c:v>
                </c:pt>
                <c:pt idx="11174">
                  <c:v>0.52963000179607644</c:v>
                </c:pt>
                <c:pt idx="11175">
                  <c:v>0.53779379196201327</c:v>
                </c:pt>
                <c:pt idx="11176">
                  <c:v>0.55474929534263773</c:v>
                </c:pt>
                <c:pt idx="11177">
                  <c:v>0.53904697749280261</c:v>
                </c:pt>
                <c:pt idx="11178">
                  <c:v>0.53810299308750709</c:v>
                </c:pt>
                <c:pt idx="11179">
                  <c:v>0.53535122031551363</c:v>
                </c:pt>
                <c:pt idx="11180">
                  <c:v>0.54359403252596528</c:v>
                </c:pt>
                <c:pt idx="11181">
                  <c:v>0.54216514610211919</c:v>
                </c:pt>
                <c:pt idx="11182">
                  <c:v>0.5405773398864433</c:v>
                </c:pt>
                <c:pt idx="11183">
                  <c:v>0.55405670970233922</c:v>
                </c:pt>
                <c:pt idx="11184">
                  <c:v>0.52549066982387826</c:v>
                </c:pt>
                <c:pt idx="11185">
                  <c:v>0.52782355045277929</c:v>
                </c:pt>
                <c:pt idx="11186">
                  <c:v>0.53083555717688669</c:v>
                </c:pt>
                <c:pt idx="11187">
                  <c:v>0.55827694093219948</c:v>
                </c:pt>
                <c:pt idx="11188">
                  <c:v>0.52292078295159528</c:v>
                </c:pt>
                <c:pt idx="11189">
                  <c:v>0.5149016845751464</c:v>
                </c:pt>
                <c:pt idx="11190">
                  <c:v>0.45631926043549392</c:v>
                </c:pt>
                <c:pt idx="11191">
                  <c:v>0.49842869339292306</c:v>
                </c:pt>
                <c:pt idx="11192">
                  <c:v>0.51001616268295769</c:v>
                </c:pt>
                <c:pt idx="11193">
                  <c:v>0.4985264065387936</c:v>
                </c:pt>
                <c:pt idx="11194">
                  <c:v>0.50494133113963025</c:v>
                </c:pt>
                <c:pt idx="11195">
                  <c:v>0.5186732835569442</c:v>
                </c:pt>
                <c:pt idx="11196">
                  <c:v>0.52155033692303132</c:v>
                </c:pt>
                <c:pt idx="11197">
                  <c:v>0.53343127418725089</c:v>
                </c:pt>
                <c:pt idx="11198">
                  <c:v>0.51659076439316787</c:v>
                </c:pt>
                <c:pt idx="11199">
                  <c:v>0.50395796993087227</c:v>
                </c:pt>
                <c:pt idx="11200">
                  <c:v>0.50619604578423782</c:v>
                </c:pt>
                <c:pt idx="11201">
                  <c:v>0.5067626914678115</c:v>
                </c:pt>
                <c:pt idx="11202">
                  <c:v>0.50512962028892172</c:v>
                </c:pt>
                <c:pt idx="11203">
                  <c:v>0.52551346247867048</c:v>
                </c:pt>
                <c:pt idx="11204">
                  <c:v>0.5291206936738635</c:v>
                </c:pt>
                <c:pt idx="11205">
                  <c:v>0.53816362454949451</c:v>
                </c:pt>
                <c:pt idx="11206">
                  <c:v>0.53810299308750709</c:v>
                </c:pt>
                <c:pt idx="11207">
                  <c:v>0.53916520788222932</c:v>
                </c:pt>
                <c:pt idx="11208">
                  <c:v>0.54960668371026555</c:v>
                </c:pt>
                <c:pt idx="11209">
                  <c:v>0.5557856241495488</c:v>
                </c:pt>
                <c:pt idx="11210">
                  <c:v>0.57634330855845772</c:v>
                </c:pt>
                <c:pt idx="11211">
                  <c:v>0.57486593192053359</c:v>
                </c:pt>
                <c:pt idx="11212">
                  <c:v>0.57818955696550733</c:v>
                </c:pt>
                <c:pt idx="11213">
                  <c:v>0.57719320592666423</c:v>
                </c:pt>
                <c:pt idx="11214">
                  <c:v>0.56550532270947029</c:v>
                </c:pt>
                <c:pt idx="11215">
                  <c:v>0.56055578674458983</c:v>
                </c:pt>
                <c:pt idx="11216">
                  <c:v>0.54561534377155285</c:v>
                </c:pt>
                <c:pt idx="11217">
                  <c:v>0.57519546811495925</c:v>
                </c:pt>
                <c:pt idx="11218">
                  <c:v>0.55856110132233217</c:v>
                </c:pt>
                <c:pt idx="11219">
                  <c:v>0.56890061029527639</c:v>
                </c:pt>
                <c:pt idx="11220">
                  <c:v>0.57263918085914822</c:v>
                </c:pt>
                <c:pt idx="11221">
                  <c:v>0.56543586970450999</c:v>
                </c:pt>
                <c:pt idx="11222">
                  <c:v>0.57165270755493058</c:v>
                </c:pt>
                <c:pt idx="11223">
                  <c:v>0.57346794107759957</c:v>
                </c:pt>
                <c:pt idx="11224">
                  <c:v>0.56368038794311592</c:v>
                </c:pt>
                <c:pt idx="11225">
                  <c:v>0.57867518960358499</c:v>
                </c:pt>
                <c:pt idx="11226">
                  <c:v>0.55319659031220103</c:v>
                </c:pt>
                <c:pt idx="11227">
                  <c:v>0.55272867250839486</c:v>
                </c:pt>
                <c:pt idx="11228">
                  <c:v>0.54892424759365099</c:v>
                </c:pt>
                <c:pt idx="11229">
                  <c:v>0.56264788890214301</c:v>
                </c:pt>
                <c:pt idx="11230">
                  <c:v>0.57239745154242827</c:v>
                </c:pt>
                <c:pt idx="11231">
                  <c:v>0.55643494038825203</c:v>
                </c:pt>
                <c:pt idx="11232">
                  <c:v>0.57899875776392806</c:v>
                </c:pt>
                <c:pt idx="11233">
                  <c:v>0.58638462413032189</c:v>
                </c:pt>
                <c:pt idx="11234">
                  <c:v>0.59078289240819648</c:v>
                </c:pt>
                <c:pt idx="11235">
                  <c:v>0.57441339452158002</c:v>
                </c:pt>
                <c:pt idx="11236">
                  <c:v>0.5675816490271286</c:v>
                </c:pt>
                <c:pt idx="11237">
                  <c:v>0.56877191864047461</c:v>
                </c:pt>
                <c:pt idx="11238">
                  <c:v>0.55892086704307309</c:v>
                </c:pt>
                <c:pt idx="11239">
                  <c:v>0.55344511473981173</c:v>
                </c:pt>
                <c:pt idx="11240">
                  <c:v>0.56522035295438355</c:v>
                </c:pt>
                <c:pt idx="11241">
                  <c:v>0.5730613033258527</c:v>
                </c:pt>
                <c:pt idx="11242">
                  <c:v>0.57682122806236891</c:v>
                </c:pt>
                <c:pt idx="11243">
                  <c:v>0.55610738633976942</c:v>
                </c:pt>
                <c:pt idx="11244">
                  <c:v>0.54999450510673242</c:v>
                </c:pt>
                <c:pt idx="11245">
                  <c:v>0.54881748166099564</c:v>
                </c:pt>
                <c:pt idx="11246">
                  <c:v>0.55055181254313967</c:v>
                </c:pt>
                <c:pt idx="11247">
                  <c:v>0.52896552354004445</c:v>
                </c:pt>
                <c:pt idx="11248">
                  <c:v>0.51829291987875326</c:v>
                </c:pt>
                <c:pt idx="11249">
                  <c:v>0.51456554907258689</c:v>
                </c:pt>
                <c:pt idx="11250">
                  <c:v>0.48773776902156851</c:v>
                </c:pt>
                <c:pt idx="11251">
                  <c:v>0.51485576671042421</c:v>
                </c:pt>
                <c:pt idx="11252">
                  <c:v>0.50389903894550236</c:v>
                </c:pt>
                <c:pt idx="11253">
                  <c:v>0.49932932953531067</c:v>
                </c:pt>
                <c:pt idx="11254">
                  <c:v>0.49518051560002696</c:v>
                </c:pt>
                <c:pt idx="11255">
                  <c:v>0.50478624012855033</c:v>
                </c:pt>
                <c:pt idx="11256">
                  <c:v>0.50962410766859911</c:v>
                </c:pt>
                <c:pt idx="11257">
                  <c:v>0.51331910121050994</c:v>
                </c:pt>
                <c:pt idx="11258">
                  <c:v>0.49730472202697934</c:v>
                </c:pt>
                <c:pt idx="11259">
                  <c:v>0.48931372730750566</c:v>
                </c:pt>
                <c:pt idx="11260">
                  <c:v>0.51186385069622231</c:v>
                </c:pt>
                <c:pt idx="11261">
                  <c:v>0.51843154771569544</c:v>
                </c:pt>
                <c:pt idx="11262">
                  <c:v>0.50173155553330495</c:v>
                </c:pt>
                <c:pt idx="11263">
                  <c:v>0.49631650062225735</c:v>
                </c:pt>
                <c:pt idx="11264">
                  <c:v>0.48851264356212099</c:v>
                </c:pt>
                <c:pt idx="11265">
                  <c:v>0.51972432803846835</c:v>
                </c:pt>
                <c:pt idx="11266">
                  <c:v>0.49116635748994647</c:v>
                </c:pt>
                <c:pt idx="11267">
                  <c:v>0.48602873010159009</c:v>
                </c:pt>
                <c:pt idx="11268">
                  <c:v>0.5019232920784239</c:v>
                </c:pt>
                <c:pt idx="11269">
                  <c:v>0.48735447869516108</c:v>
                </c:pt>
                <c:pt idx="11270">
                  <c:v>0.49637619249913956</c:v>
                </c:pt>
                <c:pt idx="11271">
                  <c:v>0.52739645318215544</c:v>
                </c:pt>
                <c:pt idx="11272">
                  <c:v>0.51401963772201631</c:v>
                </c:pt>
                <c:pt idx="11273">
                  <c:v>0.51926514568828908</c:v>
                </c:pt>
                <c:pt idx="11274">
                  <c:v>0.51789284967897264</c:v>
                </c:pt>
                <c:pt idx="11275">
                  <c:v>0.50665261333288447</c:v>
                </c:pt>
                <c:pt idx="11276">
                  <c:v>0.54136404015123807</c:v>
                </c:pt>
                <c:pt idx="11277">
                  <c:v>0.52908704393225348</c:v>
                </c:pt>
                <c:pt idx="11278">
                  <c:v>0.50666681416838244</c:v>
                </c:pt>
                <c:pt idx="11279">
                  <c:v>0.51008916397507331</c:v>
                </c:pt>
                <c:pt idx="11280">
                  <c:v>0.52658608298014786</c:v>
                </c:pt>
                <c:pt idx="11281">
                  <c:v>0.5124182159243621</c:v>
                </c:pt>
                <c:pt idx="11282">
                  <c:v>0.50748426959265402</c:v>
                </c:pt>
                <c:pt idx="11283">
                  <c:v>0.50946732088505919</c:v>
                </c:pt>
                <c:pt idx="11284">
                  <c:v>0.5166536815429944</c:v>
                </c:pt>
                <c:pt idx="11285">
                  <c:v>0.50968562463668887</c:v>
                </c:pt>
                <c:pt idx="11286">
                  <c:v>0.50247150315879607</c:v>
                </c:pt>
                <c:pt idx="11287">
                  <c:v>0.49334775547065812</c:v>
                </c:pt>
                <c:pt idx="11288">
                  <c:v>0.50206081979562434</c:v>
                </c:pt>
                <c:pt idx="11289">
                  <c:v>0.52024896348559169</c:v>
                </c:pt>
                <c:pt idx="11290">
                  <c:v>0.51958361798704811</c:v>
                </c:pt>
                <c:pt idx="11291">
                  <c:v>0.4939085633331361</c:v>
                </c:pt>
                <c:pt idx="11292">
                  <c:v>0.50552358226499639</c:v>
                </c:pt>
                <c:pt idx="11293">
                  <c:v>0.54092143883069876</c:v>
                </c:pt>
                <c:pt idx="11294">
                  <c:v>0.53186871295954696</c:v>
                </c:pt>
                <c:pt idx="11295">
                  <c:v>0.53526487065394779</c:v>
                </c:pt>
                <c:pt idx="11296">
                  <c:v>0.52226943719186436</c:v>
                </c:pt>
                <c:pt idx="11297">
                  <c:v>0.50258155386237313</c:v>
                </c:pt>
                <c:pt idx="11298">
                  <c:v>0.41649904740212984</c:v>
                </c:pt>
                <c:pt idx="11299">
                  <c:v>0.49810976682140135</c:v>
                </c:pt>
                <c:pt idx="11300">
                  <c:v>0.52332223743309125</c:v>
                </c:pt>
                <c:pt idx="11301">
                  <c:v>0.5377827135189327</c:v>
                </c:pt>
                <c:pt idx="11302">
                  <c:v>0.54987551370914634</c:v>
                </c:pt>
                <c:pt idx="11303">
                  <c:v>0.54545853634681196</c:v>
                </c:pt>
                <c:pt idx="11304">
                  <c:v>0.51152334871325744</c:v>
                </c:pt>
                <c:pt idx="11305">
                  <c:v>0.50988717268683881</c:v>
                </c:pt>
                <c:pt idx="11306">
                  <c:v>0.50794083404407064</c:v>
                </c:pt>
                <c:pt idx="11307">
                  <c:v>0.50368447894521362</c:v>
                </c:pt>
                <c:pt idx="11308">
                  <c:v>0.52572320234612258</c:v>
                </c:pt>
                <c:pt idx="11309">
                  <c:v>0.52422730519365512</c:v>
                </c:pt>
                <c:pt idx="11310">
                  <c:v>0.52828703098898977</c:v>
                </c:pt>
                <c:pt idx="11311">
                  <c:v>0.54870712928296561</c:v>
                </c:pt>
                <c:pt idx="11312">
                  <c:v>0.51524962663857365</c:v>
                </c:pt>
                <c:pt idx="11313">
                  <c:v>0.52175220215335039</c:v>
                </c:pt>
                <c:pt idx="11314">
                  <c:v>0.52217614021667802</c:v>
                </c:pt>
                <c:pt idx="11315">
                  <c:v>0.58117168972041011</c:v>
                </c:pt>
                <c:pt idx="11316">
                  <c:v>0.53217080983899878</c:v>
                </c:pt>
                <c:pt idx="11317">
                  <c:v>0.51930416288886205</c:v>
                </c:pt>
                <c:pt idx="11318">
                  <c:v>0.53571466288364578</c:v>
                </c:pt>
                <c:pt idx="11319">
                  <c:v>0.53525499379204033</c:v>
                </c:pt>
                <c:pt idx="11320">
                  <c:v>0.56593325298837904</c:v>
                </c:pt>
                <c:pt idx="11321">
                  <c:v>0.54449059338007455</c:v>
                </c:pt>
                <c:pt idx="11322">
                  <c:v>0.530136150762618</c:v>
                </c:pt>
                <c:pt idx="11323">
                  <c:v>0.53902902675321573</c:v>
                </c:pt>
                <c:pt idx="11324">
                  <c:v>0.54756291981851668</c:v>
                </c:pt>
                <c:pt idx="11325">
                  <c:v>0.53572769156188615</c:v>
                </c:pt>
                <c:pt idx="11326">
                  <c:v>0.53426312551817334</c:v>
                </c:pt>
                <c:pt idx="11327">
                  <c:v>0.55410060461856359</c:v>
                </c:pt>
                <c:pt idx="11328">
                  <c:v>0.52135216950284524</c:v>
                </c:pt>
                <c:pt idx="11329">
                  <c:v>0.52936130324213115</c:v>
                </c:pt>
                <c:pt idx="11330">
                  <c:v>0.53087623479690615</c:v>
                </c:pt>
                <c:pt idx="11331">
                  <c:v>0.56544425662637154</c:v>
                </c:pt>
                <c:pt idx="11332">
                  <c:v>0.5195437068379104</c:v>
                </c:pt>
                <c:pt idx="11333">
                  <c:v>0.51428696487533065</c:v>
                </c:pt>
                <c:pt idx="11334">
                  <c:v>0.45240030564424194</c:v>
                </c:pt>
                <c:pt idx="11335">
                  <c:v>0.47380625983471847</c:v>
                </c:pt>
                <c:pt idx="11336">
                  <c:v>0.51116183310495511</c:v>
                </c:pt>
                <c:pt idx="11337">
                  <c:v>0.47971592569432719</c:v>
                </c:pt>
                <c:pt idx="11338">
                  <c:v>0.50395375111914464</c:v>
                </c:pt>
                <c:pt idx="11339">
                  <c:v>0.50501125336592767</c:v>
                </c:pt>
                <c:pt idx="11340">
                  <c:v>0.5149824935345434</c:v>
                </c:pt>
                <c:pt idx="11341">
                  <c:v>0.53035135451318927</c:v>
                </c:pt>
                <c:pt idx="11342">
                  <c:v>0.52837902452756669</c:v>
                </c:pt>
                <c:pt idx="11343">
                  <c:v>0.50914255059335234</c:v>
                </c:pt>
                <c:pt idx="11344">
                  <c:v>0.49254039318428117</c:v>
                </c:pt>
                <c:pt idx="11345">
                  <c:v>0.50550175006399267</c:v>
                </c:pt>
                <c:pt idx="11346">
                  <c:v>0.49479595733795223</c:v>
                </c:pt>
                <c:pt idx="11347">
                  <c:v>0.52128718332073842</c:v>
                </c:pt>
                <c:pt idx="11348">
                  <c:v>0.52628278958286634</c:v>
                </c:pt>
                <c:pt idx="11349">
                  <c:v>0.52296481391753058</c:v>
                </c:pt>
                <c:pt idx="11350">
                  <c:v>0.52917488739489815</c:v>
                </c:pt>
                <c:pt idx="11351">
                  <c:v>0.53136125839458259</c:v>
                </c:pt>
                <c:pt idx="11352">
                  <c:v>0.53577916999144348</c:v>
                </c:pt>
                <c:pt idx="11353">
                  <c:v>0.54220153625008272</c:v>
                </c:pt>
                <c:pt idx="11354">
                  <c:v>0.5632325408872999</c:v>
                </c:pt>
                <c:pt idx="11355">
                  <c:v>0.55571834391109565</c:v>
                </c:pt>
                <c:pt idx="11356">
                  <c:v>0.5582779016522994</c:v>
                </c:pt>
                <c:pt idx="11357">
                  <c:v>0.56360921896045779</c:v>
                </c:pt>
                <c:pt idx="11358">
                  <c:v>0.54846767008835606</c:v>
                </c:pt>
                <c:pt idx="11359">
                  <c:v>0.54248756628288519</c:v>
                </c:pt>
                <c:pt idx="11360">
                  <c:v>0.53307215098538507</c:v>
                </c:pt>
                <c:pt idx="11361">
                  <c:v>0.54791346060646584</c:v>
                </c:pt>
                <c:pt idx="11362">
                  <c:v>0.53749066947044288</c:v>
                </c:pt>
                <c:pt idx="11363">
                  <c:v>0.5424803431043379</c:v>
                </c:pt>
                <c:pt idx="11364">
                  <c:v>0.54859404731654671</c:v>
                </c:pt>
                <c:pt idx="11365">
                  <c:v>0.54280464503546</c:v>
                </c:pt>
                <c:pt idx="11366">
                  <c:v>0.54669871001963122</c:v>
                </c:pt>
                <c:pt idx="11367">
                  <c:v>0.55500153107311134</c:v>
                </c:pt>
                <c:pt idx="11368">
                  <c:v>0.53527424080248154</c:v>
                </c:pt>
                <c:pt idx="11369">
                  <c:v>0.54712117280413131</c:v>
                </c:pt>
                <c:pt idx="11370">
                  <c:v>0.52820956117630169</c:v>
                </c:pt>
                <c:pt idx="11371">
                  <c:v>0.52556759024011979</c:v>
                </c:pt>
                <c:pt idx="11372">
                  <c:v>0.52935450021380637</c:v>
                </c:pt>
                <c:pt idx="11373">
                  <c:v>0.53318718415141519</c:v>
                </c:pt>
                <c:pt idx="11374">
                  <c:v>0.54861320333665664</c:v>
                </c:pt>
                <c:pt idx="11375">
                  <c:v>0.53126797753217159</c:v>
                </c:pt>
                <c:pt idx="11376">
                  <c:v>0.54732085820148035</c:v>
                </c:pt>
                <c:pt idx="11377">
                  <c:v>0.55810157391841597</c:v>
                </c:pt>
                <c:pt idx="11378">
                  <c:v>0.56421946991775451</c:v>
                </c:pt>
                <c:pt idx="11379">
                  <c:v>0.55341633400135626</c:v>
                </c:pt>
                <c:pt idx="11380">
                  <c:v>0.54562041309835474</c:v>
                </c:pt>
                <c:pt idx="11381">
                  <c:v>0.5482590487949569</c:v>
                </c:pt>
                <c:pt idx="11382">
                  <c:v>0.54360136142309656</c:v>
                </c:pt>
                <c:pt idx="11383">
                  <c:v>0.53530222342106037</c:v>
                </c:pt>
                <c:pt idx="11384">
                  <c:v>0.5448883339254279</c:v>
                </c:pt>
                <c:pt idx="11385">
                  <c:v>0.55627149586005753</c:v>
                </c:pt>
                <c:pt idx="11386">
                  <c:v>0.55957736964555294</c:v>
                </c:pt>
                <c:pt idx="11387">
                  <c:v>0.53976590318311257</c:v>
                </c:pt>
                <c:pt idx="11388">
                  <c:v>0.53821330584836002</c:v>
                </c:pt>
                <c:pt idx="11389">
                  <c:v>0.53119985706737161</c:v>
                </c:pt>
                <c:pt idx="11390">
                  <c:v>0.53766372833192233</c:v>
                </c:pt>
                <c:pt idx="11391">
                  <c:v>0.51123611420389903</c:v>
                </c:pt>
                <c:pt idx="11392">
                  <c:v>0.49941748899723098</c:v>
                </c:pt>
                <c:pt idx="11393">
                  <c:v>0.4990208368810321</c:v>
                </c:pt>
                <c:pt idx="11394">
                  <c:v>0.47650977210465717</c:v>
                </c:pt>
                <c:pt idx="11395">
                  <c:v>0.48864870371331659</c:v>
                </c:pt>
                <c:pt idx="11396">
                  <c:v>0.4775784708157082</c:v>
                </c:pt>
                <c:pt idx="11397">
                  <c:v>0.4821875997163973</c:v>
                </c:pt>
                <c:pt idx="11398">
                  <c:v>0.47245526330877002</c:v>
                </c:pt>
                <c:pt idx="11399">
                  <c:v>0.48084595972344096</c:v>
                </c:pt>
                <c:pt idx="11400">
                  <c:v>0.48593327077327098</c:v>
                </c:pt>
                <c:pt idx="11401">
                  <c:v>0.48457983341279537</c:v>
                </c:pt>
                <c:pt idx="11402">
                  <c:v>0.492829228323024</c:v>
                </c:pt>
                <c:pt idx="11403">
                  <c:v>0.4751836043572264</c:v>
                </c:pt>
                <c:pt idx="11404">
                  <c:v>0.49185118997305199</c:v>
                </c:pt>
                <c:pt idx="11405">
                  <c:v>0.50515567839757425</c:v>
                </c:pt>
                <c:pt idx="11406">
                  <c:v>0.50835219428170864</c:v>
                </c:pt>
                <c:pt idx="11407">
                  <c:v>0.48757400750318025</c:v>
                </c:pt>
                <c:pt idx="11408">
                  <c:v>0.47916659031947417</c:v>
                </c:pt>
                <c:pt idx="11409">
                  <c:v>0.50392340168502436</c:v>
                </c:pt>
                <c:pt idx="11410">
                  <c:v>0.49471436164173149</c:v>
                </c:pt>
                <c:pt idx="11411">
                  <c:v>0.47631387508306855</c:v>
                </c:pt>
                <c:pt idx="11412">
                  <c:v>0.49340966942871073</c:v>
                </c:pt>
                <c:pt idx="11413">
                  <c:v>0.48692924133816839</c:v>
                </c:pt>
                <c:pt idx="11414">
                  <c:v>0.48684091630251508</c:v>
                </c:pt>
                <c:pt idx="11415">
                  <c:v>0.51064807589469663</c:v>
                </c:pt>
                <c:pt idx="11416">
                  <c:v>0.49839781753213869</c:v>
                </c:pt>
                <c:pt idx="11417">
                  <c:v>0.51758342193143791</c:v>
                </c:pt>
                <c:pt idx="11418">
                  <c:v>0.50775875151212291</c:v>
                </c:pt>
                <c:pt idx="11419">
                  <c:v>0.50240813625727443</c:v>
                </c:pt>
                <c:pt idx="11420">
                  <c:v>0.53110628584130992</c:v>
                </c:pt>
                <c:pt idx="11421">
                  <c:v>0.53297860045074574</c:v>
                </c:pt>
                <c:pt idx="11422">
                  <c:v>0.50738936159303116</c:v>
                </c:pt>
                <c:pt idx="11423">
                  <c:v>0.50832417161488708</c:v>
                </c:pt>
                <c:pt idx="11424">
                  <c:v>0.5108191725743223</c:v>
                </c:pt>
                <c:pt idx="11425">
                  <c:v>0.5157949220560144</c:v>
                </c:pt>
                <c:pt idx="11426">
                  <c:v>0.50664693286866536</c:v>
                </c:pt>
                <c:pt idx="11427">
                  <c:v>0.4959143708127226</c:v>
                </c:pt>
                <c:pt idx="11428">
                  <c:v>0.51805413403137912</c:v>
                </c:pt>
                <c:pt idx="11429">
                  <c:v>0.50820074258192505</c:v>
                </c:pt>
                <c:pt idx="11430">
                  <c:v>0.49438504301432046</c:v>
                </c:pt>
                <c:pt idx="11431">
                  <c:v>0.50218204320610549</c:v>
                </c:pt>
                <c:pt idx="11432">
                  <c:v>0.49034523684105236</c:v>
                </c:pt>
                <c:pt idx="11433">
                  <c:v>0.49971168277997563</c:v>
                </c:pt>
                <c:pt idx="11434">
                  <c:v>0.52428133374489061</c:v>
                </c:pt>
                <c:pt idx="11435">
                  <c:v>0.48546787210551162</c:v>
                </c:pt>
                <c:pt idx="11436">
                  <c:v>0.49102659745831606</c:v>
                </c:pt>
                <c:pt idx="11437">
                  <c:v>0.53114911124047615</c:v>
                </c:pt>
                <c:pt idx="11438">
                  <c:v>0.53393923847270641</c:v>
                </c:pt>
                <c:pt idx="11439">
                  <c:v>0.53464599343314179</c:v>
                </c:pt>
                <c:pt idx="11440">
                  <c:v>0.51973312090314827</c:v>
                </c:pt>
                <c:pt idx="11441">
                  <c:v>0.49849870730144136</c:v>
                </c:pt>
                <c:pt idx="11442">
                  <c:v>0.51500743644889868</c:v>
                </c:pt>
                <c:pt idx="11443">
                  <c:v>0.53206060964910751</c:v>
                </c:pt>
                <c:pt idx="11444">
                  <c:v>0.54339883960792135</c:v>
                </c:pt>
                <c:pt idx="11445">
                  <c:v>0.57271922403840081</c:v>
                </c:pt>
                <c:pt idx="11446">
                  <c:v>0.53462177289460511</c:v>
                </c:pt>
                <c:pt idx="11447">
                  <c:v>0.50820518987023533</c:v>
                </c:pt>
                <c:pt idx="11448">
                  <c:v>0.5221225016935036</c:v>
                </c:pt>
                <c:pt idx="11449">
                  <c:v>0.53918930184778147</c:v>
                </c:pt>
                <c:pt idx="11450">
                  <c:v>0.58515029543768238</c:v>
                </c:pt>
                <c:pt idx="11451">
                  <c:v>0.5749289236287014</c:v>
                </c:pt>
                <c:pt idx="11452">
                  <c:v>0.54476285576002825</c:v>
                </c:pt>
                <c:pt idx="11453">
                  <c:v>0.51087677022839517</c:v>
                </c:pt>
                <c:pt idx="11454">
                  <c:v>0.52391911005840475</c:v>
                </c:pt>
                <c:pt idx="11455">
                  <c:v>0.5291087495984117</c:v>
                </c:pt>
                <c:pt idx="11456">
                  <c:v>0.53258228277439679</c:v>
                </c:pt>
                <c:pt idx="11457">
                  <c:v>0.5617362540297105</c:v>
                </c:pt>
                <c:pt idx="11458">
                  <c:v>0.50855113017142495</c:v>
                </c:pt>
                <c:pt idx="11459">
                  <c:v>0.50031209917002151</c:v>
                </c:pt>
                <c:pt idx="11460">
                  <c:v>0.53512416749457459</c:v>
                </c:pt>
                <c:pt idx="11461">
                  <c:v>0.521407210553684</c:v>
                </c:pt>
                <c:pt idx="11462">
                  <c:v>0.53454923000712606</c:v>
                </c:pt>
                <c:pt idx="11463">
                  <c:v>0.54258855366276393</c:v>
                </c:pt>
                <c:pt idx="11464">
                  <c:v>0.52617418826202356</c:v>
                </c:pt>
                <c:pt idx="11465">
                  <c:v>0.51100894805397989</c:v>
                </c:pt>
                <c:pt idx="11466">
                  <c:v>0.54402250308403943</c:v>
                </c:pt>
                <c:pt idx="11467">
                  <c:v>0.53192269247423984</c:v>
                </c:pt>
                <c:pt idx="11468">
                  <c:v>0.52144773513458464</c:v>
                </c:pt>
                <c:pt idx="11469">
                  <c:v>0.55275980974274874</c:v>
                </c:pt>
                <c:pt idx="11470">
                  <c:v>0.53990009955640972</c:v>
                </c:pt>
                <c:pt idx="11471">
                  <c:v>0.50630894680394178</c:v>
                </c:pt>
                <c:pt idx="11472">
                  <c:v>0.51403984920385648</c:v>
                </c:pt>
                <c:pt idx="11473">
                  <c:v>0.53013730392400915</c:v>
                </c:pt>
                <c:pt idx="11474">
                  <c:v>0.53225917937009493</c:v>
                </c:pt>
                <c:pt idx="11475">
                  <c:v>0.50014944249577276</c:v>
                </c:pt>
                <c:pt idx="11476">
                  <c:v>0.51837481175652089</c:v>
                </c:pt>
                <c:pt idx="11477">
                  <c:v>0.48816151018035192</c:v>
                </c:pt>
                <c:pt idx="11478">
                  <c:v>0.49146311076762655</c:v>
                </c:pt>
                <c:pt idx="11479">
                  <c:v>0.50600076875443933</c:v>
                </c:pt>
                <c:pt idx="11480">
                  <c:v>0.53849129045546584</c:v>
                </c:pt>
                <c:pt idx="11481">
                  <c:v>0.5186986731442611</c:v>
                </c:pt>
                <c:pt idx="11482">
                  <c:v>0.5171745127103734</c:v>
                </c:pt>
                <c:pt idx="11483">
                  <c:v>0.50844689212588035</c:v>
                </c:pt>
                <c:pt idx="11484">
                  <c:v>0.52356256788248368</c:v>
                </c:pt>
                <c:pt idx="11485">
                  <c:v>0.51193066309403479</c:v>
                </c:pt>
                <c:pt idx="11486">
                  <c:v>0.48845171991751674</c:v>
                </c:pt>
                <c:pt idx="11487">
                  <c:v>0.50437638127428208</c:v>
                </c:pt>
                <c:pt idx="11488">
                  <c:v>0.50443212088311873</c:v>
                </c:pt>
                <c:pt idx="11489">
                  <c:v>0.50646823081478964</c:v>
                </c:pt>
                <c:pt idx="11490">
                  <c:v>0.52063940534857811</c:v>
                </c:pt>
                <c:pt idx="11491">
                  <c:v>0.54384699425482474</c:v>
                </c:pt>
                <c:pt idx="11492">
                  <c:v>0.56045901202315118</c:v>
                </c:pt>
                <c:pt idx="11493">
                  <c:v>0.55545552498795248</c:v>
                </c:pt>
                <c:pt idx="11494">
                  <c:v>0.55787288987489403</c:v>
                </c:pt>
                <c:pt idx="11495">
                  <c:v>0.54075767573210554</c:v>
                </c:pt>
                <c:pt idx="11496">
                  <c:v>0.55758382827136221</c:v>
                </c:pt>
                <c:pt idx="11497">
                  <c:v>0.54988530847113559</c:v>
                </c:pt>
                <c:pt idx="11498">
                  <c:v>0.55996811582424988</c:v>
                </c:pt>
                <c:pt idx="11499">
                  <c:v>0.56610359943374544</c:v>
                </c:pt>
                <c:pt idx="11500">
                  <c:v>0.57453140269361291</c:v>
                </c:pt>
                <c:pt idx="11501">
                  <c:v>0.5660560648686207</c:v>
                </c:pt>
                <c:pt idx="11502">
                  <c:v>0.56812589197786334</c:v>
                </c:pt>
                <c:pt idx="11503">
                  <c:v>0.56249211826329248</c:v>
                </c:pt>
                <c:pt idx="11504">
                  <c:v>0.55915343446856491</c:v>
                </c:pt>
                <c:pt idx="11505">
                  <c:v>0.57056663863846324</c:v>
                </c:pt>
                <c:pt idx="11506">
                  <c:v>0.58043146908062571</c:v>
                </c:pt>
                <c:pt idx="11507">
                  <c:v>0.56971851605260182</c:v>
                </c:pt>
                <c:pt idx="11508">
                  <c:v>0.56956783557213897</c:v>
                </c:pt>
                <c:pt idx="11509">
                  <c:v>0.58727679024415147</c:v>
                </c:pt>
                <c:pt idx="11510">
                  <c:v>0.58151400826523136</c:v>
                </c:pt>
                <c:pt idx="11511">
                  <c:v>0.57252995446514809</c:v>
                </c:pt>
                <c:pt idx="11512">
                  <c:v>0.55756121467484332</c:v>
                </c:pt>
                <c:pt idx="11513">
                  <c:v>0.53927148735050401</c:v>
                </c:pt>
                <c:pt idx="11514">
                  <c:v>0.54779217523940305</c:v>
                </c:pt>
                <c:pt idx="11515">
                  <c:v>0.54120981175567029</c:v>
                </c:pt>
                <c:pt idx="11516">
                  <c:v>0.55214370484902631</c:v>
                </c:pt>
                <c:pt idx="11517">
                  <c:v>0.55453264784567835</c:v>
                </c:pt>
                <c:pt idx="11518">
                  <c:v>0.55430631806878072</c:v>
                </c:pt>
                <c:pt idx="11519">
                  <c:v>0.55798634567074934</c:v>
                </c:pt>
                <c:pt idx="11520">
                  <c:v>0.57473795549174911</c:v>
                </c:pt>
                <c:pt idx="11521">
                  <c:v>0.5627355001979697</c:v>
                </c:pt>
                <c:pt idx="11522">
                  <c:v>0.56139502968666832</c:v>
                </c:pt>
                <c:pt idx="11523">
                  <c:v>0.57889043222669101</c:v>
                </c:pt>
                <c:pt idx="11524">
                  <c:v>0.57434407869657644</c:v>
                </c:pt>
                <c:pt idx="11525">
                  <c:v>0.55745498718655351</c:v>
                </c:pt>
                <c:pt idx="11526">
                  <c:v>0.57207311376761272</c:v>
                </c:pt>
                <c:pt idx="11527">
                  <c:v>0.56868235112359844</c:v>
                </c:pt>
                <c:pt idx="11528">
                  <c:v>0.5776147176514338</c:v>
                </c:pt>
                <c:pt idx="11529">
                  <c:v>0.57762689266268963</c:v>
                </c:pt>
                <c:pt idx="11530">
                  <c:v>0.57012023107929877</c:v>
                </c:pt>
                <c:pt idx="11531">
                  <c:v>0.56336027302311953</c:v>
                </c:pt>
                <c:pt idx="11532">
                  <c:v>0.57271910787611613</c:v>
                </c:pt>
                <c:pt idx="11533">
                  <c:v>0.57059255402490938</c:v>
                </c:pt>
                <c:pt idx="11534">
                  <c:v>0.54526393233193793</c:v>
                </c:pt>
                <c:pt idx="11535">
                  <c:v>0.53694787047086334</c:v>
                </c:pt>
                <c:pt idx="11536">
                  <c:v>0.53199848217082224</c:v>
                </c:pt>
                <c:pt idx="11537">
                  <c:v>0.51426556880974639</c:v>
                </c:pt>
                <c:pt idx="11538">
                  <c:v>0.51294201541356932</c:v>
                </c:pt>
                <c:pt idx="11539">
                  <c:v>0.50835650530073739</c:v>
                </c:pt>
                <c:pt idx="11540">
                  <c:v>0.48669975712117292</c:v>
                </c:pt>
                <c:pt idx="11541">
                  <c:v>0.48933892211344021</c:v>
                </c:pt>
                <c:pt idx="11542">
                  <c:v>0.48039418394991446</c:v>
                </c:pt>
                <c:pt idx="11543">
                  <c:v>0.50871740135968047</c:v>
                </c:pt>
                <c:pt idx="11544">
                  <c:v>0.51657675219023957</c:v>
                </c:pt>
                <c:pt idx="11545">
                  <c:v>0.51909445349455219</c:v>
                </c:pt>
                <c:pt idx="11546">
                  <c:v>0.51586047041350003</c:v>
                </c:pt>
                <c:pt idx="11547">
                  <c:v>0.48875033327593925</c:v>
                </c:pt>
                <c:pt idx="11548">
                  <c:v>0.49287655773581335</c:v>
                </c:pt>
                <c:pt idx="11549">
                  <c:v>0.50272283118849304</c:v>
                </c:pt>
                <c:pt idx="11550">
                  <c:v>0.49519523541330707</c:v>
                </c:pt>
                <c:pt idx="11551">
                  <c:v>0.52061321218240741</c:v>
                </c:pt>
                <c:pt idx="11552">
                  <c:v>0.52722273618666626</c:v>
                </c:pt>
                <c:pt idx="11553">
                  <c:v>0.54732750869519997</c:v>
                </c:pt>
                <c:pt idx="11554">
                  <c:v>0.52604732304653401</c:v>
                </c:pt>
                <c:pt idx="11555">
                  <c:v>0.51791090490797453</c:v>
                </c:pt>
                <c:pt idx="11556">
                  <c:v>0.49468766943225945</c:v>
                </c:pt>
                <c:pt idx="11557">
                  <c:v>0.52607163851715821</c:v>
                </c:pt>
                <c:pt idx="11558">
                  <c:v>0.50086769199594383</c:v>
                </c:pt>
                <c:pt idx="11559">
                  <c:v>0.5313693077217112</c:v>
                </c:pt>
                <c:pt idx="11560">
                  <c:v>0.53359680591682801</c:v>
                </c:pt>
                <c:pt idx="11561">
                  <c:v>0.51029696259630297</c:v>
                </c:pt>
                <c:pt idx="11562">
                  <c:v>0.52435509264523561</c:v>
                </c:pt>
                <c:pt idx="11563">
                  <c:v>0.53382478549686996</c:v>
                </c:pt>
                <c:pt idx="11564">
                  <c:v>0.54148850685680383</c:v>
                </c:pt>
                <c:pt idx="11565">
                  <c:v>0.52425509956670324</c:v>
                </c:pt>
                <c:pt idx="11566">
                  <c:v>0.53696414161212547</c:v>
                </c:pt>
                <c:pt idx="11567">
                  <c:v>0.52609465935706323</c:v>
                </c:pt>
                <c:pt idx="11568">
                  <c:v>0.54586700766034157</c:v>
                </c:pt>
                <c:pt idx="11569">
                  <c:v>0.55172537046654002</c:v>
                </c:pt>
                <c:pt idx="11570">
                  <c:v>0.54671844313783358</c:v>
                </c:pt>
                <c:pt idx="11571">
                  <c:v>0.54459074431371024</c:v>
                </c:pt>
                <c:pt idx="11572">
                  <c:v>0.5274223693603487</c:v>
                </c:pt>
                <c:pt idx="11573">
                  <c:v>0.53383837916010468</c:v>
                </c:pt>
                <c:pt idx="11574">
                  <c:v>0.52943805455549331</c:v>
                </c:pt>
                <c:pt idx="11575">
                  <c:v>0.54176190872251873</c:v>
                </c:pt>
                <c:pt idx="11576">
                  <c:v>0.52600269802942312</c:v>
                </c:pt>
                <c:pt idx="11577">
                  <c:v>0.51966303551391113</c:v>
                </c:pt>
                <c:pt idx="11578">
                  <c:v>0.53609208318760959</c:v>
                </c:pt>
                <c:pt idx="11579">
                  <c:v>0.51168019727766068</c:v>
                </c:pt>
                <c:pt idx="11580">
                  <c:v>0.5368880782508888</c:v>
                </c:pt>
                <c:pt idx="11581">
                  <c:v>0.55205112840688808</c:v>
                </c:pt>
                <c:pt idx="11582">
                  <c:v>0.55402918217374197</c:v>
                </c:pt>
                <c:pt idx="11583">
                  <c:v>0.5571389180639571</c:v>
                </c:pt>
                <c:pt idx="11584">
                  <c:v>0.56129355222871824</c:v>
                </c:pt>
                <c:pt idx="11585">
                  <c:v>0.517356913468067</c:v>
                </c:pt>
                <c:pt idx="11586">
                  <c:v>0.54607085231215791</c:v>
                </c:pt>
                <c:pt idx="11587">
                  <c:v>0.5017578183228204</c:v>
                </c:pt>
                <c:pt idx="11588">
                  <c:v>0.5308124024903339</c:v>
                </c:pt>
                <c:pt idx="11589">
                  <c:v>0.51566644506389647</c:v>
                </c:pt>
                <c:pt idx="11590">
                  <c:v>0.5620712582487406</c:v>
                </c:pt>
                <c:pt idx="11591">
                  <c:v>0.53393453899983789</c:v>
                </c:pt>
                <c:pt idx="11592">
                  <c:v>0.51151559173034711</c:v>
                </c:pt>
                <c:pt idx="11593">
                  <c:v>0.51061671649269691</c:v>
                </c:pt>
                <c:pt idx="11594">
                  <c:v>0.54300819038714365</c:v>
                </c:pt>
                <c:pt idx="11595">
                  <c:v>0.57371208878892244</c:v>
                </c:pt>
                <c:pt idx="11596">
                  <c:v>0.57436247913439376</c:v>
                </c:pt>
                <c:pt idx="11597">
                  <c:v>0.54503618564374356</c:v>
                </c:pt>
                <c:pt idx="11598">
                  <c:v>0.51134155815997584</c:v>
                </c:pt>
                <c:pt idx="11599">
                  <c:v>0.52369315194109967</c:v>
                </c:pt>
                <c:pt idx="11600">
                  <c:v>0.52719835608180199</c:v>
                </c:pt>
                <c:pt idx="11601">
                  <c:v>0.53612039228951824</c:v>
                </c:pt>
                <c:pt idx="11602">
                  <c:v>0.56692654934480446</c:v>
                </c:pt>
                <c:pt idx="11603">
                  <c:v>0.50313043501779098</c:v>
                </c:pt>
                <c:pt idx="11604">
                  <c:v>0.50944313279430009</c:v>
                </c:pt>
                <c:pt idx="11605">
                  <c:v>0.53219567754240271</c:v>
                </c:pt>
                <c:pt idx="11606">
                  <c:v>0.52849826546978473</c:v>
                </c:pt>
                <c:pt idx="11607">
                  <c:v>0.53950917312499158</c:v>
                </c:pt>
                <c:pt idx="11608">
                  <c:v>0.54333557877815786</c:v>
                </c:pt>
                <c:pt idx="11609">
                  <c:v>0.52973556227778984</c:v>
                </c:pt>
                <c:pt idx="11610">
                  <c:v>0.5092967661083676</c:v>
                </c:pt>
                <c:pt idx="11611">
                  <c:v>0.54191644001642802</c:v>
                </c:pt>
                <c:pt idx="11612">
                  <c:v>0.53254991953940678</c:v>
                </c:pt>
                <c:pt idx="11613">
                  <c:v>0.50690342642325792</c:v>
                </c:pt>
                <c:pt idx="11614">
                  <c:v>0.53864384860992232</c:v>
                </c:pt>
                <c:pt idx="11615">
                  <c:v>0.53908425742750754</c:v>
                </c:pt>
                <c:pt idx="11616">
                  <c:v>0.50712653506847172</c:v>
                </c:pt>
                <c:pt idx="11617">
                  <c:v>0.50632424168699008</c:v>
                </c:pt>
                <c:pt idx="11618">
                  <c:v>0.53207566178681398</c:v>
                </c:pt>
                <c:pt idx="11619">
                  <c:v>0.51793278104103679</c:v>
                </c:pt>
                <c:pt idx="11620">
                  <c:v>0.49679090063662468</c:v>
                </c:pt>
                <c:pt idx="11621">
                  <c:v>0.5212435050502201</c:v>
                </c:pt>
                <c:pt idx="11622">
                  <c:v>0.49069924000458193</c:v>
                </c:pt>
                <c:pt idx="11623">
                  <c:v>0.4835707521020603</c:v>
                </c:pt>
                <c:pt idx="11624">
                  <c:v>0.49293923683621321</c:v>
                </c:pt>
                <c:pt idx="11625">
                  <c:v>0.53789625416569298</c:v>
                </c:pt>
                <c:pt idx="11626">
                  <c:v>0.5095744041906386</c:v>
                </c:pt>
                <c:pt idx="11627">
                  <c:v>0.525043769914456</c:v>
                </c:pt>
                <c:pt idx="11628">
                  <c:v>0.51191075407457509</c:v>
                </c:pt>
                <c:pt idx="11629">
                  <c:v>0.53089631636804602</c:v>
                </c:pt>
                <c:pt idx="11630">
                  <c:v>0.50920870728587508</c:v>
                </c:pt>
                <c:pt idx="11631">
                  <c:v>0.49475064373336386</c:v>
                </c:pt>
                <c:pt idx="11632">
                  <c:v>0.50093320262356555</c:v>
                </c:pt>
                <c:pt idx="11633">
                  <c:v>0.50268502523880754</c:v>
                </c:pt>
                <c:pt idx="11634">
                  <c:v>0.49352106443503663</c:v>
                </c:pt>
                <c:pt idx="11635">
                  <c:v>0.50360331060306918</c:v>
                </c:pt>
                <c:pt idx="11636">
                  <c:v>0.53196837202303804</c:v>
                </c:pt>
                <c:pt idx="11637">
                  <c:v>0.54293728382500461</c:v>
                </c:pt>
                <c:pt idx="11638">
                  <c:v>0.54421878041560423</c:v>
                </c:pt>
                <c:pt idx="11639">
                  <c:v>0.54333495730976245</c:v>
                </c:pt>
                <c:pt idx="11640">
                  <c:v>0.52634069918492776</c:v>
                </c:pt>
                <c:pt idx="11641">
                  <c:v>0.54679490050315938</c:v>
                </c:pt>
                <c:pt idx="11642">
                  <c:v>0.53981076522159321</c:v>
                </c:pt>
                <c:pt idx="11643">
                  <c:v>0.54321524591372561</c:v>
                </c:pt>
                <c:pt idx="11644">
                  <c:v>0.55272088785097839</c:v>
                </c:pt>
                <c:pt idx="11645">
                  <c:v>0.56451930235697767</c:v>
                </c:pt>
                <c:pt idx="11646">
                  <c:v>0.55578163835765171</c:v>
                </c:pt>
                <c:pt idx="11647">
                  <c:v>0.55417868295190031</c:v>
                </c:pt>
                <c:pt idx="11648">
                  <c:v>0.547258905191084</c:v>
                </c:pt>
                <c:pt idx="11649">
                  <c:v>0.53997162895190887</c:v>
                </c:pt>
                <c:pt idx="11650">
                  <c:v>0.54811659306435856</c:v>
                </c:pt>
                <c:pt idx="11651">
                  <c:v>0.56012431591074541</c:v>
                </c:pt>
                <c:pt idx="11652">
                  <c:v>0.55241096948158386</c:v>
                </c:pt>
                <c:pt idx="11653">
                  <c:v>0.55578803976319868</c:v>
                </c:pt>
                <c:pt idx="11654">
                  <c:v>0.57198387548990171</c:v>
                </c:pt>
                <c:pt idx="11655">
                  <c:v>0.56544083100179776</c:v>
                </c:pt>
                <c:pt idx="11656">
                  <c:v>0.55886918180074929</c:v>
                </c:pt>
                <c:pt idx="11657">
                  <c:v>0.54352980622136982</c:v>
                </c:pt>
                <c:pt idx="11658">
                  <c:v>0.52455254381154648</c:v>
                </c:pt>
                <c:pt idx="11659">
                  <c:v>0.5308620364378569</c:v>
                </c:pt>
                <c:pt idx="11660">
                  <c:v>0.52356985248950538</c:v>
                </c:pt>
                <c:pt idx="11661">
                  <c:v>0.53908764635380246</c:v>
                </c:pt>
                <c:pt idx="11662">
                  <c:v>0.53968418722800138</c:v>
                </c:pt>
                <c:pt idx="11663">
                  <c:v>0.53709214521936244</c:v>
                </c:pt>
                <c:pt idx="11664">
                  <c:v>0.54410539206979036</c:v>
                </c:pt>
                <c:pt idx="11665">
                  <c:v>0.55760475682748167</c:v>
                </c:pt>
                <c:pt idx="11666">
                  <c:v>0.55384080825677362</c:v>
                </c:pt>
                <c:pt idx="11667">
                  <c:v>0.54276743419666373</c:v>
                </c:pt>
                <c:pt idx="11668">
                  <c:v>0.55591882518392466</c:v>
                </c:pt>
                <c:pt idx="11669">
                  <c:v>0.55428353316311252</c:v>
                </c:pt>
                <c:pt idx="11670">
                  <c:v>0.53946515776460136</c:v>
                </c:pt>
                <c:pt idx="11671">
                  <c:v>0.5506471534832782</c:v>
                </c:pt>
                <c:pt idx="11672">
                  <c:v>0.54823815657305475</c:v>
                </c:pt>
                <c:pt idx="11673">
                  <c:v>0.55705932290586146</c:v>
                </c:pt>
                <c:pt idx="11674">
                  <c:v>0.55683008924588195</c:v>
                </c:pt>
                <c:pt idx="11675">
                  <c:v>0.55235046883995331</c:v>
                </c:pt>
                <c:pt idx="11676">
                  <c:v>0.54369960638983827</c:v>
                </c:pt>
                <c:pt idx="11677">
                  <c:v>0.55269072098543393</c:v>
                </c:pt>
                <c:pt idx="11678">
                  <c:v>0.54856985549412085</c:v>
                </c:pt>
                <c:pt idx="11679">
                  <c:v>0.51984400070936687</c:v>
                </c:pt>
                <c:pt idx="11680">
                  <c:v>0.50906320305726571</c:v>
                </c:pt>
                <c:pt idx="11681">
                  <c:v>0.50200286113681925</c:v>
                </c:pt>
                <c:pt idx="11682">
                  <c:v>0.48879754557817962</c:v>
                </c:pt>
                <c:pt idx="11683">
                  <c:v>0.48721730521665613</c:v>
                </c:pt>
                <c:pt idx="11684">
                  <c:v>0.48485922045524987</c:v>
                </c:pt>
                <c:pt idx="11685">
                  <c:v>0.46941299774521167</c:v>
                </c:pt>
                <c:pt idx="11686">
                  <c:v>0.47623105265563959</c:v>
                </c:pt>
                <c:pt idx="11687">
                  <c:v>0.46215052930841383</c:v>
                </c:pt>
                <c:pt idx="11688">
                  <c:v>0.47697299023126033</c:v>
                </c:pt>
                <c:pt idx="11689">
                  <c:v>0.47934493049614096</c:v>
                </c:pt>
                <c:pt idx="11690">
                  <c:v>0.4794471765617449</c:v>
                </c:pt>
                <c:pt idx="11691">
                  <c:v>0.47236862817076009</c:v>
                </c:pt>
                <c:pt idx="11692">
                  <c:v>0.45947617186196127</c:v>
                </c:pt>
                <c:pt idx="11693">
                  <c:v>0.46556411668813125</c:v>
                </c:pt>
                <c:pt idx="11694">
                  <c:v>0.47674716610247408</c:v>
                </c:pt>
                <c:pt idx="11695">
                  <c:v>0.48567430439321396</c:v>
                </c:pt>
                <c:pt idx="11696">
                  <c:v>0.48139131278936281</c:v>
                </c:pt>
                <c:pt idx="11697">
                  <c:v>0.48443039284977707</c:v>
                </c:pt>
                <c:pt idx="11698">
                  <c:v>0.50725918375010792</c:v>
                </c:pt>
                <c:pt idx="11699">
                  <c:v>0.48656903423887787</c:v>
                </c:pt>
                <c:pt idx="11700">
                  <c:v>0.49321413626894661</c:v>
                </c:pt>
                <c:pt idx="11701">
                  <c:v>0.4569106854791124</c:v>
                </c:pt>
                <c:pt idx="11702">
                  <c:v>0.48493700145591179</c:v>
                </c:pt>
                <c:pt idx="11703">
                  <c:v>0.46964060494132115</c:v>
                </c:pt>
                <c:pt idx="11704">
                  <c:v>0.49114421195816454</c:v>
                </c:pt>
                <c:pt idx="11705">
                  <c:v>0.49127664784626784</c:v>
                </c:pt>
                <c:pt idx="11706">
                  <c:v>0.47975204372379127</c:v>
                </c:pt>
                <c:pt idx="11707">
                  <c:v>0.48820243627797022</c:v>
                </c:pt>
                <c:pt idx="11708">
                  <c:v>0.49076321612869034</c:v>
                </c:pt>
                <c:pt idx="11709">
                  <c:v>0.50125458230557807</c:v>
                </c:pt>
                <c:pt idx="11710">
                  <c:v>0.49610855371182411</c:v>
                </c:pt>
                <c:pt idx="11711">
                  <c:v>0.50692653990858261</c:v>
                </c:pt>
                <c:pt idx="11712">
                  <c:v>0.48373488922311564</c:v>
                </c:pt>
                <c:pt idx="11713">
                  <c:v>0.50868953686397411</c:v>
                </c:pt>
                <c:pt idx="11714">
                  <c:v>0.51434437022811563</c:v>
                </c:pt>
                <c:pt idx="11715">
                  <c:v>0.50889625692570362</c:v>
                </c:pt>
                <c:pt idx="11716">
                  <c:v>0.50974673002809234</c:v>
                </c:pt>
                <c:pt idx="11717">
                  <c:v>0.49249638063969914</c:v>
                </c:pt>
                <c:pt idx="11718">
                  <c:v>0.50076337539361115</c:v>
                </c:pt>
                <c:pt idx="11719">
                  <c:v>0.48854098706702936</c:v>
                </c:pt>
                <c:pt idx="11720">
                  <c:v>0.51276961948067523</c:v>
                </c:pt>
                <c:pt idx="11721">
                  <c:v>0.49883580129597044</c:v>
                </c:pt>
                <c:pt idx="11722">
                  <c:v>0.49506190569176783</c:v>
                </c:pt>
                <c:pt idx="11723">
                  <c:v>0.51341232282893323</c:v>
                </c:pt>
                <c:pt idx="11724">
                  <c:v>0.49986282637213914</c:v>
                </c:pt>
                <c:pt idx="11725">
                  <c:v>0.51971514127326723</c:v>
                </c:pt>
                <c:pt idx="11726">
                  <c:v>0.53763312687121911</c:v>
                </c:pt>
                <c:pt idx="11727">
                  <c:v>0.54181779079126269</c:v>
                </c:pt>
                <c:pt idx="11728">
                  <c:v>0.53579422027136681</c:v>
                </c:pt>
                <c:pt idx="11729">
                  <c:v>0.55016436636580801</c:v>
                </c:pt>
                <c:pt idx="11730">
                  <c:v>0.49757618237825213</c:v>
                </c:pt>
                <c:pt idx="11731">
                  <c:v>0.52670323423326937</c:v>
                </c:pt>
                <c:pt idx="11732">
                  <c:v>0.51429533696188912</c:v>
                </c:pt>
                <c:pt idx="11733">
                  <c:v>0.51147519968377841</c:v>
                </c:pt>
                <c:pt idx="11734">
                  <c:v>0.53401734388609201</c:v>
                </c:pt>
                <c:pt idx="11735">
                  <c:v>0.52310000537603019</c:v>
                </c:pt>
                <c:pt idx="11736">
                  <c:v>0.55009119221089309</c:v>
                </c:pt>
                <c:pt idx="11737">
                  <c:v>0.54571708990839984</c:v>
                </c:pt>
                <c:pt idx="11738">
                  <c:v>0.52332757377026451</c:v>
                </c:pt>
                <c:pt idx="11739">
                  <c:v>0.52780487212027749</c:v>
                </c:pt>
                <c:pt idx="11740">
                  <c:v>0.54854394296117315</c:v>
                </c:pt>
                <c:pt idx="11741">
                  <c:v>0.5462985509965782</c:v>
                </c:pt>
                <c:pt idx="11742">
                  <c:v>0.55191917287073822</c:v>
                </c:pt>
                <c:pt idx="11743">
                  <c:v>0.54069090267215858</c:v>
                </c:pt>
                <c:pt idx="11744">
                  <c:v>0.54085481595224871</c:v>
                </c:pt>
                <c:pt idx="11745">
                  <c:v>0.55407259483897153</c:v>
                </c:pt>
                <c:pt idx="11746">
                  <c:v>0.53246747158294949</c:v>
                </c:pt>
                <c:pt idx="11747">
                  <c:v>0.5629560549913798</c:v>
                </c:pt>
                <c:pt idx="11748">
                  <c:v>0.58599114716663359</c:v>
                </c:pt>
                <c:pt idx="11749">
                  <c:v>0.51615630806155433</c:v>
                </c:pt>
                <c:pt idx="11750">
                  <c:v>0.55396538921147331</c:v>
                </c:pt>
                <c:pt idx="11751">
                  <c:v>0.56325747297231132</c:v>
                </c:pt>
                <c:pt idx="11752">
                  <c:v>0.56357861271186893</c:v>
                </c:pt>
                <c:pt idx="11753">
                  <c:v>0.56743528134497634</c:v>
                </c:pt>
                <c:pt idx="11754">
                  <c:v>0.57378822644848837</c:v>
                </c:pt>
                <c:pt idx="11755">
                  <c:v>0.55416692360391562</c:v>
                </c:pt>
                <c:pt idx="11756">
                  <c:v>0.49087613343664932</c:v>
                </c:pt>
                <c:pt idx="11757">
                  <c:v>0.48998743142523887</c:v>
                </c:pt>
                <c:pt idx="11758">
                  <c:v>0.50859596907608817</c:v>
                </c:pt>
                <c:pt idx="11759">
                  <c:v>0.55211751746240711</c:v>
                </c:pt>
                <c:pt idx="11760">
                  <c:v>0.55141840067997849</c:v>
                </c:pt>
                <c:pt idx="11761">
                  <c:v>0.55299654997949543</c:v>
                </c:pt>
                <c:pt idx="11762">
                  <c:v>0.52972260909186142</c:v>
                </c:pt>
                <c:pt idx="11763">
                  <c:v>0.54707558090760455</c:v>
                </c:pt>
                <c:pt idx="11764">
                  <c:v>0.5375464740018232</c:v>
                </c:pt>
                <c:pt idx="11765">
                  <c:v>0.54703614621807994</c:v>
                </c:pt>
                <c:pt idx="11766">
                  <c:v>0.5392224288679951</c:v>
                </c:pt>
                <c:pt idx="11767">
                  <c:v>0.51022748387014893</c:v>
                </c:pt>
                <c:pt idx="11768">
                  <c:v>0.52392560884021433</c:v>
                </c:pt>
                <c:pt idx="11769">
                  <c:v>0.53569758586882277</c:v>
                </c:pt>
                <c:pt idx="11770">
                  <c:v>0.52636215480016069</c:v>
                </c:pt>
                <c:pt idx="11771">
                  <c:v>0.50297824219748855</c:v>
                </c:pt>
                <c:pt idx="11772">
                  <c:v>0.50657862623079108</c:v>
                </c:pt>
                <c:pt idx="11773">
                  <c:v>0.5192689556030432</c:v>
                </c:pt>
                <c:pt idx="11774">
                  <c:v>0.53462037795334227</c:v>
                </c:pt>
                <c:pt idx="11775">
                  <c:v>0.53961035391861334</c:v>
                </c:pt>
                <c:pt idx="11776">
                  <c:v>0.52034857261275991</c:v>
                </c:pt>
                <c:pt idx="11777">
                  <c:v>0.53037453379320421</c:v>
                </c:pt>
                <c:pt idx="11778">
                  <c:v>0.50350359986380355</c:v>
                </c:pt>
                <c:pt idx="11779">
                  <c:v>0.51489690722012726</c:v>
                </c:pt>
                <c:pt idx="11780">
                  <c:v>0.51908315048848974</c:v>
                </c:pt>
                <c:pt idx="11781">
                  <c:v>0.52105474872571944</c:v>
                </c:pt>
                <c:pt idx="11782">
                  <c:v>0.5334832798148833</c:v>
                </c:pt>
                <c:pt idx="11783">
                  <c:v>0.52406478940072232</c:v>
                </c:pt>
                <c:pt idx="11784">
                  <c:v>0.542528038767775</c:v>
                </c:pt>
                <c:pt idx="11785">
                  <c:v>0.55550157510482279</c:v>
                </c:pt>
                <c:pt idx="11786">
                  <c:v>0.55976099831344328</c:v>
                </c:pt>
                <c:pt idx="11787">
                  <c:v>0.5559253453098858</c:v>
                </c:pt>
                <c:pt idx="11788">
                  <c:v>0.55960179410139732</c:v>
                </c:pt>
                <c:pt idx="11789">
                  <c:v>0.54581621692264881</c:v>
                </c:pt>
                <c:pt idx="11790">
                  <c:v>0.54385059451191875</c:v>
                </c:pt>
                <c:pt idx="11791">
                  <c:v>0.56334887837367653</c:v>
                </c:pt>
                <c:pt idx="11792">
                  <c:v>0.54782920408025182</c:v>
                </c:pt>
                <c:pt idx="11793">
                  <c:v>0.54607986868393499</c:v>
                </c:pt>
                <c:pt idx="11794">
                  <c:v>0.55171598287121981</c:v>
                </c:pt>
                <c:pt idx="11795">
                  <c:v>0.54186506040956761</c:v>
                </c:pt>
                <c:pt idx="11796">
                  <c:v>0.55059019590010871</c:v>
                </c:pt>
                <c:pt idx="11797">
                  <c:v>0.55029355350111397</c:v>
                </c:pt>
                <c:pt idx="11798">
                  <c:v>0.55846244058496497</c:v>
                </c:pt>
                <c:pt idx="11799">
                  <c:v>0.56416912229783422</c:v>
                </c:pt>
                <c:pt idx="11800">
                  <c:v>0.59284101958929603</c:v>
                </c:pt>
                <c:pt idx="11801">
                  <c:v>0.58304112934734709</c:v>
                </c:pt>
                <c:pt idx="11802">
                  <c:v>0.5544003537544927</c:v>
                </c:pt>
                <c:pt idx="11803">
                  <c:v>0.5366513514521789</c:v>
                </c:pt>
                <c:pt idx="11804">
                  <c:v>0.55507424555173324</c:v>
                </c:pt>
                <c:pt idx="11805">
                  <c:v>0.54673706544578937</c:v>
                </c:pt>
                <c:pt idx="11806">
                  <c:v>0.55458860629349782</c:v>
                </c:pt>
                <c:pt idx="11807">
                  <c:v>0.5480583190151167</c:v>
                </c:pt>
                <c:pt idx="11808">
                  <c:v>0.55418838114364188</c:v>
                </c:pt>
                <c:pt idx="11809">
                  <c:v>0.56698611260993459</c:v>
                </c:pt>
                <c:pt idx="11810">
                  <c:v>0.582574211034534</c:v>
                </c:pt>
                <c:pt idx="11811">
                  <c:v>0.57475599239333586</c:v>
                </c:pt>
                <c:pt idx="11812">
                  <c:v>0.57713042681916438</c:v>
                </c:pt>
                <c:pt idx="11813">
                  <c:v>0.58389184450475096</c:v>
                </c:pt>
                <c:pt idx="11814">
                  <c:v>0.57739493447253931</c:v>
                </c:pt>
                <c:pt idx="11815">
                  <c:v>0.57066924050127821</c:v>
                </c:pt>
                <c:pt idx="11816">
                  <c:v>0.55861522317948009</c:v>
                </c:pt>
                <c:pt idx="11817">
                  <c:v>0.55279909299014951</c:v>
                </c:pt>
                <c:pt idx="11818">
                  <c:v>0.56497895121702368</c:v>
                </c:pt>
                <c:pt idx="11819">
                  <c:v>0.56279029285234139</c:v>
                </c:pt>
                <c:pt idx="11820">
                  <c:v>0.55640237701279704</c:v>
                </c:pt>
                <c:pt idx="11821">
                  <c:v>0.54914113477078108</c:v>
                </c:pt>
                <c:pt idx="11822">
                  <c:v>0.55589238144731512</c:v>
                </c:pt>
                <c:pt idx="11823">
                  <c:v>0.54847884778823597</c:v>
                </c:pt>
                <c:pt idx="11824">
                  <c:v>0.53030985923175389</c:v>
                </c:pt>
                <c:pt idx="11825">
                  <c:v>0.39544556739533543</c:v>
                </c:pt>
                <c:pt idx="11826">
                  <c:v>0.47100712560754049</c:v>
                </c:pt>
                <c:pt idx="11827">
                  <c:v>0.46714411713196302</c:v>
                </c:pt>
                <c:pt idx="11828">
                  <c:v>0.49437613904419375</c:v>
                </c:pt>
                <c:pt idx="11829">
                  <c:v>0.48007797737073948</c:v>
                </c:pt>
                <c:pt idx="11830">
                  <c:v>0.46932457443383158</c:v>
                </c:pt>
                <c:pt idx="11831">
                  <c:v>0.49413858607425004</c:v>
                </c:pt>
                <c:pt idx="11832">
                  <c:v>0.4916947120181272</c:v>
                </c:pt>
                <c:pt idx="11833">
                  <c:v>0.47741965725429664</c:v>
                </c:pt>
                <c:pt idx="11834">
                  <c:v>0.47221097227661168</c:v>
                </c:pt>
                <c:pt idx="11835">
                  <c:v>0.49540153802687736</c:v>
                </c:pt>
                <c:pt idx="11836">
                  <c:v>0.46199931233045505</c:v>
                </c:pt>
                <c:pt idx="11837">
                  <c:v>0.4612978405731471</c:v>
                </c:pt>
                <c:pt idx="11838">
                  <c:v>0.4499698072167802</c:v>
                </c:pt>
                <c:pt idx="11839">
                  <c:v>0.45815524975846966</c:v>
                </c:pt>
                <c:pt idx="11840">
                  <c:v>0.48589468393117602</c:v>
                </c:pt>
                <c:pt idx="11841">
                  <c:v>0.48958150566677272</c:v>
                </c:pt>
                <c:pt idx="11842">
                  <c:v>0.47129493891133573</c:v>
                </c:pt>
                <c:pt idx="11843">
                  <c:v>0.4500107970022808</c:v>
                </c:pt>
                <c:pt idx="11844">
                  <c:v>0.45076256580634722</c:v>
                </c:pt>
                <c:pt idx="11845">
                  <c:v>0.46436925773389226</c:v>
                </c:pt>
                <c:pt idx="11846">
                  <c:v>0.49235383321547516</c:v>
                </c:pt>
                <c:pt idx="11847">
                  <c:v>0.49474716856849027</c:v>
                </c:pt>
                <c:pt idx="11848">
                  <c:v>0.49073950677833017</c:v>
                </c:pt>
                <c:pt idx="11849">
                  <c:v>0.50639732484195099</c:v>
                </c:pt>
                <c:pt idx="11850">
                  <c:v>0.49075423759206821</c:v>
                </c:pt>
                <c:pt idx="11851">
                  <c:v>0.50792910213749776</c:v>
                </c:pt>
                <c:pt idx="11852">
                  <c:v>0.49821334366973147</c:v>
                </c:pt>
                <c:pt idx="11853">
                  <c:v>0.49953670273683909</c:v>
                </c:pt>
                <c:pt idx="11854">
                  <c:v>0.48843578246134101</c:v>
                </c:pt>
                <c:pt idx="11855">
                  <c:v>0.50509175181284305</c:v>
                </c:pt>
                <c:pt idx="11856">
                  <c:v>0.4907075181479546</c:v>
                </c:pt>
                <c:pt idx="11857">
                  <c:v>0.48530353638872731</c:v>
                </c:pt>
                <c:pt idx="11858">
                  <c:v>0.49183551672595255</c:v>
                </c:pt>
                <c:pt idx="11859">
                  <c:v>0.50521715305216364</c:v>
                </c:pt>
                <c:pt idx="11860">
                  <c:v>0.4827944319414339</c:v>
                </c:pt>
                <c:pt idx="11861">
                  <c:v>0.47440713681411023</c:v>
                </c:pt>
                <c:pt idx="11862">
                  <c:v>0.49932534061854611</c:v>
                </c:pt>
                <c:pt idx="11863">
                  <c:v>0.50585608254586456</c:v>
                </c:pt>
                <c:pt idx="11864">
                  <c:v>0.51716329163874031</c:v>
                </c:pt>
                <c:pt idx="11865">
                  <c:v>0.51863578844667324</c:v>
                </c:pt>
                <c:pt idx="11866">
                  <c:v>0.51192291338286711</c:v>
                </c:pt>
                <c:pt idx="11867">
                  <c:v>0.51225095257257225</c:v>
                </c:pt>
                <c:pt idx="11868">
                  <c:v>0.50631977509541126</c:v>
                </c:pt>
                <c:pt idx="11869">
                  <c:v>0.49898435916929018</c:v>
                </c:pt>
                <c:pt idx="11870">
                  <c:v>0.51402056853460487</c:v>
                </c:pt>
                <c:pt idx="11871">
                  <c:v>0.51946059060106986</c:v>
                </c:pt>
                <c:pt idx="11872">
                  <c:v>0.51773361487012437</c:v>
                </c:pt>
                <c:pt idx="11873">
                  <c:v>0.50961725698665472</c:v>
                </c:pt>
                <c:pt idx="11874">
                  <c:v>0.50760925189932571</c:v>
                </c:pt>
                <c:pt idx="11875">
                  <c:v>0.42548351724436662</c:v>
                </c:pt>
                <c:pt idx="11876">
                  <c:v>0.48240503577991928</c:v>
                </c:pt>
                <c:pt idx="11877">
                  <c:v>0.50316506643601189</c:v>
                </c:pt>
                <c:pt idx="11878">
                  <c:v>0.50210934055441547</c:v>
                </c:pt>
                <c:pt idx="11879">
                  <c:v>0.49807348839574811</c:v>
                </c:pt>
                <c:pt idx="11880">
                  <c:v>0.52793444455877236</c:v>
                </c:pt>
                <c:pt idx="11881">
                  <c:v>0.54127350785349115</c:v>
                </c:pt>
                <c:pt idx="11882">
                  <c:v>0.49639599564811743</c:v>
                </c:pt>
                <c:pt idx="11883">
                  <c:v>0.51190006429157831</c:v>
                </c:pt>
                <c:pt idx="11884">
                  <c:v>0.53271795276644274</c:v>
                </c:pt>
                <c:pt idx="11885">
                  <c:v>0.53957274299336466</c:v>
                </c:pt>
                <c:pt idx="11886">
                  <c:v>0.5307248896527007</c:v>
                </c:pt>
                <c:pt idx="11887">
                  <c:v>0.52938119827947494</c:v>
                </c:pt>
                <c:pt idx="11888">
                  <c:v>0.52100476623241387</c:v>
                </c:pt>
                <c:pt idx="11889">
                  <c:v>0.52837735209169023</c:v>
                </c:pt>
                <c:pt idx="11890">
                  <c:v>0.52859497194010097</c:v>
                </c:pt>
                <c:pt idx="11891">
                  <c:v>0.52618194639991422</c:v>
                </c:pt>
                <c:pt idx="11892">
                  <c:v>0.54835305135809465</c:v>
                </c:pt>
                <c:pt idx="11893">
                  <c:v>0.51643501846258244</c:v>
                </c:pt>
                <c:pt idx="11894">
                  <c:v>0.53728678971921551</c:v>
                </c:pt>
                <c:pt idx="11895">
                  <c:v>0.53429688423595378</c:v>
                </c:pt>
                <c:pt idx="11896">
                  <c:v>0.53317738715947394</c:v>
                </c:pt>
                <c:pt idx="11897">
                  <c:v>0.53528816902804788</c:v>
                </c:pt>
                <c:pt idx="11898">
                  <c:v>0.54973028044402883</c:v>
                </c:pt>
                <c:pt idx="11899">
                  <c:v>0.56045267909828866</c:v>
                </c:pt>
                <c:pt idx="11900">
                  <c:v>0.48137984476202644</c:v>
                </c:pt>
                <c:pt idx="11901">
                  <c:v>0.4886909935216886</c:v>
                </c:pt>
                <c:pt idx="11902">
                  <c:v>0.48935679687152167</c:v>
                </c:pt>
                <c:pt idx="11903">
                  <c:v>0.52017830579455793</c:v>
                </c:pt>
                <c:pt idx="11904">
                  <c:v>0.53240693181961252</c:v>
                </c:pt>
                <c:pt idx="11905">
                  <c:v>0.52866645915653288</c:v>
                </c:pt>
                <c:pt idx="11906">
                  <c:v>0.5088249388555921</c:v>
                </c:pt>
                <c:pt idx="11907">
                  <c:v>0.51173768086029658</c:v>
                </c:pt>
                <c:pt idx="11908">
                  <c:v>0.50332155510123955</c:v>
                </c:pt>
                <c:pt idx="11909">
                  <c:v>0.52191101523577932</c:v>
                </c:pt>
                <c:pt idx="11910">
                  <c:v>0.51056122892608247</c:v>
                </c:pt>
                <c:pt idx="11911">
                  <c:v>0.50371688756867483</c:v>
                </c:pt>
                <c:pt idx="11912">
                  <c:v>0.49661114089362407</c:v>
                </c:pt>
                <c:pt idx="11913">
                  <c:v>0.5016631553981723</c:v>
                </c:pt>
                <c:pt idx="11914">
                  <c:v>0.50423917698244081</c:v>
                </c:pt>
                <c:pt idx="11915">
                  <c:v>0.4946591681267456</c:v>
                </c:pt>
                <c:pt idx="11916">
                  <c:v>0.47875157237190363</c:v>
                </c:pt>
                <c:pt idx="11917">
                  <c:v>0.49806590126958272</c:v>
                </c:pt>
                <c:pt idx="11918">
                  <c:v>0.51822589397380947</c:v>
                </c:pt>
                <c:pt idx="11919">
                  <c:v>0.53161416593806754</c:v>
                </c:pt>
                <c:pt idx="11920">
                  <c:v>0.51065316823344664</c:v>
                </c:pt>
                <c:pt idx="11921">
                  <c:v>0.51901900692932057</c:v>
                </c:pt>
                <c:pt idx="11922">
                  <c:v>0.49213698757559354</c:v>
                </c:pt>
                <c:pt idx="11923">
                  <c:v>0.50737545441135823</c:v>
                </c:pt>
                <c:pt idx="11924">
                  <c:v>0.50401308289989788</c:v>
                </c:pt>
                <c:pt idx="11925">
                  <c:v>0.51156895162150395</c:v>
                </c:pt>
                <c:pt idx="11926">
                  <c:v>0.52920788831484944</c:v>
                </c:pt>
                <c:pt idx="11927">
                  <c:v>0.51627273472744628</c:v>
                </c:pt>
                <c:pt idx="11928">
                  <c:v>0.52605521278992695</c:v>
                </c:pt>
                <c:pt idx="11929">
                  <c:v>0.54796351477281369</c:v>
                </c:pt>
                <c:pt idx="11930">
                  <c:v>0.55032951353630499</c:v>
                </c:pt>
                <c:pt idx="11931">
                  <c:v>0.55191381094869041</c:v>
                </c:pt>
                <c:pt idx="11932">
                  <c:v>0.54981931199215583</c:v>
                </c:pt>
                <c:pt idx="11933">
                  <c:v>0.53587894740797426</c:v>
                </c:pt>
                <c:pt idx="11934">
                  <c:v>0.53535197991377426</c:v>
                </c:pt>
                <c:pt idx="11935">
                  <c:v>0.55720609899236351</c:v>
                </c:pt>
                <c:pt idx="11936">
                  <c:v>0.53647586827100202</c:v>
                </c:pt>
                <c:pt idx="11937">
                  <c:v>0.53157010930860193</c:v>
                </c:pt>
                <c:pt idx="11938">
                  <c:v>0.53685780056957566</c:v>
                </c:pt>
                <c:pt idx="11939">
                  <c:v>0.52970850122211577</c:v>
                </c:pt>
                <c:pt idx="11940">
                  <c:v>0.5314256488347251</c:v>
                </c:pt>
                <c:pt idx="11941">
                  <c:v>0.53560092995947528</c:v>
                </c:pt>
                <c:pt idx="11942">
                  <c:v>0.53852509914959923</c:v>
                </c:pt>
                <c:pt idx="11943">
                  <c:v>0.55598148678866177</c:v>
                </c:pt>
                <c:pt idx="11944">
                  <c:v>0.57374094618503291</c:v>
                </c:pt>
                <c:pt idx="11945">
                  <c:v>0.57011824446299686</c:v>
                </c:pt>
                <c:pt idx="11946">
                  <c:v>0.55638319966046768</c:v>
                </c:pt>
                <c:pt idx="11947">
                  <c:v>0.52376219994942708</c:v>
                </c:pt>
                <c:pt idx="11948">
                  <c:v>0.54134343790770922</c:v>
                </c:pt>
                <c:pt idx="11949">
                  <c:v>0.53396616420173115</c:v>
                </c:pt>
                <c:pt idx="11950">
                  <c:v>0.54317682685200608</c:v>
                </c:pt>
                <c:pt idx="11951">
                  <c:v>0.53223967076053247</c:v>
                </c:pt>
                <c:pt idx="11952">
                  <c:v>0.53538033729821422</c:v>
                </c:pt>
                <c:pt idx="11953">
                  <c:v>0.54602885578542582</c:v>
                </c:pt>
                <c:pt idx="11954">
                  <c:v>0.55992301545519907</c:v>
                </c:pt>
                <c:pt idx="11955">
                  <c:v>0.56952372122230188</c:v>
                </c:pt>
                <c:pt idx="11956">
                  <c:v>0.56257131856234699</c:v>
                </c:pt>
                <c:pt idx="11957">
                  <c:v>0.5714838252901614</c:v>
                </c:pt>
                <c:pt idx="11958">
                  <c:v>0.56467813439420911</c:v>
                </c:pt>
                <c:pt idx="11959">
                  <c:v>0.5601314906753736</c:v>
                </c:pt>
                <c:pt idx="11960">
                  <c:v>0.54843720632494863</c:v>
                </c:pt>
                <c:pt idx="11961">
                  <c:v>0.53691684009307727</c:v>
                </c:pt>
                <c:pt idx="11962">
                  <c:v>0.55624748664861179</c:v>
                </c:pt>
                <c:pt idx="11963">
                  <c:v>0.55556647209763577</c:v>
                </c:pt>
                <c:pt idx="11964">
                  <c:v>0.55209218118550207</c:v>
                </c:pt>
                <c:pt idx="11965">
                  <c:v>0.54655796221882413</c:v>
                </c:pt>
                <c:pt idx="11966">
                  <c:v>0.54594188535906607</c:v>
                </c:pt>
                <c:pt idx="11967">
                  <c:v>0.54703910394400435</c:v>
                </c:pt>
                <c:pt idx="11968">
                  <c:v>0.53191146324609317</c:v>
                </c:pt>
                <c:pt idx="11969">
                  <c:v>0.43113899882441425</c:v>
                </c:pt>
                <c:pt idx="11970">
                  <c:v>0.46677274703363641</c:v>
                </c:pt>
                <c:pt idx="11971">
                  <c:v>0.46418883526059335</c:v>
                </c:pt>
                <c:pt idx="11972">
                  <c:v>0.48553830295065409</c:v>
                </c:pt>
                <c:pt idx="11973">
                  <c:v>0.47305596533557259</c:v>
                </c:pt>
                <c:pt idx="11974">
                  <c:v>0.46260311615594285</c:v>
                </c:pt>
                <c:pt idx="11975">
                  <c:v>0.48992474650455647</c:v>
                </c:pt>
                <c:pt idx="11976">
                  <c:v>0.4861752115615714</c:v>
                </c:pt>
                <c:pt idx="11977">
                  <c:v>0.47220555504041439</c:v>
                </c:pt>
                <c:pt idx="11978">
                  <c:v>0.4608653821635102</c:v>
                </c:pt>
                <c:pt idx="11979">
                  <c:v>0.48264737728549706</c:v>
                </c:pt>
                <c:pt idx="11980">
                  <c:v>0.45472476479046231</c:v>
                </c:pt>
                <c:pt idx="11981">
                  <c:v>0.45353741998893427</c:v>
                </c:pt>
                <c:pt idx="11982">
                  <c:v>0.44376678973239614</c:v>
                </c:pt>
                <c:pt idx="11983">
                  <c:v>0.45682650552236959</c:v>
                </c:pt>
                <c:pt idx="11984">
                  <c:v>0.48900042958432727</c:v>
                </c:pt>
                <c:pt idx="11985">
                  <c:v>0.48885320722229419</c:v>
                </c:pt>
                <c:pt idx="11986">
                  <c:v>0.46453991909568615</c:v>
                </c:pt>
                <c:pt idx="11987">
                  <c:v>0.4474251953615459</c:v>
                </c:pt>
                <c:pt idx="11988">
                  <c:v>0.4549271395893672</c:v>
                </c:pt>
                <c:pt idx="11989">
                  <c:v>0.46383806442382042</c:v>
                </c:pt>
                <c:pt idx="11990">
                  <c:v>0.50133276790027559</c:v>
                </c:pt>
                <c:pt idx="11991">
                  <c:v>0.50984380948496522</c:v>
                </c:pt>
                <c:pt idx="11992">
                  <c:v>0.49480652056621449</c:v>
                </c:pt>
                <c:pt idx="11993">
                  <c:v>0.52100411197315621</c:v>
                </c:pt>
                <c:pt idx="11994">
                  <c:v>0.50364362429333487</c:v>
                </c:pt>
                <c:pt idx="11995">
                  <c:v>0.52209169896316499</c:v>
                </c:pt>
                <c:pt idx="11996">
                  <c:v>0.50412560050452093</c:v>
                </c:pt>
                <c:pt idx="11997">
                  <c:v>0.50643656812768822</c:v>
                </c:pt>
                <c:pt idx="11998">
                  <c:v>0.49616231635369346</c:v>
                </c:pt>
                <c:pt idx="11999">
                  <c:v>0.51984216387809468</c:v>
                </c:pt>
                <c:pt idx="12000">
                  <c:v>0.50483880344443266</c:v>
                </c:pt>
                <c:pt idx="12001">
                  <c:v>0.50060239628439152</c:v>
                </c:pt>
                <c:pt idx="12002">
                  <c:v>0.48337059486152179</c:v>
                </c:pt>
                <c:pt idx="12003">
                  <c:v>0.50200682553680465</c:v>
                </c:pt>
                <c:pt idx="12004">
                  <c:v>0.49646176885819993</c:v>
                </c:pt>
                <c:pt idx="12005">
                  <c:v>0.47577836885274283</c:v>
                </c:pt>
                <c:pt idx="12006">
                  <c:v>0.5094115518704001</c:v>
                </c:pt>
                <c:pt idx="12007">
                  <c:v>0.51979820881256944</c:v>
                </c:pt>
                <c:pt idx="12008">
                  <c:v>0.5266300022574919</c:v>
                </c:pt>
                <c:pt idx="12009">
                  <c:v>0.52243992966580444</c:v>
                </c:pt>
                <c:pt idx="12010">
                  <c:v>0.51537756418796243</c:v>
                </c:pt>
                <c:pt idx="12011">
                  <c:v>0.51958309286416082</c:v>
                </c:pt>
                <c:pt idx="12012">
                  <c:v>0.51491893569742164</c:v>
                </c:pt>
                <c:pt idx="12013">
                  <c:v>0.50226183812123371</c:v>
                </c:pt>
                <c:pt idx="12014">
                  <c:v>0.5252022912546459</c:v>
                </c:pt>
                <c:pt idx="12015">
                  <c:v>0.5195267697483783</c:v>
                </c:pt>
                <c:pt idx="12016">
                  <c:v>0.5262127189817688</c:v>
                </c:pt>
                <c:pt idx="12017">
                  <c:v>0.52225847746729337</c:v>
                </c:pt>
                <c:pt idx="12018">
                  <c:v>0.50809035437896233</c:v>
                </c:pt>
                <c:pt idx="12019">
                  <c:v>0.52748747532329132</c:v>
                </c:pt>
                <c:pt idx="12020">
                  <c:v>0.54134793302601802</c:v>
                </c:pt>
                <c:pt idx="12021">
                  <c:v>0.53456229369436015</c:v>
                </c:pt>
                <c:pt idx="12022">
                  <c:v>0.50596392440703308</c:v>
                </c:pt>
                <c:pt idx="12023">
                  <c:v>0.49759109741840507</c:v>
                </c:pt>
                <c:pt idx="12024">
                  <c:v>0.57742929369959772</c:v>
                </c:pt>
                <c:pt idx="12025">
                  <c:v>0.52982481333359344</c:v>
                </c:pt>
                <c:pt idx="12026">
                  <c:v>0.51544821198624868</c:v>
                </c:pt>
                <c:pt idx="12027">
                  <c:v>0.51080992944879589</c:v>
                </c:pt>
                <c:pt idx="12028">
                  <c:v>0.49294412235486945</c:v>
                </c:pt>
                <c:pt idx="12029">
                  <c:v>0.51426756227653569</c:v>
                </c:pt>
                <c:pt idx="12030">
                  <c:v>0.51936563742548736</c:v>
                </c:pt>
                <c:pt idx="12031">
                  <c:v>0.51788283331581619</c:v>
                </c:pt>
                <c:pt idx="12032">
                  <c:v>0.52510080796826042</c:v>
                </c:pt>
                <c:pt idx="12033">
                  <c:v>0.54107751883505384</c:v>
                </c:pt>
                <c:pt idx="12034">
                  <c:v>0.55988676428337114</c:v>
                </c:pt>
                <c:pt idx="12035">
                  <c:v>0.48969585566836032</c:v>
                </c:pt>
                <c:pt idx="12036">
                  <c:v>0.52689174652506554</c:v>
                </c:pt>
                <c:pt idx="12037">
                  <c:v>0.52807414885147308</c:v>
                </c:pt>
                <c:pt idx="12038">
                  <c:v>0.52079155639944452</c:v>
                </c:pt>
                <c:pt idx="12039">
                  <c:v>0.51706176076492527</c:v>
                </c:pt>
                <c:pt idx="12040">
                  <c:v>0.48609765202503269</c:v>
                </c:pt>
                <c:pt idx="12041">
                  <c:v>0.46564067443513324</c:v>
                </c:pt>
                <c:pt idx="12042">
                  <c:v>0.46894813183812384</c:v>
                </c:pt>
                <c:pt idx="12043">
                  <c:v>0.49351507018713991</c:v>
                </c:pt>
                <c:pt idx="12044">
                  <c:v>0.52154066594204163</c:v>
                </c:pt>
                <c:pt idx="12045">
                  <c:v>0.52311784542133888</c:v>
                </c:pt>
                <c:pt idx="12046">
                  <c:v>0.51319082219000434</c:v>
                </c:pt>
                <c:pt idx="12047">
                  <c:v>0.50506921918136827</c:v>
                </c:pt>
                <c:pt idx="12048">
                  <c:v>0.4825301552128281</c:v>
                </c:pt>
                <c:pt idx="12049">
                  <c:v>0.5088308600468372</c:v>
                </c:pt>
                <c:pt idx="12050">
                  <c:v>0.52610746255456409</c:v>
                </c:pt>
                <c:pt idx="12051">
                  <c:v>0.53893298396927969</c:v>
                </c:pt>
                <c:pt idx="12052">
                  <c:v>0.51101765136228561</c:v>
                </c:pt>
                <c:pt idx="12053">
                  <c:v>0.53668467262093011</c:v>
                </c:pt>
                <c:pt idx="12054">
                  <c:v>0.5109982360504719</c:v>
                </c:pt>
                <c:pt idx="12055">
                  <c:v>0.5237698712727501</c:v>
                </c:pt>
                <c:pt idx="12056">
                  <c:v>0.50159296566112532</c:v>
                </c:pt>
                <c:pt idx="12057">
                  <c:v>0.52680085766268725</c:v>
                </c:pt>
                <c:pt idx="12058">
                  <c:v>0.51154100201998232</c:v>
                </c:pt>
                <c:pt idx="12059">
                  <c:v>0.5191780340364367</c:v>
                </c:pt>
                <c:pt idx="12060">
                  <c:v>0.50982501294399196</c:v>
                </c:pt>
                <c:pt idx="12061">
                  <c:v>0.50605887352384971</c:v>
                </c:pt>
                <c:pt idx="12062">
                  <c:v>0.51992651889992547</c:v>
                </c:pt>
                <c:pt idx="12063">
                  <c:v>0.50167163760004552</c:v>
                </c:pt>
                <c:pt idx="12064">
                  <c:v>0.49572870012350428</c:v>
                </c:pt>
                <c:pt idx="12065">
                  <c:v>0.52220615401777459</c:v>
                </c:pt>
                <c:pt idx="12066">
                  <c:v>0.52079208006316191</c:v>
                </c:pt>
                <c:pt idx="12067">
                  <c:v>0.5337286013501692</c:v>
                </c:pt>
                <c:pt idx="12068">
                  <c:v>0.54678848846703487</c:v>
                </c:pt>
                <c:pt idx="12069">
                  <c:v>0.53801190419368505</c:v>
                </c:pt>
                <c:pt idx="12070">
                  <c:v>0.56821087936767956</c:v>
                </c:pt>
                <c:pt idx="12071">
                  <c:v>0.56162901714622371</c:v>
                </c:pt>
                <c:pt idx="12072">
                  <c:v>0.56988411068242462</c:v>
                </c:pt>
                <c:pt idx="12073">
                  <c:v>0.56046092383137769</c:v>
                </c:pt>
                <c:pt idx="12074">
                  <c:v>0.56535589049649415</c:v>
                </c:pt>
                <c:pt idx="12075">
                  <c:v>0.5646137564261321</c:v>
                </c:pt>
                <c:pt idx="12076">
                  <c:v>0.57185795666721639</c:v>
                </c:pt>
                <c:pt idx="12077">
                  <c:v>0.5687567966254945</c:v>
                </c:pt>
                <c:pt idx="12078">
                  <c:v>0.56177080249666211</c:v>
                </c:pt>
                <c:pt idx="12079">
                  <c:v>0.55341718409269691</c:v>
                </c:pt>
                <c:pt idx="12080">
                  <c:v>0.52939891051356247</c:v>
                </c:pt>
                <c:pt idx="12081">
                  <c:v>0.54799511848644555</c:v>
                </c:pt>
                <c:pt idx="12082">
                  <c:v>0.52821792652260058</c:v>
                </c:pt>
                <c:pt idx="12083">
                  <c:v>0.55990985531363391</c:v>
                </c:pt>
                <c:pt idx="12084">
                  <c:v>0.55559607737408745</c:v>
                </c:pt>
                <c:pt idx="12085">
                  <c:v>0.54153793408727058</c:v>
                </c:pt>
                <c:pt idx="12086">
                  <c:v>0.54494901618109659</c:v>
                </c:pt>
                <c:pt idx="12087">
                  <c:v>0.53956873096908442</c:v>
                </c:pt>
                <c:pt idx="12088">
                  <c:v>0.51751048248048115</c:v>
                </c:pt>
                <c:pt idx="12089">
                  <c:v>0.52643724110723378</c:v>
                </c:pt>
                <c:pt idx="12090">
                  <c:v>0.53080370317304337</c:v>
                </c:pt>
                <c:pt idx="12091">
                  <c:v>0.52450685632414851</c:v>
                </c:pt>
                <c:pt idx="12092">
                  <c:v>0.5339293314164516</c:v>
                </c:pt>
                <c:pt idx="12093">
                  <c:v>0.54396802101788588</c:v>
                </c:pt>
                <c:pt idx="12094">
                  <c:v>0.54345550553274047</c:v>
                </c:pt>
                <c:pt idx="12095">
                  <c:v>0.55067587389489125</c:v>
                </c:pt>
                <c:pt idx="12096">
                  <c:v>0.54391092541416908</c:v>
                </c:pt>
                <c:pt idx="12097">
                  <c:v>0.55631625320813505</c:v>
                </c:pt>
                <c:pt idx="12098">
                  <c:v>0.57419568944298571</c:v>
                </c:pt>
                <c:pt idx="12099">
                  <c:v>0.56200720703646101</c:v>
                </c:pt>
                <c:pt idx="12100">
                  <c:v>0.54521789752394878</c:v>
                </c:pt>
                <c:pt idx="12101">
                  <c:v>0.53929582633109285</c:v>
                </c:pt>
                <c:pt idx="12102">
                  <c:v>0.53329073883682776</c:v>
                </c:pt>
                <c:pt idx="12103">
                  <c:v>0.54845968584087468</c:v>
                </c:pt>
                <c:pt idx="12104">
                  <c:v>0.56317792274672684</c:v>
                </c:pt>
                <c:pt idx="12105">
                  <c:v>0.54948439980233377</c:v>
                </c:pt>
                <c:pt idx="12106">
                  <c:v>0.54906766533018037</c:v>
                </c:pt>
                <c:pt idx="12107">
                  <c:v>0.52945294119948916</c:v>
                </c:pt>
                <c:pt idx="12108">
                  <c:v>0.53520547947058739</c:v>
                </c:pt>
                <c:pt idx="12109">
                  <c:v>0.5277204875718311</c:v>
                </c:pt>
                <c:pt idx="12110">
                  <c:v>0.50158352407069384</c:v>
                </c:pt>
                <c:pt idx="12111">
                  <c:v>0.50425128098728833</c:v>
                </c:pt>
                <c:pt idx="12112">
                  <c:v>0.48877908406510895</c:v>
                </c:pt>
                <c:pt idx="12113">
                  <c:v>0.53508122558898419</c:v>
                </c:pt>
                <c:pt idx="12114">
                  <c:v>0.55916505957127172</c:v>
                </c:pt>
                <c:pt idx="12115">
                  <c:v>0.50155287169558072</c:v>
                </c:pt>
                <c:pt idx="12116">
                  <c:v>0.49421514047071219</c:v>
                </c:pt>
                <c:pt idx="12117">
                  <c:v>0.48039016094863962</c:v>
                </c:pt>
                <c:pt idx="12118">
                  <c:v>0.4675382577199208</c:v>
                </c:pt>
                <c:pt idx="12119">
                  <c:v>0.4918593062537171</c:v>
                </c:pt>
                <c:pt idx="12120">
                  <c:v>0.48378036889943105</c:v>
                </c:pt>
                <c:pt idx="12121">
                  <c:v>0.45378770546011921</c:v>
                </c:pt>
                <c:pt idx="12122">
                  <c:v>0.47076010870035934</c:v>
                </c:pt>
                <c:pt idx="12123">
                  <c:v>0.46733012735998369</c:v>
                </c:pt>
                <c:pt idx="12124">
                  <c:v>0.4651454118980265</c:v>
                </c:pt>
                <c:pt idx="12125">
                  <c:v>0.47219515961414027</c:v>
                </c:pt>
                <c:pt idx="12126">
                  <c:v>0.46927608134129534</c:v>
                </c:pt>
                <c:pt idx="12127">
                  <c:v>0.46595196933642585</c:v>
                </c:pt>
                <c:pt idx="12128">
                  <c:v>0.48357388997006623</c:v>
                </c:pt>
                <c:pt idx="12129">
                  <c:v>0.49182558071386218</c:v>
                </c:pt>
                <c:pt idx="12130">
                  <c:v>0.48822529676398491</c:v>
                </c:pt>
                <c:pt idx="12131">
                  <c:v>0.46088732338564381</c:v>
                </c:pt>
                <c:pt idx="12132">
                  <c:v>0.47134159337110626</c:v>
                </c:pt>
                <c:pt idx="12133">
                  <c:v>0.47965634596631945</c:v>
                </c:pt>
                <c:pt idx="12134">
                  <c:v>0.48756326688528906</c:v>
                </c:pt>
                <c:pt idx="12135">
                  <c:v>0.48474472764473342</c:v>
                </c:pt>
                <c:pt idx="12136">
                  <c:v>0.48106320762903015</c:v>
                </c:pt>
                <c:pt idx="12137">
                  <c:v>0.4845772720077321</c:v>
                </c:pt>
                <c:pt idx="12138">
                  <c:v>0.49179031303276538</c:v>
                </c:pt>
                <c:pt idx="12139">
                  <c:v>0.47526982520507849</c:v>
                </c:pt>
                <c:pt idx="12140">
                  <c:v>0.46932221623240028</c:v>
                </c:pt>
                <c:pt idx="12141">
                  <c:v>0.49094975934532414</c:v>
                </c:pt>
                <c:pt idx="12142">
                  <c:v>0.48468412668768329</c:v>
                </c:pt>
                <c:pt idx="12143">
                  <c:v>0.48368127696832974</c:v>
                </c:pt>
                <c:pt idx="12144">
                  <c:v>0.48670612938695845</c:v>
                </c:pt>
                <c:pt idx="12145">
                  <c:v>0.49743239169353254</c:v>
                </c:pt>
                <c:pt idx="12146">
                  <c:v>0.49513440880521409</c:v>
                </c:pt>
                <c:pt idx="12147">
                  <c:v>0.48349315397172909</c:v>
                </c:pt>
                <c:pt idx="12148">
                  <c:v>0.48865250996470699</c:v>
                </c:pt>
                <c:pt idx="12149">
                  <c:v>0.50073581846750181</c:v>
                </c:pt>
                <c:pt idx="12150">
                  <c:v>0.48241533268296471</c:v>
                </c:pt>
                <c:pt idx="12151">
                  <c:v>0.49863236393191901</c:v>
                </c:pt>
                <c:pt idx="12152">
                  <c:v>0.50230050058956921</c:v>
                </c:pt>
                <c:pt idx="12153">
                  <c:v>0.58452977821993268</c:v>
                </c:pt>
                <c:pt idx="12154">
                  <c:v>0.58055070566120581</c:v>
                </c:pt>
                <c:pt idx="12155">
                  <c:v>0.60405024707703414</c:v>
                </c:pt>
                <c:pt idx="12156">
                  <c:v>0.61036233509332549</c:v>
                </c:pt>
                <c:pt idx="12157">
                  <c:v>0.61872162014254639</c:v>
                </c:pt>
                <c:pt idx="12158">
                  <c:v>0.58626866768624364</c:v>
                </c:pt>
                <c:pt idx="12159">
                  <c:v>0.59487983599962246</c:v>
                </c:pt>
                <c:pt idx="12160">
                  <c:v>0.50579239449902347</c:v>
                </c:pt>
                <c:pt idx="12161">
                  <c:v>0.51184033028618858</c:v>
                </c:pt>
                <c:pt idx="12162">
                  <c:v>0.53567026124832984</c:v>
                </c:pt>
                <c:pt idx="12163">
                  <c:v>0.54055057076430446</c:v>
                </c:pt>
                <c:pt idx="12164">
                  <c:v>0.54399011252000085</c:v>
                </c:pt>
                <c:pt idx="12165">
                  <c:v>0.52892685082887514</c:v>
                </c:pt>
                <c:pt idx="12166">
                  <c:v>0.51324610803383108</c:v>
                </c:pt>
                <c:pt idx="12167">
                  <c:v>0.56292480861729399</c:v>
                </c:pt>
                <c:pt idx="12168">
                  <c:v>0.54928926239075226</c:v>
                </c:pt>
                <c:pt idx="12169">
                  <c:v>0.51149352369363588</c:v>
                </c:pt>
                <c:pt idx="12170">
                  <c:v>0.51185730252819883</c:v>
                </c:pt>
                <c:pt idx="12171">
                  <c:v>0.50704060248720184</c:v>
                </c:pt>
                <c:pt idx="12172">
                  <c:v>0.51425506973365365</c:v>
                </c:pt>
                <c:pt idx="12173">
                  <c:v>0.52338184449945324</c:v>
                </c:pt>
                <c:pt idx="12174">
                  <c:v>0.52787855025600139</c:v>
                </c:pt>
                <c:pt idx="12175">
                  <c:v>0.52497259147296105</c:v>
                </c:pt>
                <c:pt idx="12176">
                  <c:v>0.54827994001186364</c:v>
                </c:pt>
                <c:pt idx="12177">
                  <c:v>0.55234365133788754</c:v>
                </c:pt>
                <c:pt idx="12178">
                  <c:v>0.49153285618380804</c:v>
                </c:pt>
                <c:pt idx="12179">
                  <c:v>0.5372356157454804</c:v>
                </c:pt>
                <c:pt idx="12180">
                  <c:v>0.52754651348069304</c:v>
                </c:pt>
                <c:pt idx="12181">
                  <c:v>0.51941016162393738</c:v>
                </c:pt>
                <c:pt idx="12182">
                  <c:v>0.51182576302984895</c:v>
                </c:pt>
                <c:pt idx="12183">
                  <c:v>0.5056582125176049</c:v>
                </c:pt>
                <c:pt idx="12184">
                  <c:v>0.46953985375171897</c:v>
                </c:pt>
                <c:pt idx="12185">
                  <c:v>0.46334910887749209</c:v>
                </c:pt>
                <c:pt idx="12186">
                  <c:v>0.48155512916688903</c:v>
                </c:pt>
                <c:pt idx="12187">
                  <c:v>0.51825526023094104</c:v>
                </c:pt>
                <c:pt idx="12188">
                  <c:v>0.51861618445121493</c:v>
                </c:pt>
                <c:pt idx="12189">
                  <c:v>0.53116828542365235</c:v>
                </c:pt>
                <c:pt idx="12190">
                  <c:v>0.50377284802729649</c:v>
                </c:pt>
                <c:pt idx="12191">
                  <c:v>0.49075283467895331</c:v>
                </c:pt>
                <c:pt idx="12192">
                  <c:v>0.49696989451858642</c:v>
                </c:pt>
                <c:pt idx="12193">
                  <c:v>0.52998018950911918</c:v>
                </c:pt>
                <c:pt idx="12194">
                  <c:v>0.53402521714839102</c:v>
                </c:pt>
                <c:pt idx="12195">
                  <c:v>0.52937580745614965</c:v>
                </c:pt>
                <c:pt idx="12196">
                  <c:v>0.52922817557350166</c:v>
                </c:pt>
                <c:pt idx="12197">
                  <c:v>0.52748322117227253</c:v>
                </c:pt>
                <c:pt idx="12198">
                  <c:v>0.52444584565083485</c:v>
                </c:pt>
                <c:pt idx="12199">
                  <c:v>0.51031842096001356</c:v>
                </c:pt>
                <c:pt idx="12200">
                  <c:v>0.66813505316635891</c:v>
                </c:pt>
                <c:pt idx="12201">
                  <c:v>0.69426701949396941</c:v>
                </c:pt>
                <c:pt idx="12202">
                  <c:v>0.77784308152099768</c:v>
                </c:pt>
                <c:pt idx="12203">
                  <c:v>0.60848174611828587</c:v>
                </c:pt>
                <c:pt idx="12204">
                  <c:v>0.50958058385160265</c:v>
                </c:pt>
                <c:pt idx="12205">
                  <c:v>0.50916621755979441</c:v>
                </c:pt>
                <c:pt idx="12206">
                  <c:v>0.50409703168536901</c:v>
                </c:pt>
                <c:pt idx="12207">
                  <c:v>0.48350813263187375</c:v>
                </c:pt>
                <c:pt idx="12208">
                  <c:v>0.50580852065347737</c:v>
                </c:pt>
                <c:pt idx="12209">
                  <c:v>0.52157621227267148</c:v>
                </c:pt>
                <c:pt idx="12210">
                  <c:v>0.52489958579858931</c:v>
                </c:pt>
                <c:pt idx="12211">
                  <c:v>0.53013474133898175</c:v>
                </c:pt>
                <c:pt idx="12212">
                  <c:v>0.53406597804663525</c:v>
                </c:pt>
                <c:pt idx="12213">
                  <c:v>0.54789365871719686</c:v>
                </c:pt>
                <c:pt idx="12214">
                  <c:v>0.55417371254469394</c:v>
                </c:pt>
                <c:pt idx="12215">
                  <c:v>0.5508975071366532</c:v>
                </c:pt>
                <c:pt idx="12216">
                  <c:v>0.55095527935692912</c:v>
                </c:pt>
                <c:pt idx="12217">
                  <c:v>0.54770543419981432</c:v>
                </c:pt>
                <c:pt idx="12218">
                  <c:v>0.55753872019524597</c:v>
                </c:pt>
                <c:pt idx="12219">
                  <c:v>0.57378521364407253</c:v>
                </c:pt>
                <c:pt idx="12220">
                  <c:v>0.56616846451529346</c:v>
                </c:pt>
                <c:pt idx="12221">
                  <c:v>0.55639212507444535</c:v>
                </c:pt>
                <c:pt idx="12222">
                  <c:v>0.55466574930081791</c:v>
                </c:pt>
                <c:pt idx="12223">
                  <c:v>0.52398058464322372</c:v>
                </c:pt>
                <c:pt idx="12224">
                  <c:v>0.54694148835124468</c:v>
                </c:pt>
                <c:pt idx="12225">
                  <c:v>0.52224229832075464</c:v>
                </c:pt>
                <c:pt idx="12226">
                  <c:v>0.53655680133928219</c:v>
                </c:pt>
                <c:pt idx="12227">
                  <c:v>0.55735451033058403</c:v>
                </c:pt>
                <c:pt idx="12228">
                  <c:v>0.5317789874805815</c:v>
                </c:pt>
                <c:pt idx="12229">
                  <c:v>0.53908086847476755</c:v>
                </c:pt>
                <c:pt idx="12230">
                  <c:v>0.52693395690022127</c:v>
                </c:pt>
                <c:pt idx="12231">
                  <c:v>0.51762641485640715</c:v>
                </c:pt>
                <c:pt idx="12232">
                  <c:v>0.52133203397910799</c:v>
                </c:pt>
                <c:pt idx="12233">
                  <c:v>0.52086420870676764</c:v>
                </c:pt>
                <c:pt idx="12234">
                  <c:v>0.51661032784478156</c:v>
                </c:pt>
                <c:pt idx="12235">
                  <c:v>0.52122598019789568</c:v>
                </c:pt>
                <c:pt idx="12236">
                  <c:v>0.54236699819178547</c:v>
                </c:pt>
                <c:pt idx="12237">
                  <c:v>0.53396184603682828</c:v>
                </c:pt>
                <c:pt idx="12238">
                  <c:v>0.54532617056356147</c:v>
                </c:pt>
                <c:pt idx="12239">
                  <c:v>0.54170589470146535</c:v>
                </c:pt>
                <c:pt idx="12240">
                  <c:v>0.53402026462908225</c:v>
                </c:pt>
                <c:pt idx="12241">
                  <c:v>0.57924508058699165</c:v>
                </c:pt>
                <c:pt idx="12242">
                  <c:v>0.55163904571039846</c:v>
                </c:pt>
                <c:pt idx="12243">
                  <c:v>0.54944714415423357</c:v>
                </c:pt>
                <c:pt idx="12244">
                  <c:v>0.53562370423126571</c:v>
                </c:pt>
                <c:pt idx="12245">
                  <c:v>0.52496558968458262</c:v>
                </c:pt>
                <c:pt idx="12246">
                  <c:v>0.54018702286580678</c:v>
                </c:pt>
                <c:pt idx="12247">
                  <c:v>0.55501871263076707</c:v>
                </c:pt>
                <c:pt idx="12248">
                  <c:v>0.54491260784517193</c:v>
                </c:pt>
                <c:pt idx="12249">
                  <c:v>0.54852564360600309</c:v>
                </c:pt>
                <c:pt idx="12250">
                  <c:v>0.52728916180272423</c:v>
                </c:pt>
                <c:pt idx="12251">
                  <c:v>0.52841607376297395</c:v>
                </c:pt>
                <c:pt idx="12252">
                  <c:v>0.52255507530927936</c:v>
                </c:pt>
                <c:pt idx="12253">
                  <c:v>0.5106909568816983</c:v>
                </c:pt>
                <c:pt idx="12254">
                  <c:v>0.50166165047408462</c:v>
                </c:pt>
                <c:pt idx="12255">
                  <c:v>0.49109206738567129</c:v>
                </c:pt>
                <c:pt idx="12256">
                  <c:v>0.49371353338962548</c:v>
                </c:pt>
                <c:pt idx="12257">
                  <c:v>0.58019495290608813</c:v>
                </c:pt>
                <c:pt idx="12258">
                  <c:v>0.49742548412221155</c:v>
                </c:pt>
                <c:pt idx="12259">
                  <c:v>0.4890593045579647</c:v>
                </c:pt>
                <c:pt idx="12260">
                  <c:v>0.47299020352826837</c:v>
                </c:pt>
                <c:pt idx="12261">
                  <c:v>0.44901006524478004</c:v>
                </c:pt>
                <c:pt idx="12262">
                  <c:v>0.48406810634559971</c:v>
                </c:pt>
                <c:pt idx="12263">
                  <c:v>0.47843965154059814</c:v>
                </c:pt>
                <c:pt idx="12264">
                  <c:v>0.45525701555580073</c:v>
                </c:pt>
                <c:pt idx="12265">
                  <c:v>0.46032642235236659</c:v>
                </c:pt>
                <c:pt idx="12266">
                  <c:v>0.47138501566052293</c:v>
                </c:pt>
                <c:pt idx="12267">
                  <c:v>0.45902438786994343</c:v>
                </c:pt>
                <c:pt idx="12268">
                  <c:v>0.46160716184889417</c:v>
                </c:pt>
                <c:pt idx="12269">
                  <c:v>0.47068077501514005</c:v>
                </c:pt>
                <c:pt idx="12270">
                  <c:v>0.45841346853087023</c:v>
                </c:pt>
                <c:pt idx="12271">
                  <c:v>0.47446161486203203</c:v>
                </c:pt>
                <c:pt idx="12272">
                  <c:v>0.48808783348433926</c:v>
                </c:pt>
                <c:pt idx="12273">
                  <c:v>0.49613723718658065</c:v>
                </c:pt>
                <c:pt idx="12274">
                  <c:v>0.46298090894781624</c:v>
                </c:pt>
                <c:pt idx="12275">
                  <c:v>0.46737780186780081</c:v>
                </c:pt>
                <c:pt idx="12276">
                  <c:v>0.4765465926185416</c:v>
                </c:pt>
                <c:pt idx="12277">
                  <c:v>0.48147287039841014</c:v>
                </c:pt>
                <c:pt idx="12278">
                  <c:v>0.48115931304278386</c:v>
                </c:pt>
                <c:pt idx="12279">
                  <c:v>0.49039396098156413</c:v>
                </c:pt>
                <c:pt idx="12280">
                  <c:v>0.47729681896433185</c:v>
                </c:pt>
                <c:pt idx="12281">
                  <c:v>0.50142490203037793</c:v>
                </c:pt>
                <c:pt idx="12282">
                  <c:v>0.47573799772105452</c:v>
                </c:pt>
                <c:pt idx="12283">
                  <c:v>0.46487582912635372</c:v>
                </c:pt>
                <c:pt idx="12284">
                  <c:v>0.48378649902446719</c:v>
                </c:pt>
                <c:pt idx="12285">
                  <c:v>0.47932966352517992</c:v>
                </c:pt>
                <c:pt idx="12286">
                  <c:v>0.49984414237744601</c:v>
                </c:pt>
                <c:pt idx="12287">
                  <c:v>0.47574627556110277</c:v>
                </c:pt>
                <c:pt idx="12288">
                  <c:v>0.49475523090841822</c:v>
                </c:pt>
                <c:pt idx="12289">
                  <c:v>0.50023386685473759</c:v>
                </c:pt>
                <c:pt idx="12290">
                  <c:v>0.48842365267796434</c:v>
                </c:pt>
                <c:pt idx="12291">
                  <c:v>0.49374432608142138</c:v>
                </c:pt>
                <c:pt idx="12292">
                  <c:v>0.50052078697837321</c:v>
                </c:pt>
                <c:pt idx="12293">
                  <c:v>0.48663036417439787</c:v>
                </c:pt>
                <c:pt idx="12294">
                  <c:v>0.49329796689915595</c:v>
                </c:pt>
                <c:pt idx="12295">
                  <c:v>0.49156618437530447</c:v>
                </c:pt>
                <c:pt idx="12296">
                  <c:v>0.58932361003573264</c:v>
                </c:pt>
                <c:pt idx="12297">
                  <c:v>0.5734798850178715</c:v>
                </c:pt>
                <c:pt idx="12298">
                  <c:v>0.61911170423538431</c:v>
                </c:pt>
                <c:pt idx="12299">
                  <c:v>0.61015574805254646</c:v>
                </c:pt>
                <c:pt idx="12300">
                  <c:v>0.61505129999037489</c:v>
                </c:pt>
                <c:pt idx="12301">
                  <c:v>0.59351124350249673</c:v>
                </c:pt>
                <c:pt idx="12302">
                  <c:v>0.60151808816213925</c:v>
                </c:pt>
                <c:pt idx="12303">
                  <c:v>0.59048727994755246</c:v>
                </c:pt>
                <c:pt idx="12304">
                  <c:v>0.60143785337556233</c:v>
                </c:pt>
                <c:pt idx="12305">
                  <c:v>0.63203868978973132</c:v>
                </c:pt>
                <c:pt idx="12306">
                  <c:v>0.65902036404575337</c:v>
                </c:pt>
                <c:pt idx="12307">
                  <c:v>0.64890063935677755</c:v>
                </c:pt>
                <c:pt idx="12308">
                  <c:v>0.66906059911856219</c:v>
                </c:pt>
                <c:pt idx="12309">
                  <c:v>0.62264955009682177</c:v>
                </c:pt>
                <c:pt idx="12310">
                  <c:v>0.50614459433790038</c:v>
                </c:pt>
                <c:pt idx="12311">
                  <c:v>0.50868590223272714</c:v>
                </c:pt>
                <c:pt idx="12312">
                  <c:v>0.49604688475491387</c:v>
                </c:pt>
                <c:pt idx="12313">
                  <c:v>0.51955250336022829</c:v>
                </c:pt>
                <c:pt idx="12314">
                  <c:v>0.52360900515896336</c:v>
                </c:pt>
                <c:pt idx="12315">
                  <c:v>0.51371635256627712</c:v>
                </c:pt>
                <c:pt idx="12316">
                  <c:v>0.51423486826563936</c:v>
                </c:pt>
                <c:pt idx="12317">
                  <c:v>0.50788783567239182</c:v>
                </c:pt>
                <c:pt idx="12318">
                  <c:v>0.48062185381699701</c:v>
                </c:pt>
                <c:pt idx="12319">
                  <c:v>0.50438426682411852</c:v>
                </c:pt>
                <c:pt idx="12320">
                  <c:v>0.55406786573689748</c:v>
                </c:pt>
                <c:pt idx="12321">
                  <c:v>0.50314679666188611</c:v>
                </c:pt>
                <c:pt idx="12322">
                  <c:v>0.52078121391164089</c:v>
                </c:pt>
                <c:pt idx="12323">
                  <c:v>0.52510664098335913</c:v>
                </c:pt>
                <c:pt idx="12324">
                  <c:v>0.52927182848612386</c:v>
                </c:pt>
                <c:pt idx="12325">
                  <c:v>0.51273654577103045</c:v>
                </c:pt>
                <c:pt idx="12326">
                  <c:v>0.50182333158862591</c:v>
                </c:pt>
                <c:pt idx="12327">
                  <c:v>0.5266438229936532</c:v>
                </c:pt>
                <c:pt idx="12328">
                  <c:v>0.46830389879234979</c:v>
                </c:pt>
                <c:pt idx="12329">
                  <c:v>0.46233404707219428</c:v>
                </c:pt>
                <c:pt idx="12330">
                  <c:v>0.47369333863814306</c:v>
                </c:pt>
                <c:pt idx="12331">
                  <c:v>0.51359071984472948</c:v>
                </c:pt>
                <c:pt idx="12332">
                  <c:v>0.52252795428225873</c:v>
                </c:pt>
                <c:pt idx="12333">
                  <c:v>0.52707940282102006</c:v>
                </c:pt>
                <c:pt idx="12334">
                  <c:v>0.48259477421998637</c:v>
                </c:pt>
                <c:pt idx="12335">
                  <c:v>0.49035225794767417</c:v>
                </c:pt>
                <c:pt idx="12336">
                  <c:v>0.51433626483974837</c:v>
                </c:pt>
                <c:pt idx="12337">
                  <c:v>0.53132905959410204</c:v>
                </c:pt>
                <c:pt idx="12338">
                  <c:v>0.51486532227305193</c:v>
                </c:pt>
                <c:pt idx="12339">
                  <c:v>0.49519440222964961</c:v>
                </c:pt>
                <c:pt idx="12340">
                  <c:v>0.49788611657568543</c:v>
                </c:pt>
                <c:pt idx="12341">
                  <c:v>0.50543095736665355</c:v>
                </c:pt>
                <c:pt idx="12342">
                  <c:v>0.48967250989761213</c:v>
                </c:pt>
                <c:pt idx="12343">
                  <c:v>0.49973889250881753</c:v>
                </c:pt>
                <c:pt idx="12344">
                  <c:v>0.51006326602404872</c:v>
                </c:pt>
                <c:pt idx="12345">
                  <c:v>0.50254837774040495</c:v>
                </c:pt>
                <c:pt idx="12346">
                  <c:v>0.53073691731598283</c:v>
                </c:pt>
                <c:pt idx="12347">
                  <c:v>0.51527601269992951</c:v>
                </c:pt>
                <c:pt idx="12348">
                  <c:v>0.53127245035959236</c:v>
                </c:pt>
                <c:pt idx="12349">
                  <c:v>0.48873694377845328</c:v>
                </c:pt>
                <c:pt idx="12350">
                  <c:v>0.54165224421092983</c:v>
                </c:pt>
                <c:pt idx="12351">
                  <c:v>0.50865480469970714</c:v>
                </c:pt>
                <c:pt idx="12352">
                  <c:v>0.50493943018406084</c:v>
                </c:pt>
                <c:pt idx="12353">
                  <c:v>0.50914779508919505</c:v>
                </c:pt>
                <c:pt idx="12354">
                  <c:v>0.53786516560939512</c:v>
                </c:pt>
                <c:pt idx="12355">
                  <c:v>0.54180843603532769</c:v>
                </c:pt>
                <c:pt idx="12356">
                  <c:v>0.54882214554879916</c:v>
                </c:pt>
                <c:pt idx="12357">
                  <c:v>0.54496573327203812</c:v>
                </c:pt>
                <c:pt idx="12358">
                  <c:v>0.55652284930813911</c:v>
                </c:pt>
                <c:pt idx="12359">
                  <c:v>0.56488351205587206</c:v>
                </c:pt>
                <c:pt idx="12360">
                  <c:v>0.55877454948932404</c:v>
                </c:pt>
                <c:pt idx="12361">
                  <c:v>0.56031106033744826</c:v>
                </c:pt>
                <c:pt idx="12362">
                  <c:v>0.55795017283573756</c:v>
                </c:pt>
                <c:pt idx="12363">
                  <c:v>0.55802359693646464</c:v>
                </c:pt>
                <c:pt idx="12364">
                  <c:v>0.56209649516551197</c:v>
                </c:pt>
                <c:pt idx="12365">
                  <c:v>0.54647554005307497</c:v>
                </c:pt>
                <c:pt idx="12366">
                  <c:v>0.53732762373709642</c:v>
                </c:pt>
                <c:pt idx="12367">
                  <c:v>0.55399619534798272</c:v>
                </c:pt>
                <c:pt idx="12368">
                  <c:v>0.54514140955439938</c:v>
                </c:pt>
                <c:pt idx="12369">
                  <c:v>0.54834715375629428</c:v>
                </c:pt>
                <c:pt idx="12370">
                  <c:v>0.54065876291420523</c:v>
                </c:pt>
                <c:pt idx="12371">
                  <c:v>0.5518988215881292</c:v>
                </c:pt>
                <c:pt idx="12372">
                  <c:v>0.55134311910180411</c:v>
                </c:pt>
                <c:pt idx="12373">
                  <c:v>0.54880999478899828</c:v>
                </c:pt>
                <c:pt idx="12374">
                  <c:v>0.53813934782252204</c:v>
                </c:pt>
                <c:pt idx="12375">
                  <c:v>0.53319939827340135</c:v>
                </c:pt>
                <c:pt idx="12376">
                  <c:v>0.52017279951763762</c:v>
                </c:pt>
                <c:pt idx="12377">
                  <c:v>0.52950029273428612</c:v>
                </c:pt>
                <c:pt idx="12378">
                  <c:v>0.52577937471665981</c:v>
                </c:pt>
                <c:pt idx="12379">
                  <c:v>0.54274602718589804</c:v>
                </c:pt>
                <c:pt idx="12380">
                  <c:v>0.54863628767414652</c:v>
                </c:pt>
                <c:pt idx="12381">
                  <c:v>0.54600822659232051</c:v>
                </c:pt>
                <c:pt idx="12382">
                  <c:v>0.54588492511636111</c:v>
                </c:pt>
                <c:pt idx="12383">
                  <c:v>0.5643093703264952</c:v>
                </c:pt>
                <c:pt idx="12384">
                  <c:v>0.56619947839429918</c:v>
                </c:pt>
                <c:pt idx="12385">
                  <c:v>0.57001913583308028</c:v>
                </c:pt>
                <c:pt idx="12386">
                  <c:v>0.58504902630453326</c:v>
                </c:pt>
                <c:pt idx="12387">
                  <c:v>0.56382446942234232</c:v>
                </c:pt>
                <c:pt idx="12388">
                  <c:v>0.54491050250790762</c:v>
                </c:pt>
                <c:pt idx="12389">
                  <c:v>0.54898792649790251</c:v>
                </c:pt>
                <c:pt idx="12390">
                  <c:v>0.5556749746422599</c:v>
                </c:pt>
                <c:pt idx="12391">
                  <c:v>0.55432025505482208</c:v>
                </c:pt>
                <c:pt idx="12392">
                  <c:v>0.56125443355140114</c:v>
                </c:pt>
                <c:pt idx="12393">
                  <c:v>0.56300618706179384</c:v>
                </c:pt>
                <c:pt idx="12394">
                  <c:v>0.54819145267785885</c:v>
                </c:pt>
                <c:pt idx="12395">
                  <c:v>0.55385318303679221</c:v>
                </c:pt>
                <c:pt idx="12396">
                  <c:v>0.53296587092934333</c:v>
                </c:pt>
                <c:pt idx="12397">
                  <c:v>0.51235574999855449</c:v>
                </c:pt>
                <c:pt idx="12398">
                  <c:v>0.5015323443420352</c:v>
                </c:pt>
                <c:pt idx="12399">
                  <c:v>0.49727114032883141</c:v>
                </c:pt>
                <c:pt idx="12400">
                  <c:v>0.47883002227529164</c:v>
                </c:pt>
                <c:pt idx="12401">
                  <c:v>0.48239974422088799</c:v>
                </c:pt>
                <c:pt idx="12402">
                  <c:v>0.48646660951880238</c:v>
                </c:pt>
                <c:pt idx="12403">
                  <c:v>0.50743607566131799</c:v>
                </c:pt>
                <c:pt idx="12404">
                  <c:v>0.49727086392547987</c:v>
                </c:pt>
                <c:pt idx="12405">
                  <c:v>0.49369458295558621</c:v>
                </c:pt>
                <c:pt idx="12406">
                  <c:v>0.49831675795216951</c:v>
                </c:pt>
                <c:pt idx="12407">
                  <c:v>0.48932892881782669</c:v>
                </c:pt>
                <c:pt idx="12408">
                  <c:v>0.49532547013769179</c:v>
                </c:pt>
                <c:pt idx="12409">
                  <c:v>0.47357513384356309</c:v>
                </c:pt>
                <c:pt idx="12410">
                  <c:v>0.49095396616312814</c:v>
                </c:pt>
                <c:pt idx="12411">
                  <c:v>0.48398204736996298</c:v>
                </c:pt>
                <c:pt idx="12412">
                  <c:v>0.49720327802585201</c:v>
                </c:pt>
                <c:pt idx="12413">
                  <c:v>0.48417722284258657</c:v>
                </c:pt>
                <c:pt idx="12414">
                  <c:v>0.50443456782397322</c:v>
                </c:pt>
                <c:pt idx="12415">
                  <c:v>0.51361268157507245</c:v>
                </c:pt>
                <c:pt idx="12416">
                  <c:v>0.53249576306303026</c:v>
                </c:pt>
                <c:pt idx="12417">
                  <c:v>0.52281316186189741</c:v>
                </c:pt>
                <c:pt idx="12418">
                  <c:v>0.48926051783074276</c:v>
                </c:pt>
                <c:pt idx="12419">
                  <c:v>0.52011655283323355</c:v>
                </c:pt>
                <c:pt idx="12420">
                  <c:v>0.5423332381104774</c:v>
                </c:pt>
                <c:pt idx="12421">
                  <c:v>0.52880605673239212</c:v>
                </c:pt>
                <c:pt idx="12422">
                  <c:v>0.49394964775893241</c:v>
                </c:pt>
                <c:pt idx="12423">
                  <c:v>0.51178152368757146</c:v>
                </c:pt>
                <c:pt idx="12424">
                  <c:v>0.51442541579282275</c:v>
                </c:pt>
                <c:pt idx="12425">
                  <c:v>0.50870017135106671</c:v>
                </c:pt>
                <c:pt idx="12426">
                  <c:v>0.52685986012717134</c:v>
                </c:pt>
                <c:pt idx="12427">
                  <c:v>0.50666762563067158</c:v>
                </c:pt>
                <c:pt idx="12428">
                  <c:v>0.51306836896550501</c:v>
                </c:pt>
                <c:pt idx="12429">
                  <c:v>0.5072527008458716</c:v>
                </c:pt>
                <c:pt idx="12430">
                  <c:v>0.52237654089286722</c:v>
                </c:pt>
                <c:pt idx="12431">
                  <c:v>0.48862064920180126</c:v>
                </c:pt>
                <c:pt idx="12432">
                  <c:v>0.50243408502876252</c:v>
                </c:pt>
                <c:pt idx="12433">
                  <c:v>0.50319206066564137</c:v>
                </c:pt>
                <c:pt idx="12434">
                  <c:v>0.54436512422786532</c:v>
                </c:pt>
                <c:pt idx="12435">
                  <c:v>0.51399370714086723</c:v>
                </c:pt>
                <c:pt idx="12436">
                  <c:v>0.51847379868437027</c:v>
                </c:pt>
                <c:pt idx="12437">
                  <c:v>0.5130930222815957</c:v>
                </c:pt>
                <c:pt idx="12438">
                  <c:v>0.53101793712443635</c:v>
                </c:pt>
                <c:pt idx="12439">
                  <c:v>0.53754105762337867</c:v>
                </c:pt>
                <c:pt idx="12440">
                  <c:v>0.54001283756287355</c:v>
                </c:pt>
                <c:pt idx="12441">
                  <c:v>0.5240096943070548</c:v>
                </c:pt>
                <c:pt idx="12442">
                  <c:v>0.52168270316378895</c:v>
                </c:pt>
                <c:pt idx="12443">
                  <c:v>0.51207133639575797</c:v>
                </c:pt>
                <c:pt idx="12444">
                  <c:v>0.53232942860614096</c:v>
                </c:pt>
                <c:pt idx="12445">
                  <c:v>0.53322929597660862</c:v>
                </c:pt>
                <c:pt idx="12446">
                  <c:v>0.54223131906787247</c:v>
                </c:pt>
                <c:pt idx="12447">
                  <c:v>0.52755347378259521</c:v>
                </c:pt>
                <c:pt idx="12448">
                  <c:v>0.53974246781755431</c:v>
                </c:pt>
                <c:pt idx="12449">
                  <c:v>0.44419708472505515</c:v>
                </c:pt>
                <c:pt idx="12450">
                  <c:v>0.62879258517819558</c:v>
                </c:pt>
                <c:pt idx="12451">
                  <c:v>0.6503793166655264</c:v>
                </c:pt>
                <c:pt idx="12452">
                  <c:v>0.64617200801536179</c:v>
                </c:pt>
                <c:pt idx="12453">
                  <c:v>0.66923317549069317</c:v>
                </c:pt>
                <c:pt idx="12454">
                  <c:v>0.63070707627679479</c:v>
                </c:pt>
                <c:pt idx="12455">
                  <c:v>0.51658640215204132</c:v>
                </c:pt>
                <c:pt idx="12456">
                  <c:v>0.51778410706201716</c:v>
                </c:pt>
                <c:pt idx="12457">
                  <c:v>0.49420915579505231</c:v>
                </c:pt>
                <c:pt idx="12458">
                  <c:v>0.53129609168215908</c:v>
                </c:pt>
                <c:pt idx="12459">
                  <c:v>0.52425704770371206</c:v>
                </c:pt>
                <c:pt idx="12460">
                  <c:v>0.52039954792000687</c:v>
                </c:pt>
                <c:pt idx="12461">
                  <c:v>0.52681118690049011</c:v>
                </c:pt>
                <c:pt idx="12462">
                  <c:v>0.51705661097240108</c:v>
                </c:pt>
                <c:pt idx="12463">
                  <c:v>0.49521092674033196</c:v>
                </c:pt>
                <c:pt idx="12464">
                  <c:v>0.51594401367535869</c:v>
                </c:pt>
                <c:pt idx="12465">
                  <c:v>0.55103050607760051</c:v>
                </c:pt>
                <c:pt idx="12466">
                  <c:v>0.50992180643762597</c:v>
                </c:pt>
                <c:pt idx="12467">
                  <c:v>0.52364828435674105</c:v>
                </c:pt>
                <c:pt idx="12468">
                  <c:v>0.52372436144003875</c:v>
                </c:pt>
                <c:pt idx="12469">
                  <c:v>0.52645791664027575</c:v>
                </c:pt>
                <c:pt idx="12470">
                  <c:v>0.51601377521093084</c:v>
                </c:pt>
                <c:pt idx="12471">
                  <c:v>0.49863842573177353</c:v>
                </c:pt>
                <c:pt idx="12472">
                  <c:v>0.52387075606823164</c:v>
                </c:pt>
                <c:pt idx="12473">
                  <c:v>0.46498972630531876</c:v>
                </c:pt>
                <c:pt idx="12474">
                  <c:v>0.46292527060819993</c:v>
                </c:pt>
                <c:pt idx="12475">
                  <c:v>0.46735381721057079</c:v>
                </c:pt>
                <c:pt idx="12476">
                  <c:v>0.51373990465610142</c:v>
                </c:pt>
                <c:pt idx="12477">
                  <c:v>0.51380722731526041</c:v>
                </c:pt>
                <c:pt idx="12478">
                  <c:v>0.53052817729592894</c:v>
                </c:pt>
                <c:pt idx="12479">
                  <c:v>0.47844008451846648</c:v>
                </c:pt>
                <c:pt idx="12480">
                  <c:v>0.49137444229162791</c:v>
                </c:pt>
                <c:pt idx="12481">
                  <c:v>0.50935187781320179</c:v>
                </c:pt>
                <c:pt idx="12482">
                  <c:v>0.53345416251680688</c:v>
                </c:pt>
                <c:pt idx="12483">
                  <c:v>0.50567637694930523</c:v>
                </c:pt>
                <c:pt idx="12484">
                  <c:v>0.49087487116938772</c:v>
                </c:pt>
                <c:pt idx="12485">
                  <c:v>0.49295263698459552</c:v>
                </c:pt>
                <c:pt idx="12486">
                  <c:v>0.49746582278608881</c:v>
                </c:pt>
                <c:pt idx="12487">
                  <c:v>0.48906690983369228</c:v>
                </c:pt>
                <c:pt idx="12488">
                  <c:v>0.50551870062587634</c:v>
                </c:pt>
                <c:pt idx="12489">
                  <c:v>0.50360603461894504</c:v>
                </c:pt>
                <c:pt idx="12490">
                  <c:v>0.50534441728473245</c:v>
                </c:pt>
                <c:pt idx="12491">
                  <c:v>0.52711127310450323</c:v>
                </c:pt>
                <c:pt idx="12492">
                  <c:v>0.52142982635061463</c:v>
                </c:pt>
                <c:pt idx="12493">
                  <c:v>0.52534728177526824</c:v>
                </c:pt>
                <c:pt idx="12494">
                  <c:v>0.48867436002171627</c:v>
                </c:pt>
                <c:pt idx="12495">
                  <c:v>0.54240660999629209</c:v>
                </c:pt>
                <c:pt idx="12496">
                  <c:v>0.50668980501282757</c:v>
                </c:pt>
                <c:pt idx="12497">
                  <c:v>0.50574672306446489</c:v>
                </c:pt>
                <c:pt idx="12498">
                  <c:v>0.50718962253868372</c:v>
                </c:pt>
                <c:pt idx="12499">
                  <c:v>0.53517369108682145</c:v>
                </c:pt>
                <c:pt idx="12500">
                  <c:v>0.53408972172867786</c:v>
                </c:pt>
                <c:pt idx="12501">
                  <c:v>0.53731539914057003</c:v>
                </c:pt>
                <c:pt idx="12502">
                  <c:v>0.5280975787191271</c:v>
                </c:pt>
                <c:pt idx="12503">
                  <c:v>0.54353962091367924</c:v>
                </c:pt>
                <c:pt idx="12504">
                  <c:v>0.54727307017755134</c:v>
                </c:pt>
                <c:pt idx="12505">
                  <c:v>0.54189012743344667</c:v>
                </c:pt>
                <c:pt idx="12506">
                  <c:v>0.54508508698492697</c:v>
                </c:pt>
                <c:pt idx="12507">
                  <c:v>0.54179459062673574</c:v>
                </c:pt>
                <c:pt idx="12508">
                  <c:v>0.54967761220228373</c:v>
                </c:pt>
                <c:pt idx="12509">
                  <c:v>0.55813617247061009</c:v>
                </c:pt>
                <c:pt idx="12510">
                  <c:v>0.54128949285864258</c:v>
                </c:pt>
                <c:pt idx="12511">
                  <c:v>0.53232675143881458</c:v>
                </c:pt>
                <c:pt idx="12512">
                  <c:v>0.54672053972894985</c:v>
                </c:pt>
                <c:pt idx="12513">
                  <c:v>0.53954829414516625</c:v>
                </c:pt>
                <c:pt idx="12514">
                  <c:v>0.54137340448431037</c:v>
                </c:pt>
                <c:pt idx="12515">
                  <c:v>0.53568379727058413</c:v>
                </c:pt>
                <c:pt idx="12516">
                  <c:v>0.5468628376088307</c:v>
                </c:pt>
                <c:pt idx="12517">
                  <c:v>0.54466212494090316</c:v>
                </c:pt>
                <c:pt idx="12518">
                  <c:v>0.54605158382173147</c:v>
                </c:pt>
                <c:pt idx="12519">
                  <c:v>0.53086433890599327</c:v>
                </c:pt>
                <c:pt idx="12520">
                  <c:v>0.53204491915362007</c:v>
                </c:pt>
                <c:pt idx="12521">
                  <c:v>0.51754741537907389</c:v>
                </c:pt>
                <c:pt idx="12522">
                  <c:v>0.52466985556892942</c:v>
                </c:pt>
                <c:pt idx="12523">
                  <c:v>0.52391794026735128</c:v>
                </c:pt>
                <c:pt idx="12524">
                  <c:v>0.53704788419989247</c:v>
                </c:pt>
                <c:pt idx="12525">
                  <c:v>0.54138626450601268</c:v>
                </c:pt>
                <c:pt idx="12526">
                  <c:v>0.53976828424574019</c:v>
                </c:pt>
                <c:pt idx="12527">
                  <c:v>0.54009474215824105</c:v>
                </c:pt>
                <c:pt idx="12528">
                  <c:v>0.55767751780887043</c:v>
                </c:pt>
                <c:pt idx="12529">
                  <c:v>0.5611241715803239</c:v>
                </c:pt>
                <c:pt idx="12530">
                  <c:v>0.55953498277076363</c:v>
                </c:pt>
                <c:pt idx="12531">
                  <c:v>0.57677059419771204</c:v>
                </c:pt>
                <c:pt idx="12532">
                  <c:v>0.55968906438949007</c:v>
                </c:pt>
                <c:pt idx="12533">
                  <c:v>0.54131646622076091</c:v>
                </c:pt>
                <c:pt idx="12534">
                  <c:v>0.54171737255041352</c:v>
                </c:pt>
                <c:pt idx="12535">
                  <c:v>0.54591643333224249</c:v>
                </c:pt>
                <c:pt idx="12536">
                  <c:v>0.54900951876562698</c:v>
                </c:pt>
                <c:pt idx="12537">
                  <c:v>0.54996463790288685</c:v>
                </c:pt>
                <c:pt idx="12538">
                  <c:v>0.55900192013994887</c:v>
                </c:pt>
                <c:pt idx="12539">
                  <c:v>0.54587516328370578</c:v>
                </c:pt>
                <c:pt idx="12540">
                  <c:v>0.54304500747410367</c:v>
                </c:pt>
                <c:pt idx="12541">
                  <c:v>0.53168145540927203</c:v>
                </c:pt>
                <c:pt idx="12542">
                  <c:v>0.51452490843536014</c:v>
                </c:pt>
                <c:pt idx="12543">
                  <c:v>0.49378068929952507</c:v>
                </c:pt>
                <c:pt idx="12544">
                  <c:v>0.49313447520303949</c:v>
                </c:pt>
                <c:pt idx="12545">
                  <c:v>0.47770975912125324</c:v>
                </c:pt>
                <c:pt idx="12546">
                  <c:v>0.47505155004703442</c:v>
                </c:pt>
                <c:pt idx="12547">
                  <c:v>0.47549830762064765</c:v>
                </c:pt>
                <c:pt idx="12548">
                  <c:v>0.51001321016664547</c:v>
                </c:pt>
                <c:pt idx="12549">
                  <c:v>0.49767519208604832</c:v>
                </c:pt>
                <c:pt idx="12550">
                  <c:v>0.49222270417620062</c:v>
                </c:pt>
                <c:pt idx="12551">
                  <c:v>0.48756750663460963</c:v>
                </c:pt>
                <c:pt idx="12552">
                  <c:v>0.50066753556449639</c:v>
                </c:pt>
                <c:pt idx="12553">
                  <c:v>0.49414707731813057</c:v>
                </c:pt>
                <c:pt idx="12554">
                  <c:v>0.47793219351987209</c:v>
                </c:pt>
                <c:pt idx="12555">
                  <c:v>0.48617847244523704</c:v>
                </c:pt>
                <c:pt idx="12556">
                  <c:v>0.48229318424373113</c:v>
                </c:pt>
                <c:pt idx="12557">
                  <c:v>0.49644335336344836</c:v>
                </c:pt>
                <c:pt idx="12558">
                  <c:v>0.47864180524975741</c:v>
                </c:pt>
                <c:pt idx="12559">
                  <c:v>0.49286455135240193</c:v>
                </c:pt>
                <c:pt idx="12560">
                  <c:v>0.50780083959166855</c:v>
                </c:pt>
                <c:pt idx="12561">
                  <c:v>0.52836332910671802</c:v>
                </c:pt>
                <c:pt idx="12562">
                  <c:v>0.52435132708933385</c:v>
                </c:pt>
                <c:pt idx="12563">
                  <c:v>0.49019636266369665</c:v>
                </c:pt>
                <c:pt idx="12564">
                  <c:v>0.51301079469075406</c:v>
                </c:pt>
                <c:pt idx="12565">
                  <c:v>0.53928190058646996</c:v>
                </c:pt>
                <c:pt idx="12566">
                  <c:v>0.52971311839357327</c:v>
                </c:pt>
                <c:pt idx="12567">
                  <c:v>0.49997724830351048</c:v>
                </c:pt>
                <c:pt idx="12568">
                  <c:v>0.52265154984951689</c:v>
                </c:pt>
                <c:pt idx="12569">
                  <c:v>0.51740375513371972</c:v>
                </c:pt>
                <c:pt idx="12570">
                  <c:v>0.51070033653324332</c:v>
                </c:pt>
                <c:pt idx="12571">
                  <c:v>0.52961332525413485</c:v>
                </c:pt>
                <c:pt idx="12572">
                  <c:v>0.51376891055956375</c:v>
                </c:pt>
                <c:pt idx="12573">
                  <c:v>0.51601695194009001</c:v>
                </c:pt>
                <c:pt idx="12574">
                  <c:v>0.51640142925147159</c:v>
                </c:pt>
                <c:pt idx="12575">
                  <c:v>0.52686063472328593</c:v>
                </c:pt>
                <c:pt idx="12576">
                  <c:v>0.50294987061306873</c:v>
                </c:pt>
                <c:pt idx="12577">
                  <c:v>0.51527097427938195</c:v>
                </c:pt>
                <c:pt idx="12578">
                  <c:v>0.51548916389064103</c:v>
                </c:pt>
                <c:pt idx="12579">
                  <c:v>0.54427794397958928</c:v>
                </c:pt>
                <c:pt idx="12580">
                  <c:v>0.52779855995044511</c:v>
                </c:pt>
                <c:pt idx="12581">
                  <c:v>0.51506673645631007</c:v>
                </c:pt>
                <c:pt idx="12582">
                  <c:v>0.52189717364255406</c:v>
                </c:pt>
                <c:pt idx="12583">
                  <c:v>0.5399570985396358</c:v>
                </c:pt>
                <c:pt idx="12584">
                  <c:v>0.5550012890744872</c:v>
                </c:pt>
                <c:pt idx="12585">
                  <c:v>0.54091143980098477</c:v>
                </c:pt>
                <c:pt idx="12586">
                  <c:v>0.52616229218141275</c:v>
                </c:pt>
                <c:pt idx="12587">
                  <c:v>0.53543704651288759</c:v>
                </c:pt>
                <c:pt idx="12588">
                  <c:v>0.51551076479586055</c:v>
                </c:pt>
                <c:pt idx="12589">
                  <c:v>0.54491991452473709</c:v>
                </c:pt>
                <c:pt idx="12590">
                  <c:v>0.54914542725863191</c:v>
                </c:pt>
                <c:pt idx="12591">
                  <c:v>0.56439854167425552</c:v>
                </c:pt>
                <c:pt idx="12592">
                  <c:v>0.53739302578448511</c:v>
                </c:pt>
                <c:pt idx="12593">
                  <c:v>0.57500323053951519</c:v>
                </c:pt>
                <c:pt idx="12594">
                  <c:v>0.55120911733286204</c:v>
                </c:pt>
                <c:pt idx="12595">
                  <c:v>0.5804429948109302</c:v>
                </c:pt>
                <c:pt idx="12596">
                  <c:v>0.54040243514119157</c:v>
                </c:pt>
                <c:pt idx="12597">
                  <c:v>0.5470883964107609</c:v>
                </c:pt>
                <c:pt idx="12598">
                  <c:v>0.54992717858805773</c:v>
                </c:pt>
                <c:pt idx="12599">
                  <c:v>0.56295094642235022</c:v>
                </c:pt>
                <c:pt idx="12600">
                  <c:v>0.54980816873986782</c:v>
                </c:pt>
                <c:pt idx="12601">
                  <c:v>0.59093842058135071</c:v>
                </c:pt>
                <c:pt idx="12602">
                  <c:v>0.54432469857896404</c:v>
                </c:pt>
                <c:pt idx="12603">
                  <c:v>0.54028979823767698</c:v>
                </c:pt>
                <c:pt idx="12604">
                  <c:v>0.56431304175266384</c:v>
                </c:pt>
                <c:pt idx="12605">
                  <c:v>0.54192342318308295</c:v>
                </c:pt>
                <c:pt idx="12606">
                  <c:v>0.57492823019174288</c:v>
                </c:pt>
                <c:pt idx="12607">
                  <c:v>0.58915117270528616</c:v>
                </c:pt>
                <c:pt idx="12608">
                  <c:v>0.54828915640573528</c:v>
                </c:pt>
                <c:pt idx="12609">
                  <c:v>0.61722194260355734</c:v>
                </c:pt>
                <c:pt idx="12610">
                  <c:v>0.62310057077873715</c:v>
                </c:pt>
                <c:pt idx="12611">
                  <c:v>0.50851248151488715</c:v>
                </c:pt>
                <c:pt idx="12612">
                  <c:v>0.60869971663565903</c:v>
                </c:pt>
                <c:pt idx="12613">
                  <c:v>0.58502486273223064</c:v>
                </c:pt>
                <c:pt idx="12614">
                  <c:v>0.53490105132106192</c:v>
                </c:pt>
                <c:pt idx="12615">
                  <c:v>0.49072379335959393</c:v>
                </c:pt>
                <c:pt idx="12616">
                  <c:v>0.48320560622168729</c:v>
                </c:pt>
                <c:pt idx="12617">
                  <c:v>0.5409539340874463</c:v>
                </c:pt>
                <c:pt idx="12618">
                  <c:v>0.5708214061343394</c:v>
                </c:pt>
                <c:pt idx="12619">
                  <c:v>0.58298508934425497</c:v>
                </c:pt>
                <c:pt idx="12620">
                  <c:v>0.55066597473347689</c:v>
                </c:pt>
                <c:pt idx="12621">
                  <c:v>0.54959896540349118</c:v>
                </c:pt>
                <c:pt idx="12622">
                  <c:v>0.58529690755267194</c:v>
                </c:pt>
                <c:pt idx="12623">
                  <c:v>0.56379565695027944</c:v>
                </c:pt>
                <c:pt idx="12624">
                  <c:v>0.58230977216678526</c:v>
                </c:pt>
                <c:pt idx="12625">
                  <c:v>0.55311323111650357</c:v>
                </c:pt>
                <c:pt idx="12626">
                  <c:v>0.54254273245980134</c:v>
                </c:pt>
                <c:pt idx="12627">
                  <c:v>0.54215280765429252</c:v>
                </c:pt>
                <c:pt idx="12628">
                  <c:v>0.5354602090844004</c:v>
                </c:pt>
                <c:pt idx="12629">
                  <c:v>0.54250935962803415</c:v>
                </c:pt>
                <c:pt idx="12630">
                  <c:v>0.5324257956404479</c:v>
                </c:pt>
                <c:pt idx="12631">
                  <c:v>0.53254074527029427</c:v>
                </c:pt>
                <c:pt idx="12632">
                  <c:v>0.53393530107997389</c:v>
                </c:pt>
                <c:pt idx="12633">
                  <c:v>0.5339417787071381</c:v>
                </c:pt>
                <c:pt idx="12634">
                  <c:v>0.55362310005466142</c:v>
                </c:pt>
                <c:pt idx="12635">
                  <c:v>0.52421444644729043</c:v>
                </c:pt>
                <c:pt idx="12636">
                  <c:v>0.51250229048508567</c:v>
                </c:pt>
                <c:pt idx="12637">
                  <c:v>0.52396732870332474</c:v>
                </c:pt>
                <c:pt idx="12638">
                  <c:v>0.51042891474583973</c:v>
                </c:pt>
                <c:pt idx="12639">
                  <c:v>0.52459887536027261</c:v>
                </c:pt>
                <c:pt idx="12640">
                  <c:v>0.52881016942429915</c:v>
                </c:pt>
                <c:pt idx="12641">
                  <c:v>0.54598030768074401</c:v>
                </c:pt>
                <c:pt idx="12642">
                  <c:v>0.53365298591030419</c:v>
                </c:pt>
                <c:pt idx="12643">
                  <c:v>0.53411409891796602</c:v>
                </c:pt>
                <c:pt idx="12644">
                  <c:v>0.5407764303628253</c:v>
                </c:pt>
                <c:pt idx="12645">
                  <c:v>0.55352877449471871</c:v>
                </c:pt>
                <c:pt idx="12646">
                  <c:v>0.54448761824664949</c:v>
                </c:pt>
                <c:pt idx="12647">
                  <c:v>0.5411908260134326</c:v>
                </c:pt>
                <c:pt idx="12648">
                  <c:v>0.54895553608332281</c:v>
                </c:pt>
                <c:pt idx="12649">
                  <c:v>0.56078557016801467</c:v>
                </c:pt>
                <c:pt idx="12650">
                  <c:v>0.54496127544403827</c:v>
                </c:pt>
                <c:pt idx="12651">
                  <c:v>0.54722786377912358</c:v>
                </c:pt>
                <c:pt idx="12652">
                  <c:v>0.54840649472306513</c:v>
                </c:pt>
                <c:pt idx="12653">
                  <c:v>0.55341997723824299</c:v>
                </c:pt>
                <c:pt idx="12654">
                  <c:v>0.55485158708544946</c:v>
                </c:pt>
                <c:pt idx="12655">
                  <c:v>0.54790952489912459</c:v>
                </c:pt>
                <c:pt idx="12656">
                  <c:v>0.55749228405505735</c:v>
                </c:pt>
                <c:pt idx="12657">
                  <c:v>0.55212616556471061</c:v>
                </c:pt>
                <c:pt idx="12658">
                  <c:v>0.56027005995847123</c:v>
                </c:pt>
                <c:pt idx="12659">
                  <c:v>0.5672142843828325</c:v>
                </c:pt>
                <c:pt idx="12660">
                  <c:v>0.56007624192999383</c:v>
                </c:pt>
                <c:pt idx="12661">
                  <c:v>0.55139912398231683</c:v>
                </c:pt>
                <c:pt idx="12662">
                  <c:v>0.53029295260999554</c:v>
                </c:pt>
                <c:pt idx="12663">
                  <c:v>0.52905274933745339</c:v>
                </c:pt>
                <c:pt idx="12664">
                  <c:v>0.540076709444957</c:v>
                </c:pt>
                <c:pt idx="12665">
                  <c:v>0.53279080216357799</c:v>
                </c:pt>
                <c:pt idx="12666">
                  <c:v>0.53691444334564631</c:v>
                </c:pt>
                <c:pt idx="12667">
                  <c:v>0.53389643328792868</c:v>
                </c:pt>
                <c:pt idx="12668">
                  <c:v>0.54267843882608058</c:v>
                </c:pt>
                <c:pt idx="12669">
                  <c:v>0.56110329263159409</c:v>
                </c:pt>
                <c:pt idx="12670">
                  <c:v>0.55015567910945617</c:v>
                </c:pt>
                <c:pt idx="12671">
                  <c:v>0.55859470326915905</c:v>
                </c:pt>
                <c:pt idx="12672">
                  <c:v>0.55568959262342477</c:v>
                </c:pt>
                <c:pt idx="12673">
                  <c:v>0.55915774897598625</c:v>
                </c:pt>
                <c:pt idx="12674">
                  <c:v>0.55691526795337998</c:v>
                </c:pt>
                <c:pt idx="12675">
                  <c:v>0.54270022259539319</c:v>
                </c:pt>
                <c:pt idx="12676">
                  <c:v>0.54285417157389426</c:v>
                </c:pt>
                <c:pt idx="12677">
                  <c:v>0.54683411051068276</c:v>
                </c:pt>
                <c:pt idx="12678">
                  <c:v>0.56158170534782526</c:v>
                </c:pt>
                <c:pt idx="12679">
                  <c:v>0.50023400411675434</c:v>
                </c:pt>
                <c:pt idx="12680">
                  <c:v>0.55715240324164428</c:v>
                </c:pt>
                <c:pt idx="12681">
                  <c:v>0.55003599752603538</c:v>
                </c:pt>
                <c:pt idx="12682">
                  <c:v>0.54046499857807462</c:v>
                </c:pt>
                <c:pt idx="12683">
                  <c:v>0.52813387964401715</c:v>
                </c:pt>
                <c:pt idx="12684">
                  <c:v>0.51214038723989208</c:v>
                </c:pt>
                <c:pt idx="12685">
                  <c:v>0.49581246282347846</c:v>
                </c:pt>
                <c:pt idx="12686">
                  <c:v>0.49525744194474119</c:v>
                </c:pt>
                <c:pt idx="12687">
                  <c:v>0.49059048702883279</c:v>
                </c:pt>
                <c:pt idx="12688">
                  <c:v>0.49091876786498201</c:v>
                </c:pt>
                <c:pt idx="12689">
                  <c:v>0.4946944816624671</c:v>
                </c:pt>
                <c:pt idx="12690">
                  <c:v>0.48667072672715667</c:v>
                </c:pt>
                <c:pt idx="12691">
                  <c:v>0.4775359526588499</c:v>
                </c:pt>
                <c:pt idx="12692">
                  <c:v>0.49793648587092271</c:v>
                </c:pt>
                <c:pt idx="12693">
                  <c:v>0.51459449988666706</c:v>
                </c:pt>
                <c:pt idx="12694">
                  <c:v>0.50377747703672981</c:v>
                </c:pt>
                <c:pt idx="12695">
                  <c:v>0.52281889537697823</c:v>
                </c:pt>
                <c:pt idx="12696">
                  <c:v>0.49471783706913053</c:v>
                </c:pt>
                <c:pt idx="12697">
                  <c:v>0.50357484361494187</c:v>
                </c:pt>
                <c:pt idx="12698">
                  <c:v>0.49801264970893366</c:v>
                </c:pt>
                <c:pt idx="12699">
                  <c:v>0.51107682923372333</c:v>
                </c:pt>
                <c:pt idx="12700">
                  <c:v>0.49351548839316628</c:v>
                </c:pt>
                <c:pt idx="12701">
                  <c:v>0.53026105878164242</c:v>
                </c:pt>
                <c:pt idx="12702">
                  <c:v>0.52761392060233603</c:v>
                </c:pt>
                <c:pt idx="12703">
                  <c:v>0.51309821928854493</c:v>
                </c:pt>
                <c:pt idx="12704">
                  <c:v>0.50622285228044706</c:v>
                </c:pt>
                <c:pt idx="12705">
                  <c:v>0.53844013252011158</c:v>
                </c:pt>
                <c:pt idx="12706">
                  <c:v>0.52161998776288176</c:v>
                </c:pt>
                <c:pt idx="12707">
                  <c:v>0.50886880758318853</c:v>
                </c:pt>
                <c:pt idx="12708">
                  <c:v>0.50661406586710489</c:v>
                </c:pt>
                <c:pt idx="12709">
                  <c:v>0.51716844016642549</c:v>
                </c:pt>
                <c:pt idx="12710">
                  <c:v>0.5120750763745221</c:v>
                </c:pt>
                <c:pt idx="12711">
                  <c:v>0.52520371677687006</c:v>
                </c:pt>
                <c:pt idx="12712">
                  <c:v>0.51703006876558955</c:v>
                </c:pt>
                <c:pt idx="12713">
                  <c:v>0.51861263195464513</c:v>
                </c:pt>
                <c:pt idx="12714">
                  <c:v>0.5472254000799659</c:v>
                </c:pt>
                <c:pt idx="12715">
                  <c:v>0.51488801589170086</c:v>
                </c:pt>
                <c:pt idx="12716">
                  <c:v>0.51395181600817874</c:v>
                </c:pt>
                <c:pt idx="12717">
                  <c:v>0.53250328165991767</c:v>
                </c:pt>
                <c:pt idx="12718">
                  <c:v>0.52675049911002614</c:v>
                </c:pt>
                <c:pt idx="12719">
                  <c:v>0.54713792970376307</c:v>
                </c:pt>
                <c:pt idx="12720">
                  <c:v>0.57300129057185323</c:v>
                </c:pt>
                <c:pt idx="12721">
                  <c:v>0.55288251249805431</c:v>
                </c:pt>
                <c:pt idx="12722">
                  <c:v>0.54517544712668642</c:v>
                </c:pt>
                <c:pt idx="12723">
                  <c:v>0.55957784856965487</c:v>
                </c:pt>
                <c:pt idx="12724">
                  <c:v>0.53301335014461049</c:v>
                </c:pt>
                <c:pt idx="12725">
                  <c:v>0.54129636123482816</c:v>
                </c:pt>
                <c:pt idx="12726">
                  <c:v>0.55317289654161061</c:v>
                </c:pt>
                <c:pt idx="12727">
                  <c:v>0.56769388960974587</c:v>
                </c:pt>
                <c:pt idx="12728">
                  <c:v>0.52596673598359933</c:v>
                </c:pt>
                <c:pt idx="12729">
                  <c:v>0.55361642388693766</c:v>
                </c:pt>
                <c:pt idx="12730">
                  <c:v>0.55795197554004383</c:v>
                </c:pt>
                <c:pt idx="12731">
                  <c:v>0.53366760168561067</c:v>
                </c:pt>
                <c:pt idx="12732">
                  <c:v>0.54069678011383027</c:v>
                </c:pt>
                <c:pt idx="12733">
                  <c:v>0.54148738344527725</c:v>
                </c:pt>
                <c:pt idx="12734">
                  <c:v>0.52890937631487311</c:v>
                </c:pt>
                <c:pt idx="12735">
                  <c:v>0.2811568166659183</c:v>
                </c:pt>
                <c:pt idx="12736">
                  <c:v>0.5484100573802384</c:v>
                </c:pt>
                <c:pt idx="12737">
                  <c:v>0.57387570453942205</c:v>
                </c:pt>
                <c:pt idx="12738">
                  <c:v>0.55436363863521287</c:v>
                </c:pt>
                <c:pt idx="12739">
                  <c:v>0.58598404914591662</c:v>
                </c:pt>
                <c:pt idx="12740">
                  <c:v>0.57096687050234496</c:v>
                </c:pt>
                <c:pt idx="12741">
                  <c:v>0.55807358071145974</c:v>
                </c:pt>
                <c:pt idx="12742">
                  <c:v>0.55770036584992044</c:v>
                </c:pt>
                <c:pt idx="12743">
                  <c:v>0.55125940335320711</c:v>
                </c:pt>
                <c:pt idx="12744">
                  <c:v>0.56930729707813099</c:v>
                </c:pt>
                <c:pt idx="12745">
                  <c:v>0.55519387732496794</c:v>
                </c:pt>
                <c:pt idx="12746">
                  <c:v>0.56921409262054823</c:v>
                </c:pt>
                <c:pt idx="12747">
                  <c:v>0.57637533213149383</c:v>
                </c:pt>
                <c:pt idx="12748">
                  <c:v>0.5437275481172853</c:v>
                </c:pt>
                <c:pt idx="12749">
                  <c:v>0.58010782496335334</c:v>
                </c:pt>
                <c:pt idx="12750">
                  <c:v>0.54959369727407137</c:v>
                </c:pt>
                <c:pt idx="12751">
                  <c:v>0.60947936463965213</c:v>
                </c:pt>
                <c:pt idx="12752">
                  <c:v>0.55931723582286041</c:v>
                </c:pt>
                <c:pt idx="12753">
                  <c:v>0.57625932185721818</c:v>
                </c:pt>
                <c:pt idx="12754">
                  <c:v>0.61539647302026212</c:v>
                </c:pt>
                <c:pt idx="12755">
                  <c:v>0.61817051910488585</c:v>
                </c:pt>
                <c:pt idx="12756">
                  <c:v>0.62532593240577328</c:v>
                </c:pt>
                <c:pt idx="12757">
                  <c:v>0.53333576597248133</c:v>
                </c:pt>
                <c:pt idx="12758">
                  <c:v>0.5860079340873412</c:v>
                </c:pt>
                <c:pt idx="12759">
                  <c:v>0.58999827530601112</c:v>
                </c:pt>
                <c:pt idx="12760">
                  <c:v>0.51766610699926852</c:v>
                </c:pt>
                <c:pt idx="12761">
                  <c:v>0.48577322649222726</c:v>
                </c:pt>
                <c:pt idx="12762">
                  <c:v>0.50901518403271373</c:v>
                </c:pt>
                <c:pt idx="12763">
                  <c:v>0.56111438842646544</c:v>
                </c:pt>
                <c:pt idx="12764">
                  <c:v>0.61539331430359234</c:v>
                </c:pt>
                <c:pt idx="12765">
                  <c:v>0.55656649568609862</c:v>
                </c:pt>
                <c:pt idx="12766">
                  <c:v>0.55124805289139889</c:v>
                </c:pt>
                <c:pt idx="12767">
                  <c:v>0.57616771290376267</c:v>
                </c:pt>
                <c:pt idx="12768">
                  <c:v>0.58747849354146631</c:v>
                </c:pt>
                <c:pt idx="12769">
                  <c:v>0.57246777611021038</c:v>
                </c:pt>
                <c:pt idx="12770">
                  <c:v>0.56752357811517207</c:v>
                </c:pt>
                <c:pt idx="12771">
                  <c:v>0.55262235121993497</c:v>
                </c:pt>
                <c:pt idx="12772">
                  <c:v>0.53129634725699315</c:v>
                </c:pt>
                <c:pt idx="12773">
                  <c:v>0.55345871510027478</c:v>
                </c:pt>
                <c:pt idx="12774">
                  <c:v>0.53867525838065433</c:v>
                </c:pt>
                <c:pt idx="12775">
                  <c:v>0.54702024809611505</c:v>
                </c:pt>
                <c:pt idx="12776">
                  <c:v>0.53307775065026719</c:v>
                </c:pt>
                <c:pt idx="12777">
                  <c:v>0.54029981158991103</c:v>
                </c:pt>
                <c:pt idx="12778">
                  <c:v>0.55446747502387961</c:v>
                </c:pt>
                <c:pt idx="12779">
                  <c:v>0.54857697809957706</c:v>
                </c:pt>
                <c:pt idx="12780">
                  <c:v>0.53846351256996738</c:v>
                </c:pt>
                <c:pt idx="12781">
                  <c:v>0.51761190851699168</c:v>
                </c:pt>
                <c:pt idx="12782">
                  <c:v>0.52521939721252253</c:v>
                </c:pt>
                <c:pt idx="12783">
                  <c:v>0.51503197993966088</c:v>
                </c:pt>
                <c:pt idx="12784">
                  <c:v>0.52911529961594894</c:v>
                </c:pt>
                <c:pt idx="12785">
                  <c:v>0.52969734285510128</c:v>
                </c:pt>
                <c:pt idx="12786">
                  <c:v>0.53975575219071581</c:v>
                </c:pt>
                <c:pt idx="12787">
                  <c:v>0.54086956636344985</c:v>
                </c:pt>
                <c:pt idx="12788">
                  <c:v>0.52799792866995554</c:v>
                </c:pt>
                <c:pt idx="12789">
                  <c:v>0.53270763569267132</c:v>
                </c:pt>
                <c:pt idx="12790">
                  <c:v>0.54774062485192931</c:v>
                </c:pt>
                <c:pt idx="12791">
                  <c:v>0.54083831489857082</c:v>
                </c:pt>
                <c:pt idx="12792">
                  <c:v>0.53449392693952669</c:v>
                </c:pt>
                <c:pt idx="12793">
                  <c:v>0.54705623371049117</c:v>
                </c:pt>
                <c:pt idx="12794">
                  <c:v>0.55261979626918889</c:v>
                </c:pt>
                <c:pt idx="12795">
                  <c:v>0.54953366058797548</c:v>
                </c:pt>
                <c:pt idx="12796">
                  <c:v>0.54082281333761728</c:v>
                </c:pt>
                <c:pt idx="12797">
                  <c:v>0.54732763185153066</c:v>
                </c:pt>
                <c:pt idx="12798">
                  <c:v>0.54903871569309992</c:v>
                </c:pt>
                <c:pt idx="12799">
                  <c:v>0.55343309263798257</c:v>
                </c:pt>
                <c:pt idx="12800">
                  <c:v>0.5498475974254815</c:v>
                </c:pt>
                <c:pt idx="12801">
                  <c:v>0.54219879463281562</c:v>
                </c:pt>
                <c:pt idx="12802">
                  <c:v>0.55044666877896409</c:v>
                </c:pt>
                <c:pt idx="12803">
                  <c:v>0.55268962618074902</c:v>
                </c:pt>
                <c:pt idx="12804">
                  <c:v>0.55643337257797432</c:v>
                </c:pt>
                <c:pt idx="12805">
                  <c:v>0.56304930551667909</c:v>
                </c:pt>
                <c:pt idx="12806">
                  <c:v>0.54495062600303834</c:v>
                </c:pt>
                <c:pt idx="12807">
                  <c:v>0.53419382308555785</c:v>
                </c:pt>
                <c:pt idx="12808">
                  <c:v>0.52598756328671303</c:v>
                </c:pt>
                <c:pt idx="12809">
                  <c:v>0.52268361636983152</c:v>
                </c:pt>
                <c:pt idx="12810">
                  <c:v>0.52970029279609787</c:v>
                </c:pt>
                <c:pt idx="12811">
                  <c:v>0.53968681942326135</c:v>
                </c:pt>
                <c:pt idx="12812">
                  <c:v>0.52272728038505845</c:v>
                </c:pt>
                <c:pt idx="12813">
                  <c:v>0.53757393274160736</c:v>
                </c:pt>
                <c:pt idx="12814">
                  <c:v>0.54801294836069048</c:v>
                </c:pt>
                <c:pt idx="12815">
                  <c:v>0.54876457984867466</c:v>
                </c:pt>
                <c:pt idx="12816">
                  <c:v>0.55673332427975608</c:v>
                </c:pt>
                <c:pt idx="12817">
                  <c:v>0.54269487011333095</c:v>
                </c:pt>
                <c:pt idx="12818">
                  <c:v>0.5505927628188847</c:v>
                </c:pt>
                <c:pt idx="12819">
                  <c:v>0.55932346552531553</c:v>
                </c:pt>
                <c:pt idx="12820">
                  <c:v>0.54048176404789949</c:v>
                </c:pt>
                <c:pt idx="12821">
                  <c:v>0.53669678877573679</c:v>
                </c:pt>
                <c:pt idx="12822">
                  <c:v>0.54270246314969317</c:v>
                </c:pt>
                <c:pt idx="12823">
                  <c:v>0.54717464476763</c:v>
                </c:pt>
                <c:pt idx="12824">
                  <c:v>0.55526256905008975</c:v>
                </c:pt>
                <c:pt idx="12825">
                  <c:v>0.55810169405704657</c:v>
                </c:pt>
                <c:pt idx="12826">
                  <c:v>0.542947111916812</c:v>
                </c:pt>
                <c:pt idx="12827">
                  <c:v>0.54297796321578784</c:v>
                </c:pt>
                <c:pt idx="12828">
                  <c:v>0.53140418641541731</c:v>
                </c:pt>
                <c:pt idx="12829">
                  <c:v>0.51362306309738348</c:v>
                </c:pt>
                <c:pt idx="12830">
                  <c:v>0.50154479771894689</c:v>
                </c:pt>
                <c:pt idx="12831">
                  <c:v>0.49175784184173604</c:v>
                </c:pt>
                <c:pt idx="12832">
                  <c:v>0.49585530868746436</c:v>
                </c:pt>
                <c:pt idx="12833">
                  <c:v>0.47932130967238379</c:v>
                </c:pt>
                <c:pt idx="12834">
                  <c:v>0.5040915897924495</c:v>
                </c:pt>
                <c:pt idx="12835">
                  <c:v>0.4864865863604001</c:v>
                </c:pt>
                <c:pt idx="12836">
                  <c:v>0.48382955002305389</c:v>
                </c:pt>
                <c:pt idx="12837">
                  <c:v>0.48597951372193476</c:v>
                </c:pt>
                <c:pt idx="12838">
                  <c:v>0.49650704273221286</c:v>
                </c:pt>
                <c:pt idx="12839">
                  <c:v>0.50239270283158421</c:v>
                </c:pt>
                <c:pt idx="12840">
                  <c:v>0.51247173193232898</c:v>
                </c:pt>
                <c:pt idx="12841">
                  <c:v>0.50734642342229108</c:v>
                </c:pt>
                <c:pt idx="12842">
                  <c:v>0.50144543446279777</c:v>
                </c:pt>
                <c:pt idx="12843">
                  <c:v>0.49758156842406243</c:v>
                </c:pt>
                <c:pt idx="12844">
                  <c:v>0.51513425166262727</c:v>
                </c:pt>
                <c:pt idx="12845">
                  <c:v>0.50286392613833186</c:v>
                </c:pt>
                <c:pt idx="12846">
                  <c:v>0.52190291926310706</c:v>
                </c:pt>
                <c:pt idx="12847">
                  <c:v>0.52182613059906202</c:v>
                </c:pt>
                <c:pt idx="12848">
                  <c:v>0.52614263707340936</c:v>
                </c:pt>
                <c:pt idx="12849">
                  <c:v>0.49813776672798243</c:v>
                </c:pt>
                <c:pt idx="12850">
                  <c:v>0.54487916892943122</c:v>
                </c:pt>
                <c:pt idx="12851">
                  <c:v>0.51882573033080648</c:v>
                </c:pt>
                <c:pt idx="12852">
                  <c:v>0.51197996405262802</c:v>
                </c:pt>
                <c:pt idx="12853">
                  <c:v>0.51025699356735621</c:v>
                </c:pt>
                <c:pt idx="12854">
                  <c:v>0.52476028338018021</c:v>
                </c:pt>
                <c:pt idx="12855">
                  <c:v>0.51022091098272704</c:v>
                </c:pt>
                <c:pt idx="12856">
                  <c:v>0.51882152199232401</c:v>
                </c:pt>
                <c:pt idx="12857">
                  <c:v>0.51070770611734628</c:v>
                </c:pt>
                <c:pt idx="12858">
                  <c:v>0.51770408146782121</c:v>
                </c:pt>
                <c:pt idx="12859">
                  <c:v>0.55008262586823786</c:v>
                </c:pt>
                <c:pt idx="12860">
                  <c:v>0.51797995593897384</c:v>
                </c:pt>
                <c:pt idx="12861">
                  <c:v>0.51139186249885082</c:v>
                </c:pt>
                <c:pt idx="12862">
                  <c:v>0.52989353440576892</c:v>
                </c:pt>
                <c:pt idx="12863">
                  <c:v>0.50926584672381014</c:v>
                </c:pt>
                <c:pt idx="12864">
                  <c:v>0.55301368948564511</c:v>
                </c:pt>
                <c:pt idx="12865">
                  <c:v>0.55149244940357001</c:v>
                </c:pt>
                <c:pt idx="12866">
                  <c:v>0.57658273701855778</c:v>
                </c:pt>
                <c:pt idx="12867">
                  <c:v>0.54248793989230093</c:v>
                </c:pt>
                <c:pt idx="12868">
                  <c:v>0.53751687203957232</c:v>
                </c:pt>
                <c:pt idx="12869">
                  <c:v>0.5381204789627505</c:v>
                </c:pt>
                <c:pt idx="12870">
                  <c:v>0.53406927938493698</c:v>
                </c:pt>
                <c:pt idx="12871">
                  <c:v>0.55831236608022583</c:v>
                </c:pt>
                <c:pt idx="12872">
                  <c:v>0.56913468912644993</c:v>
                </c:pt>
                <c:pt idx="12873">
                  <c:v>0.56164319776445681</c:v>
                </c:pt>
                <c:pt idx="12874">
                  <c:v>0.5219184581742754</c:v>
                </c:pt>
                <c:pt idx="12875">
                  <c:v>0.56469055919011435</c:v>
                </c:pt>
                <c:pt idx="12876">
                  <c:v>0.56996501390907117</c:v>
                </c:pt>
                <c:pt idx="12877">
                  <c:v>0.53502028893127973</c:v>
                </c:pt>
                <c:pt idx="12878">
                  <c:v>0.56243253013932204</c:v>
                </c:pt>
                <c:pt idx="12879">
                  <c:v>0.52697035521390279</c:v>
                </c:pt>
                <c:pt idx="12880">
                  <c:v>0.53562901805617824</c:v>
                </c:pt>
                <c:pt idx="12881">
                  <c:v>0.54943623646822792</c:v>
                </c:pt>
                <c:pt idx="12882">
                  <c:v>0.54180768764614784</c:v>
                </c:pt>
                <c:pt idx="12883">
                  <c:v>0.53425373352860572</c:v>
                </c:pt>
                <c:pt idx="12884">
                  <c:v>0.53772870206161516</c:v>
                </c:pt>
                <c:pt idx="12885">
                  <c:v>0.58833480104432234</c:v>
                </c:pt>
                <c:pt idx="12886">
                  <c:v>0.55212068439309447</c:v>
                </c:pt>
                <c:pt idx="12887">
                  <c:v>0.55366813115976965</c:v>
                </c:pt>
                <c:pt idx="12888">
                  <c:v>0.54146491460446611</c:v>
                </c:pt>
                <c:pt idx="12889">
                  <c:v>0.57001644743017732</c:v>
                </c:pt>
                <c:pt idx="12890">
                  <c:v>0.58071165164501326</c:v>
                </c:pt>
                <c:pt idx="12891">
                  <c:v>0.590296451792514</c:v>
                </c:pt>
                <c:pt idx="12892">
                  <c:v>0.55215892934792776</c:v>
                </c:pt>
                <c:pt idx="12893">
                  <c:v>0.57673008285515182</c:v>
                </c:pt>
                <c:pt idx="12894">
                  <c:v>0.55015739210333625</c:v>
                </c:pt>
                <c:pt idx="12895">
                  <c:v>0.57560669086275296</c:v>
                </c:pt>
                <c:pt idx="12896">
                  <c:v>0.553822488082089</c:v>
                </c:pt>
                <c:pt idx="12897">
                  <c:v>0.56923189200185842</c:v>
                </c:pt>
                <c:pt idx="12898">
                  <c:v>0.57884633851529088</c:v>
                </c:pt>
                <c:pt idx="12899">
                  <c:v>0.54342468813985112</c:v>
                </c:pt>
                <c:pt idx="12900">
                  <c:v>0.5544933999571432</c:v>
                </c:pt>
                <c:pt idx="12901">
                  <c:v>0.58362526165273754</c:v>
                </c:pt>
                <c:pt idx="12902">
                  <c:v>0.57567153661202131</c:v>
                </c:pt>
                <c:pt idx="12903">
                  <c:v>0.57856861705407259</c:v>
                </c:pt>
                <c:pt idx="12904">
                  <c:v>0.54398279018032336</c:v>
                </c:pt>
                <c:pt idx="12905">
                  <c:v>0.50127868304384837</c:v>
                </c:pt>
                <c:pt idx="12906">
                  <c:v>0.47172051182296931</c:v>
                </c:pt>
                <c:pt idx="12907">
                  <c:v>0.52468724200471373</c:v>
                </c:pt>
                <c:pt idx="12908">
                  <c:v>0.59341622506948832</c:v>
                </c:pt>
                <c:pt idx="12909">
                  <c:v>0.58067127817215836</c:v>
                </c:pt>
                <c:pt idx="12910">
                  <c:v>0.54742725388198499</c:v>
                </c:pt>
                <c:pt idx="12911">
                  <c:v>0.60634201882821515</c:v>
                </c:pt>
                <c:pt idx="12912">
                  <c:v>0.57839242851558403</c:v>
                </c:pt>
                <c:pt idx="12913">
                  <c:v>0.57090178501185562</c:v>
                </c:pt>
                <c:pt idx="12914">
                  <c:v>0.57116883002930741</c:v>
                </c:pt>
                <c:pt idx="12915">
                  <c:v>0.57788225950825556</c:v>
                </c:pt>
                <c:pt idx="12916">
                  <c:v>0.56941710279424074</c:v>
                </c:pt>
                <c:pt idx="12917">
                  <c:v>0.54861172982664574</c:v>
                </c:pt>
                <c:pt idx="12918">
                  <c:v>0.55017256403990655</c:v>
                </c:pt>
                <c:pt idx="12919">
                  <c:v>0.56431860804926826</c:v>
                </c:pt>
                <c:pt idx="12920">
                  <c:v>0.54466162928255457</c:v>
                </c:pt>
                <c:pt idx="12921">
                  <c:v>0.54962702017918696</c:v>
                </c:pt>
                <c:pt idx="12922">
                  <c:v>0.57186133204715484</c:v>
                </c:pt>
                <c:pt idx="12923">
                  <c:v>0.62183999555543956</c:v>
                </c:pt>
                <c:pt idx="12924">
                  <c:v>0.59496802352581846</c:v>
                </c:pt>
                <c:pt idx="12925">
                  <c:v>0.56967090760630634</c:v>
                </c:pt>
                <c:pt idx="12926">
                  <c:v>0.5735753087830554</c:v>
                </c:pt>
                <c:pt idx="12927">
                  <c:v>0.56796220918301654</c:v>
                </c:pt>
                <c:pt idx="12928">
                  <c:v>0.5339445729478518</c:v>
                </c:pt>
                <c:pt idx="12929">
                  <c:v>0.5368648655506898</c:v>
                </c:pt>
                <c:pt idx="12930">
                  <c:v>0.52665570589178812</c:v>
                </c:pt>
                <c:pt idx="12931">
                  <c:v>0.53726511084088913</c:v>
                </c:pt>
                <c:pt idx="12932">
                  <c:v>0.5719303469950896</c:v>
                </c:pt>
                <c:pt idx="12933">
                  <c:v>0.55551740748156431</c:v>
                </c:pt>
                <c:pt idx="12934">
                  <c:v>0.52027832433973853</c:v>
                </c:pt>
                <c:pt idx="12935">
                  <c:v>0.52939108128178058</c:v>
                </c:pt>
                <c:pt idx="12936">
                  <c:v>0.51203112958982122</c:v>
                </c:pt>
                <c:pt idx="12937">
                  <c:v>0.51633305263397467</c:v>
                </c:pt>
                <c:pt idx="12938">
                  <c:v>0.51631956119801792</c:v>
                </c:pt>
                <c:pt idx="12939">
                  <c:v>0.53211099399269068</c:v>
                </c:pt>
                <c:pt idx="12940">
                  <c:v>0.50834384156056134</c:v>
                </c:pt>
                <c:pt idx="12941">
                  <c:v>0.54181379945337638</c:v>
                </c:pt>
                <c:pt idx="12942">
                  <c:v>0.52495586479122813</c:v>
                </c:pt>
                <c:pt idx="12943">
                  <c:v>0.52438067159183677</c:v>
                </c:pt>
                <c:pt idx="12944">
                  <c:v>0.52506153029341907</c:v>
                </c:pt>
                <c:pt idx="12945">
                  <c:v>0.51549552500501339</c:v>
                </c:pt>
                <c:pt idx="12946">
                  <c:v>0.50728551955347534</c:v>
                </c:pt>
                <c:pt idx="12947">
                  <c:v>0.49789508687772011</c:v>
                </c:pt>
                <c:pt idx="12948">
                  <c:v>0.50452332807950839</c:v>
                </c:pt>
                <c:pt idx="12949">
                  <c:v>0.49392959347392562</c:v>
                </c:pt>
                <c:pt idx="12950">
                  <c:v>0.49011305512661485</c:v>
                </c:pt>
                <c:pt idx="12951">
                  <c:v>0.50160185972522808</c:v>
                </c:pt>
                <c:pt idx="12952">
                  <c:v>0.50299010860854865</c:v>
                </c:pt>
                <c:pt idx="12953">
                  <c:v>0.52601692679368051</c:v>
                </c:pt>
                <c:pt idx="12954">
                  <c:v>0.52988225258775323</c:v>
                </c:pt>
                <c:pt idx="12955">
                  <c:v>0.52647962489066502</c:v>
                </c:pt>
                <c:pt idx="12956">
                  <c:v>0.53248047059995651</c:v>
                </c:pt>
                <c:pt idx="12957">
                  <c:v>0.49911800405929169</c:v>
                </c:pt>
                <c:pt idx="12958">
                  <c:v>0.49740116859711198</c:v>
                </c:pt>
                <c:pt idx="12959">
                  <c:v>0.50331787526611682</c:v>
                </c:pt>
                <c:pt idx="12960">
                  <c:v>0.49562078329703707</c:v>
                </c:pt>
                <c:pt idx="12961">
                  <c:v>0.50493793657027619</c:v>
                </c:pt>
                <c:pt idx="12962">
                  <c:v>0.52492889328085257</c:v>
                </c:pt>
                <c:pt idx="12963">
                  <c:v>0.53391726482472956</c:v>
                </c:pt>
                <c:pt idx="12964">
                  <c:v>0.50109337423008715</c:v>
                </c:pt>
                <c:pt idx="12965">
                  <c:v>0.49894457432275569</c:v>
                </c:pt>
                <c:pt idx="12966">
                  <c:v>0.48855875369408364</c:v>
                </c:pt>
                <c:pt idx="12967">
                  <c:v>0.50614134456821203</c:v>
                </c:pt>
                <c:pt idx="12968">
                  <c:v>0.50873436148179796</c:v>
                </c:pt>
                <c:pt idx="12969">
                  <c:v>0.52074769732209703</c:v>
                </c:pt>
                <c:pt idx="12970">
                  <c:v>0.49882685040345415</c:v>
                </c:pt>
                <c:pt idx="12971">
                  <c:v>0.48406839128076962</c:v>
                </c:pt>
                <c:pt idx="12972">
                  <c:v>0.48761329329009151</c:v>
                </c:pt>
                <c:pt idx="12973">
                  <c:v>0.49183775579588329</c:v>
                </c:pt>
                <c:pt idx="12974">
                  <c:v>0.51059594299244027</c:v>
                </c:pt>
                <c:pt idx="12975">
                  <c:v>0.50740434844560101</c:v>
                </c:pt>
                <c:pt idx="12976">
                  <c:v>0.50403730317772233</c:v>
                </c:pt>
                <c:pt idx="12977">
                  <c:v>0.48352781808528694</c:v>
                </c:pt>
                <c:pt idx="12978">
                  <c:v>0.51682731730376208</c:v>
                </c:pt>
                <c:pt idx="12979">
                  <c:v>0.52709398344337355</c:v>
                </c:pt>
                <c:pt idx="12980">
                  <c:v>0.5178682037387341</c:v>
                </c:pt>
                <c:pt idx="12981">
                  <c:v>0.48776757573513319</c:v>
                </c:pt>
                <c:pt idx="12982">
                  <c:v>0.50410424208845628</c:v>
                </c:pt>
                <c:pt idx="12983">
                  <c:v>0.51028019751189913</c:v>
                </c:pt>
                <c:pt idx="12984">
                  <c:v>0.50641166935069104</c:v>
                </c:pt>
                <c:pt idx="12985">
                  <c:v>0.52538692223071359</c:v>
                </c:pt>
                <c:pt idx="12986">
                  <c:v>0.51444667114232334</c:v>
                </c:pt>
                <c:pt idx="12987">
                  <c:v>0.5299757033527297</c:v>
                </c:pt>
                <c:pt idx="12988">
                  <c:v>0.48155169008795912</c:v>
                </c:pt>
                <c:pt idx="12989">
                  <c:v>0.49364622773369365</c:v>
                </c:pt>
                <c:pt idx="12990">
                  <c:v>0.49775292029299018</c:v>
                </c:pt>
                <c:pt idx="12991">
                  <c:v>0.51359777433979148</c:v>
                </c:pt>
                <c:pt idx="12992">
                  <c:v>0.50075185927895804</c:v>
                </c:pt>
                <c:pt idx="12993">
                  <c:v>0.52167564813329137</c:v>
                </c:pt>
                <c:pt idx="12994">
                  <c:v>0.509990126165351</c:v>
                </c:pt>
                <c:pt idx="12995">
                  <c:v>0.52924371137766568</c:v>
                </c:pt>
                <c:pt idx="12996">
                  <c:v>0.53290565523637712</c:v>
                </c:pt>
                <c:pt idx="12997">
                  <c:v>0.53115396878027898</c:v>
                </c:pt>
                <c:pt idx="12998">
                  <c:v>0.50867365195523206</c:v>
                </c:pt>
                <c:pt idx="12999">
                  <c:v>0.53651475842960517</c:v>
                </c:pt>
                <c:pt idx="13000">
                  <c:v>0.51767678765416691</c:v>
                </c:pt>
                <c:pt idx="13001">
                  <c:v>0.53869083678417018</c:v>
                </c:pt>
                <c:pt idx="13002">
                  <c:v>0.52545362920837091</c:v>
                </c:pt>
                <c:pt idx="13003">
                  <c:v>0.51611025799395938</c:v>
                </c:pt>
                <c:pt idx="13004">
                  <c:v>0.52828793171949207</c:v>
                </c:pt>
                <c:pt idx="13005">
                  <c:v>0.53505373547348378</c:v>
                </c:pt>
                <c:pt idx="13006">
                  <c:v>0.520611378601612</c:v>
                </c:pt>
                <c:pt idx="13007">
                  <c:v>0.51588403891978651</c:v>
                </c:pt>
                <c:pt idx="13008">
                  <c:v>0.50320433021537359</c:v>
                </c:pt>
                <c:pt idx="13009">
                  <c:v>0.52764484962293445</c:v>
                </c:pt>
                <c:pt idx="13010">
                  <c:v>0.56300880042335155</c:v>
                </c:pt>
                <c:pt idx="13011">
                  <c:v>0.53821456352900265</c:v>
                </c:pt>
                <c:pt idx="13012">
                  <c:v>0.52688400105663979</c:v>
                </c:pt>
                <c:pt idx="13013">
                  <c:v>0.55764769329411101</c:v>
                </c:pt>
                <c:pt idx="13014">
                  <c:v>0.5330674421203947</c:v>
                </c:pt>
                <c:pt idx="13015">
                  <c:v>0.53449684447914103</c:v>
                </c:pt>
                <c:pt idx="13016">
                  <c:v>0.52876261404571379</c:v>
                </c:pt>
                <c:pt idx="13017">
                  <c:v>0.55345470789546758</c:v>
                </c:pt>
                <c:pt idx="13018">
                  <c:v>0.51643713423142656</c:v>
                </c:pt>
                <c:pt idx="13019">
                  <c:v>0.55533898791991676</c:v>
                </c:pt>
                <c:pt idx="13020">
                  <c:v>0.54683867245146933</c:v>
                </c:pt>
                <c:pt idx="13021">
                  <c:v>0.57159354800035145</c:v>
                </c:pt>
                <c:pt idx="13022">
                  <c:v>0.54119057619550237</c:v>
                </c:pt>
                <c:pt idx="13023">
                  <c:v>0.56366117346712341</c:v>
                </c:pt>
                <c:pt idx="13024">
                  <c:v>0.53412463655016162</c:v>
                </c:pt>
                <c:pt idx="13025">
                  <c:v>0.54847651400652908</c:v>
                </c:pt>
                <c:pt idx="13026">
                  <c:v>0.49825140298932391</c:v>
                </c:pt>
                <c:pt idx="13027">
                  <c:v>0.55146524680916487</c:v>
                </c:pt>
                <c:pt idx="13028">
                  <c:v>0.5556131145978731</c:v>
                </c:pt>
                <c:pt idx="13029">
                  <c:v>0.54666417490514452</c:v>
                </c:pt>
                <c:pt idx="13030">
                  <c:v>0.55935724812466914</c:v>
                </c:pt>
                <c:pt idx="13031">
                  <c:v>0.56267546994078255</c:v>
                </c:pt>
                <c:pt idx="13032">
                  <c:v>0.56527199691878349</c:v>
                </c:pt>
                <c:pt idx="13033">
                  <c:v>0.55981078253849914</c:v>
                </c:pt>
                <c:pt idx="13034">
                  <c:v>0.57881770383762532</c:v>
                </c:pt>
                <c:pt idx="13035">
                  <c:v>0.57623328152931097</c:v>
                </c:pt>
                <c:pt idx="13036">
                  <c:v>0.59118563582796857</c:v>
                </c:pt>
                <c:pt idx="13037">
                  <c:v>0.57156163576089059</c:v>
                </c:pt>
                <c:pt idx="13038">
                  <c:v>0.57652666340142122</c:v>
                </c:pt>
                <c:pt idx="13039">
                  <c:v>0.56750817744112592</c:v>
                </c:pt>
                <c:pt idx="13040">
                  <c:v>0.56599543010589282</c:v>
                </c:pt>
                <c:pt idx="13041">
                  <c:v>0.56237923882387353</c:v>
                </c:pt>
                <c:pt idx="13042">
                  <c:v>0.54766027278678397</c:v>
                </c:pt>
                <c:pt idx="13043">
                  <c:v>0.60958021706063104</c:v>
                </c:pt>
                <c:pt idx="13044">
                  <c:v>0.53360837298017927</c:v>
                </c:pt>
                <c:pt idx="13045">
                  <c:v>0.56032791359807466</c:v>
                </c:pt>
                <c:pt idx="13046">
                  <c:v>0.58437397312658712</c:v>
                </c:pt>
                <c:pt idx="13047">
                  <c:v>0.57822511507549823</c:v>
                </c:pt>
                <c:pt idx="13048">
                  <c:v>0.57149186324492585</c:v>
                </c:pt>
                <c:pt idx="13049">
                  <c:v>0.56645846982079218</c:v>
                </c:pt>
                <c:pt idx="13050">
                  <c:v>0.52483370158302445</c:v>
                </c:pt>
                <c:pt idx="13051">
                  <c:v>0.47029933029588727</c:v>
                </c:pt>
                <c:pt idx="13052">
                  <c:v>0.50597042657782942</c:v>
                </c:pt>
                <c:pt idx="13053">
                  <c:v>0.60222998434366559</c:v>
                </c:pt>
                <c:pt idx="13054">
                  <c:v>0.58111142010390371</c:v>
                </c:pt>
                <c:pt idx="13055">
                  <c:v>0.54157799597213874</c:v>
                </c:pt>
                <c:pt idx="13056">
                  <c:v>0.60309119265844635</c:v>
                </c:pt>
                <c:pt idx="13057">
                  <c:v>0.58425747852273224</c:v>
                </c:pt>
                <c:pt idx="13058">
                  <c:v>0.58065268686470128</c:v>
                </c:pt>
                <c:pt idx="13059">
                  <c:v>0.57501282132942588</c:v>
                </c:pt>
                <c:pt idx="13060">
                  <c:v>0.55301137994623462</c:v>
                </c:pt>
                <c:pt idx="13061">
                  <c:v>0.57620539590715436</c:v>
                </c:pt>
                <c:pt idx="13062">
                  <c:v>0.56547225123519185</c:v>
                </c:pt>
                <c:pt idx="13063">
                  <c:v>0.54372046971635468</c:v>
                </c:pt>
                <c:pt idx="13064">
                  <c:v>0.5704832786657571</c:v>
                </c:pt>
                <c:pt idx="13065">
                  <c:v>0.52833103592397812</c:v>
                </c:pt>
                <c:pt idx="13066">
                  <c:v>0.55345397930880291</c:v>
                </c:pt>
                <c:pt idx="13067">
                  <c:v>0.57795675148552461</c:v>
                </c:pt>
                <c:pt idx="13068">
                  <c:v>0.62006835391460813</c:v>
                </c:pt>
                <c:pt idx="13069">
                  <c:v>0.61671795792317707</c:v>
                </c:pt>
                <c:pt idx="13070">
                  <c:v>0.5839402965383339</c:v>
                </c:pt>
                <c:pt idx="13071">
                  <c:v>0.56705225828315609</c:v>
                </c:pt>
                <c:pt idx="13072">
                  <c:v>0.578122676890931</c:v>
                </c:pt>
                <c:pt idx="13073">
                  <c:v>0.54710527779446805</c:v>
                </c:pt>
                <c:pt idx="13074">
                  <c:v>0.54467352492679044</c:v>
                </c:pt>
                <c:pt idx="13075">
                  <c:v>0.53758552031271178</c:v>
                </c:pt>
                <c:pt idx="13076">
                  <c:v>0.5307683923902452</c:v>
                </c:pt>
                <c:pt idx="13077">
                  <c:v>0.56483809126062035</c:v>
                </c:pt>
                <c:pt idx="13078">
                  <c:v>0.56027113581961552</c:v>
                </c:pt>
                <c:pt idx="13079">
                  <c:v>0.53134068721410121</c:v>
                </c:pt>
                <c:pt idx="13080">
                  <c:v>0.51983744056200698</c:v>
                </c:pt>
                <c:pt idx="13081">
                  <c:v>0.51715761498618606</c:v>
                </c:pt>
                <c:pt idx="13082">
                  <c:v>0.52933088132598416</c:v>
                </c:pt>
                <c:pt idx="13083">
                  <c:v>0.51672213985081916</c:v>
                </c:pt>
                <c:pt idx="13084">
                  <c:v>0.52827377716704371</c:v>
                </c:pt>
                <c:pt idx="13085">
                  <c:v>0.53846388965723169</c:v>
                </c:pt>
                <c:pt idx="13086">
                  <c:v>0.52636280103718747</c:v>
                </c:pt>
                <c:pt idx="13087">
                  <c:v>0.53592686782771448</c:v>
                </c:pt>
                <c:pt idx="13088">
                  <c:v>0.51791683529388033</c:v>
                </c:pt>
                <c:pt idx="13089">
                  <c:v>0.53293442741243147</c:v>
                </c:pt>
                <c:pt idx="13090">
                  <c:v>0.52010134268828623</c:v>
                </c:pt>
                <c:pt idx="13091">
                  <c:v>0.51088226169885886</c:v>
                </c:pt>
                <c:pt idx="13092">
                  <c:v>0.50356544501297062</c:v>
                </c:pt>
                <c:pt idx="13093">
                  <c:v>0.49599754328366341</c:v>
                </c:pt>
                <c:pt idx="13094">
                  <c:v>0.49534546007068031</c:v>
                </c:pt>
                <c:pt idx="13095">
                  <c:v>0.501069400204047</c:v>
                </c:pt>
                <c:pt idx="13096">
                  <c:v>0.49366657381455925</c:v>
                </c:pt>
                <c:pt idx="13097">
                  <c:v>0.5006041791736805</c:v>
                </c:pt>
                <c:pt idx="13098">
                  <c:v>0.51479524326424098</c:v>
                </c:pt>
                <c:pt idx="13099">
                  <c:v>0.53862462470962313</c:v>
                </c:pt>
                <c:pt idx="13100">
                  <c:v>0.51725529586870667</c:v>
                </c:pt>
                <c:pt idx="13101">
                  <c:v>0.54132008751682259</c:v>
                </c:pt>
                <c:pt idx="13102">
                  <c:v>0.50430826047800903</c:v>
                </c:pt>
                <c:pt idx="13103">
                  <c:v>0.48610460033629371</c:v>
                </c:pt>
                <c:pt idx="13104">
                  <c:v>0.49229973679973882</c:v>
                </c:pt>
                <c:pt idx="13105">
                  <c:v>0.50191139648205596</c:v>
                </c:pt>
                <c:pt idx="13106">
                  <c:v>0.49410002538620496</c:v>
                </c:pt>
                <c:pt idx="13107">
                  <c:v>0.5065756502518487</c:v>
                </c:pt>
                <c:pt idx="13108">
                  <c:v>0.52188307043346227</c:v>
                </c:pt>
                <c:pt idx="13109">
                  <c:v>0.49185272927931656</c:v>
                </c:pt>
                <c:pt idx="13110">
                  <c:v>0.50039045460792153</c:v>
                </c:pt>
                <c:pt idx="13111">
                  <c:v>0.50330724445616914</c:v>
                </c:pt>
                <c:pt idx="13112">
                  <c:v>0.4837130743967662</c:v>
                </c:pt>
                <c:pt idx="13113">
                  <c:v>0.48765455367158139</c:v>
                </c:pt>
                <c:pt idx="13114">
                  <c:v>0.52657820287516588</c:v>
                </c:pt>
                <c:pt idx="13115">
                  <c:v>0.48918716815621693</c:v>
                </c:pt>
                <c:pt idx="13116">
                  <c:v>0.49281456772411392</c:v>
                </c:pt>
                <c:pt idx="13117">
                  <c:v>0.48947838200136784</c:v>
                </c:pt>
                <c:pt idx="13118">
                  <c:v>0.48064325008493219</c:v>
                </c:pt>
                <c:pt idx="13119">
                  <c:v>0.52132248889169497</c:v>
                </c:pt>
                <c:pt idx="13120">
                  <c:v>0.50203266160200344</c:v>
                </c:pt>
                <c:pt idx="13121">
                  <c:v>0.49902469095085827</c:v>
                </c:pt>
                <c:pt idx="13122">
                  <c:v>0.47999802688619791</c:v>
                </c:pt>
                <c:pt idx="13123">
                  <c:v>0.50867297885304719</c:v>
                </c:pt>
                <c:pt idx="13124">
                  <c:v>0.51250269080120259</c:v>
                </c:pt>
                <c:pt idx="13125">
                  <c:v>0.51440296370015082</c:v>
                </c:pt>
                <c:pt idx="13126">
                  <c:v>0.50276486426515743</c:v>
                </c:pt>
                <c:pt idx="13127">
                  <c:v>0.49431992851909634</c:v>
                </c:pt>
                <c:pt idx="13128">
                  <c:v>0.51108446018221765</c:v>
                </c:pt>
                <c:pt idx="13129">
                  <c:v>0.50429969363351379</c:v>
                </c:pt>
                <c:pt idx="13130">
                  <c:v>0.51483413320156934</c:v>
                </c:pt>
                <c:pt idx="13131">
                  <c:v>0.49685689073780259</c:v>
                </c:pt>
                <c:pt idx="13132">
                  <c:v>0.51861105305795308</c:v>
                </c:pt>
                <c:pt idx="13133">
                  <c:v>0.4875809322344053</c:v>
                </c:pt>
                <c:pt idx="13134">
                  <c:v>0.48308168080396197</c:v>
                </c:pt>
                <c:pt idx="13135">
                  <c:v>0.49530464631236992</c:v>
                </c:pt>
                <c:pt idx="13136">
                  <c:v>0.5200879678103314</c:v>
                </c:pt>
                <c:pt idx="13137">
                  <c:v>0.49923743760185801</c:v>
                </c:pt>
                <c:pt idx="13138">
                  <c:v>0.51725041234633862</c:v>
                </c:pt>
                <c:pt idx="13139">
                  <c:v>0.49925380899543759</c:v>
                </c:pt>
                <c:pt idx="13140">
                  <c:v>0.52856719675396657</c:v>
                </c:pt>
                <c:pt idx="13141">
                  <c:v>0.51792988185782818</c:v>
                </c:pt>
                <c:pt idx="13142">
                  <c:v>0.52598225953412614</c:v>
                </c:pt>
                <c:pt idx="13143">
                  <c:v>0.50193258955907405</c:v>
                </c:pt>
                <c:pt idx="13144">
                  <c:v>0.523496610611077</c:v>
                </c:pt>
                <c:pt idx="13145">
                  <c:v>0.51764303061346439</c:v>
                </c:pt>
                <c:pt idx="13146">
                  <c:v>0.53946829290933385</c:v>
                </c:pt>
                <c:pt idx="13147">
                  <c:v>0.52296481391753058</c:v>
                </c:pt>
                <c:pt idx="13148">
                  <c:v>0.52006108568227738</c:v>
                </c:pt>
                <c:pt idx="13149">
                  <c:v>0.5230700532870044</c:v>
                </c:pt>
                <c:pt idx="13150">
                  <c:v>0.51694448881376343</c:v>
                </c:pt>
                <c:pt idx="13151">
                  <c:v>0.52250526519894724</c:v>
                </c:pt>
                <c:pt idx="13152">
                  <c:v>0.53757141366349903</c:v>
                </c:pt>
                <c:pt idx="13153">
                  <c:v>0.48543634492182131</c:v>
                </c:pt>
                <c:pt idx="13154">
                  <c:v>0.53690763146494025</c:v>
                </c:pt>
                <c:pt idx="13155">
                  <c:v>0.54411668260855717</c:v>
                </c:pt>
                <c:pt idx="13156">
                  <c:v>0.5490541720953801</c:v>
                </c:pt>
                <c:pt idx="13157">
                  <c:v>0.52636305953172891</c:v>
                </c:pt>
                <c:pt idx="13158">
                  <c:v>0.55545153616536358</c:v>
                </c:pt>
                <c:pt idx="13159">
                  <c:v>0.53879798598346273</c:v>
                </c:pt>
                <c:pt idx="13160">
                  <c:v>0.54453459818178762</c:v>
                </c:pt>
                <c:pt idx="13161">
                  <c:v>0.50958259893942714</c:v>
                </c:pt>
                <c:pt idx="13162">
                  <c:v>0.54542971620549741</c:v>
                </c:pt>
                <c:pt idx="13163">
                  <c:v>0.52079810215052902</c:v>
                </c:pt>
                <c:pt idx="13164">
                  <c:v>0.55454633531829045</c:v>
                </c:pt>
                <c:pt idx="13165">
                  <c:v>0.54720150147280988</c:v>
                </c:pt>
                <c:pt idx="13166">
                  <c:v>0.5597371812453743</c:v>
                </c:pt>
                <c:pt idx="13167">
                  <c:v>0.5542948045690469</c:v>
                </c:pt>
                <c:pt idx="13168">
                  <c:v>0.5653040201826236</c:v>
                </c:pt>
                <c:pt idx="13169">
                  <c:v>0.55177730336634789</c:v>
                </c:pt>
                <c:pt idx="13170">
                  <c:v>0.57349066907010648</c:v>
                </c:pt>
                <c:pt idx="13171">
                  <c:v>0.57516312639999223</c:v>
                </c:pt>
                <c:pt idx="13172">
                  <c:v>0.51980332619826497</c:v>
                </c:pt>
                <c:pt idx="13173">
                  <c:v>0.56814620125040949</c:v>
                </c:pt>
                <c:pt idx="13174">
                  <c:v>0.52567440155535905</c:v>
                </c:pt>
                <c:pt idx="13175">
                  <c:v>0.52772473939934239</c:v>
                </c:pt>
                <c:pt idx="13176">
                  <c:v>0.55072402215354233</c:v>
                </c:pt>
                <c:pt idx="13177">
                  <c:v>0.5668066917751281</c:v>
                </c:pt>
                <c:pt idx="13178">
                  <c:v>0.57420020437246666</c:v>
                </c:pt>
                <c:pt idx="13179">
                  <c:v>0.52132615004591476</c:v>
                </c:pt>
                <c:pt idx="13180">
                  <c:v>0.55505440453907118</c:v>
                </c:pt>
                <c:pt idx="13181">
                  <c:v>0.53851881520484202</c:v>
                </c:pt>
                <c:pt idx="13182">
                  <c:v>0.56655969030117259</c:v>
                </c:pt>
                <c:pt idx="13183">
                  <c:v>0.56648074270755899</c:v>
                </c:pt>
                <c:pt idx="13184">
                  <c:v>0.55935185746055527</c:v>
                </c:pt>
                <c:pt idx="13185">
                  <c:v>0.56800413382433534</c:v>
                </c:pt>
                <c:pt idx="13186">
                  <c:v>0.58035226420533337</c:v>
                </c:pt>
                <c:pt idx="13187">
                  <c:v>0.57707258382164628</c:v>
                </c:pt>
                <c:pt idx="13188">
                  <c:v>0.59425859462646391</c:v>
                </c:pt>
                <c:pt idx="13189">
                  <c:v>0.60407391533776689</c:v>
                </c:pt>
                <c:pt idx="13190">
                  <c:v>0.58032783788582731</c:v>
                </c:pt>
                <c:pt idx="13191">
                  <c:v>0.50588697465991983</c:v>
                </c:pt>
                <c:pt idx="13192">
                  <c:v>0.48958319370861564</c:v>
                </c:pt>
                <c:pt idx="13193">
                  <c:v>0.5810780346562302</c:v>
                </c:pt>
                <c:pt idx="13194">
                  <c:v>0.57361750653230603</c:v>
                </c:pt>
                <c:pt idx="13195">
                  <c:v>0.58293607677433901</c:v>
                </c:pt>
                <c:pt idx="13196">
                  <c:v>0.56037046218302455</c:v>
                </c:pt>
                <c:pt idx="13197">
                  <c:v>0.57873969339824227</c:v>
                </c:pt>
                <c:pt idx="13198">
                  <c:v>0.59216553890246304</c:v>
                </c:pt>
                <c:pt idx="13199">
                  <c:v>0.57378057851954356</c:v>
                </c:pt>
                <c:pt idx="13200">
                  <c:v>0.56467813439420911</c:v>
                </c:pt>
                <c:pt idx="13201">
                  <c:v>0.59600506225055638</c:v>
                </c:pt>
                <c:pt idx="13202">
                  <c:v>0.59431021448226962</c:v>
                </c:pt>
                <c:pt idx="13203">
                  <c:v>0.55544682205507057</c:v>
                </c:pt>
                <c:pt idx="13204">
                  <c:v>0.56368631816526527</c:v>
                </c:pt>
                <c:pt idx="13205">
                  <c:v>0.55901894416397369</c:v>
                </c:pt>
                <c:pt idx="13206">
                  <c:v>0.54898976678984124</c:v>
                </c:pt>
                <c:pt idx="13207">
                  <c:v>0.54727097625213017</c:v>
                </c:pt>
                <c:pt idx="13208">
                  <c:v>0.55491658127197052</c:v>
                </c:pt>
                <c:pt idx="13209">
                  <c:v>0.57174457521871602</c:v>
                </c:pt>
                <c:pt idx="13210">
                  <c:v>0.56878809509684747</c:v>
                </c:pt>
                <c:pt idx="13211">
                  <c:v>0.53479699260921576</c:v>
                </c:pt>
                <c:pt idx="13212">
                  <c:v>0.55405755854112848</c:v>
                </c:pt>
                <c:pt idx="13213">
                  <c:v>0.57125380685822569</c:v>
                </c:pt>
                <c:pt idx="13214">
                  <c:v>0.54749792364166572</c:v>
                </c:pt>
                <c:pt idx="13215">
                  <c:v>0.53074113971452241</c:v>
                </c:pt>
                <c:pt idx="13216">
                  <c:v>0.55357090182598312</c:v>
                </c:pt>
                <c:pt idx="13217">
                  <c:v>0.52938286685408575</c:v>
                </c:pt>
                <c:pt idx="13218">
                  <c:v>0.50634102483262566</c:v>
                </c:pt>
                <c:pt idx="13219">
                  <c:v>0.51382438893257498</c:v>
                </c:pt>
                <c:pt idx="13220">
                  <c:v>0.51746114578027558</c:v>
                </c:pt>
                <c:pt idx="13221">
                  <c:v>0.52501317368971101</c:v>
                </c:pt>
                <c:pt idx="13222">
                  <c:v>0.59860493476876597</c:v>
                </c:pt>
                <c:pt idx="13223">
                  <c:v>0.60812460707645422</c:v>
                </c:pt>
                <c:pt idx="13224">
                  <c:v>0.51757458543492696</c:v>
                </c:pt>
                <c:pt idx="13225">
                  <c:v>0.5374902915372074</c:v>
                </c:pt>
                <c:pt idx="13226">
                  <c:v>0.50920480808551882</c:v>
                </c:pt>
                <c:pt idx="13227">
                  <c:v>0.5144727075278287</c:v>
                </c:pt>
                <c:pt idx="13228">
                  <c:v>0.53812274326920884</c:v>
                </c:pt>
                <c:pt idx="13229">
                  <c:v>0.51019435013873726</c:v>
                </c:pt>
                <c:pt idx="13230">
                  <c:v>0.51781231685327955</c:v>
                </c:pt>
                <c:pt idx="13231">
                  <c:v>0.54790792600782923</c:v>
                </c:pt>
                <c:pt idx="13232">
                  <c:v>0.51207667921270461</c:v>
                </c:pt>
                <c:pt idx="13233">
                  <c:v>0.54726432489264776</c:v>
                </c:pt>
                <c:pt idx="13234">
                  <c:v>0.52228665905741245</c:v>
                </c:pt>
                <c:pt idx="13235">
                  <c:v>0.53010949906843485</c:v>
                </c:pt>
                <c:pt idx="13236">
                  <c:v>0.54076655302492949</c:v>
                </c:pt>
                <c:pt idx="13237">
                  <c:v>0.52094744938253135</c:v>
                </c:pt>
                <c:pt idx="13238">
                  <c:v>0.50085960527094919</c:v>
                </c:pt>
                <c:pt idx="13239">
                  <c:v>0.52161972642976395</c:v>
                </c:pt>
                <c:pt idx="13240">
                  <c:v>0.4980641079294853</c:v>
                </c:pt>
                <c:pt idx="13241">
                  <c:v>0.5239592709735087</c:v>
                </c:pt>
                <c:pt idx="13242">
                  <c:v>0.51743660725951235</c:v>
                </c:pt>
                <c:pt idx="13243">
                  <c:v>0.53787850752963307</c:v>
                </c:pt>
                <c:pt idx="13244">
                  <c:v>0.52322643251811707</c:v>
                </c:pt>
                <c:pt idx="13245">
                  <c:v>0.51213557941292898</c:v>
                </c:pt>
                <c:pt idx="13246">
                  <c:v>0.5166506416381762</c:v>
                </c:pt>
                <c:pt idx="13247">
                  <c:v>0.52292703614180303</c:v>
                </c:pt>
                <c:pt idx="13248">
                  <c:v>0.57287392462465503</c:v>
                </c:pt>
                <c:pt idx="13249">
                  <c:v>0.5816106422026226</c:v>
                </c:pt>
                <c:pt idx="13250">
                  <c:v>0.54365700731921129</c:v>
                </c:pt>
                <c:pt idx="13251">
                  <c:v>0.56093741846518119</c:v>
                </c:pt>
                <c:pt idx="13252">
                  <c:v>0.52055662955148996</c:v>
                </c:pt>
                <c:pt idx="13253">
                  <c:v>0.5201786990973809</c:v>
                </c:pt>
                <c:pt idx="13254">
                  <c:v>0.52064241746140771</c:v>
                </c:pt>
                <c:pt idx="13255">
                  <c:v>0.51441624910229511</c:v>
                </c:pt>
                <c:pt idx="13256">
                  <c:v>0.51402854684638732</c:v>
                </c:pt>
                <c:pt idx="13257">
                  <c:v>0.5063368291070206</c:v>
                </c:pt>
                <c:pt idx="13258">
                  <c:v>0.50817729249040533</c:v>
                </c:pt>
                <c:pt idx="13259">
                  <c:v>0.47232559686457198</c:v>
                </c:pt>
                <c:pt idx="13260">
                  <c:v>0.52790353615602903</c:v>
                </c:pt>
                <c:pt idx="13261">
                  <c:v>0.51739056080944945</c:v>
                </c:pt>
                <c:pt idx="13262">
                  <c:v>0.53877902011406931</c:v>
                </c:pt>
                <c:pt idx="13263">
                  <c:v>0.54633978083302648</c:v>
                </c:pt>
                <c:pt idx="13264">
                  <c:v>0.51888779858714928</c:v>
                </c:pt>
                <c:pt idx="13265">
                  <c:v>0.52556059803794752</c:v>
                </c:pt>
                <c:pt idx="13266">
                  <c:v>0.53227256712451132</c:v>
                </c:pt>
                <c:pt idx="13267">
                  <c:v>0.52363618882339091</c:v>
                </c:pt>
                <c:pt idx="13268">
                  <c:v>0.49111477627553202</c:v>
                </c:pt>
                <c:pt idx="13269">
                  <c:v>0.5031647937584659</c:v>
                </c:pt>
                <c:pt idx="13270">
                  <c:v>0.50792101098279208</c:v>
                </c:pt>
                <c:pt idx="13271">
                  <c:v>0.507351689652764</c:v>
                </c:pt>
                <c:pt idx="13272">
                  <c:v>0.52689510285181784</c:v>
                </c:pt>
                <c:pt idx="13273">
                  <c:v>0.50161020629663633</c:v>
                </c:pt>
                <c:pt idx="13274">
                  <c:v>0.5097827177521107</c:v>
                </c:pt>
                <c:pt idx="13275">
                  <c:v>0.54272573933556234</c:v>
                </c:pt>
                <c:pt idx="13276">
                  <c:v>0.52237562781825619</c:v>
                </c:pt>
                <c:pt idx="13277">
                  <c:v>0.51709833573942321</c:v>
                </c:pt>
                <c:pt idx="13278">
                  <c:v>0.50421523997964157</c:v>
                </c:pt>
                <c:pt idx="13279">
                  <c:v>0.52811264010945003</c:v>
                </c:pt>
                <c:pt idx="13280">
                  <c:v>0.49554364378474119</c:v>
                </c:pt>
                <c:pt idx="13281">
                  <c:v>0.50017209454448797</c:v>
                </c:pt>
                <c:pt idx="13282">
                  <c:v>0.52218162115255295</c:v>
                </c:pt>
                <c:pt idx="13283">
                  <c:v>0.50998220753343337</c:v>
                </c:pt>
                <c:pt idx="13284">
                  <c:v>0.53166434674088514</c:v>
                </c:pt>
                <c:pt idx="13285">
                  <c:v>0.52168962743413172</c:v>
                </c:pt>
                <c:pt idx="13286">
                  <c:v>0.52212746125096587</c:v>
                </c:pt>
                <c:pt idx="13287">
                  <c:v>0.49907974535722971</c:v>
                </c:pt>
                <c:pt idx="13288">
                  <c:v>0.51268853106509027</c:v>
                </c:pt>
                <c:pt idx="13289">
                  <c:v>0.52008206699793136</c:v>
                </c:pt>
                <c:pt idx="13290">
                  <c:v>0.50828119103082048</c:v>
                </c:pt>
                <c:pt idx="13291">
                  <c:v>0.51407269085582308</c:v>
                </c:pt>
                <c:pt idx="13292">
                  <c:v>0.53506906427785517</c:v>
                </c:pt>
                <c:pt idx="13293">
                  <c:v>0.5447783412063032</c:v>
                </c:pt>
                <c:pt idx="13294">
                  <c:v>0.52262834576889461</c:v>
                </c:pt>
                <c:pt idx="13295">
                  <c:v>0.52154301836264394</c:v>
                </c:pt>
                <c:pt idx="13296">
                  <c:v>0.53356172151070902</c:v>
                </c:pt>
                <c:pt idx="13297">
                  <c:v>0.51880889673219677</c:v>
                </c:pt>
                <c:pt idx="13298">
                  <c:v>0.50588453588870053</c:v>
                </c:pt>
                <c:pt idx="13299">
                  <c:v>0.52351677612599734</c:v>
                </c:pt>
                <c:pt idx="13300">
                  <c:v>0.49694237243850703</c:v>
                </c:pt>
                <c:pt idx="13301">
                  <c:v>0.53841813401211591</c:v>
                </c:pt>
                <c:pt idx="13302">
                  <c:v>0.53470546117210127</c:v>
                </c:pt>
                <c:pt idx="13303">
                  <c:v>0.51113854236042255</c:v>
                </c:pt>
                <c:pt idx="13304">
                  <c:v>0.48441046355555906</c:v>
                </c:pt>
                <c:pt idx="13305">
                  <c:v>0.52279335459101561</c:v>
                </c:pt>
                <c:pt idx="13306">
                  <c:v>0.5296197393845109</c:v>
                </c:pt>
                <c:pt idx="13307">
                  <c:v>0.51721569815887436</c:v>
                </c:pt>
                <c:pt idx="13308">
                  <c:v>0.54114685584455169</c:v>
                </c:pt>
                <c:pt idx="13309">
                  <c:v>0.55056990448436294</c:v>
                </c:pt>
                <c:pt idx="13310">
                  <c:v>0.52396914817001228</c:v>
                </c:pt>
                <c:pt idx="13311">
                  <c:v>0.55171829930970229</c:v>
                </c:pt>
                <c:pt idx="13312">
                  <c:v>0.37523221392165201</c:v>
                </c:pt>
                <c:pt idx="13313">
                  <c:v>0.54127725439186225</c:v>
                </c:pt>
                <c:pt idx="13314">
                  <c:v>0.55348008623481582</c:v>
                </c:pt>
                <c:pt idx="13315">
                  <c:v>0.53351697206834681</c:v>
                </c:pt>
                <c:pt idx="13316">
                  <c:v>0.58048841005795249</c:v>
                </c:pt>
                <c:pt idx="13317">
                  <c:v>0.55919681728625448</c:v>
                </c:pt>
                <c:pt idx="13318">
                  <c:v>0.53041730336078396</c:v>
                </c:pt>
                <c:pt idx="13319">
                  <c:v>0.54487656801695716</c:v>
                </c:pt>
                <c:pt idx="13320">
                  <c:v>0.55805892260436862</c:v>
                </c:pt>
                <c:pt idx="13321">
                  <c:v>0.51913296036506684</c:v>
                </c:pt>
                <c:pt idx="13322">
                  <c:v>0.55523705279380087</c:v>
                </c:pt>
                <c:pt idx="13323">
                  <c:v>0.5373860953982279</c:v>
                </c:pt>
                <c:pt idx="13324">
                  <c:v>0.59900606898095876</c:v>
                </c:pt>
                <c:pt idx="13325">
                  <c:v>0.52774020023940327</c:v>
                </c:pt>
                <c:pt idx="13326">
                  <c:v>0.55153514062303088</c:v>
                </c:pt>
                <c:pt idx="13327">
                  <c:v>0.54533990384287012</c:v>
                </c:pt>
                <c:pt idx="13328">
                  <c:v>0.54343624491845077</c:v>
                </c:pt>
                <c:pt idx="13329">
                  <c:v>0.60682263774359435</c:v>
                </c:pt>
                <c:pt idx="13330">
                  <c:v>0.53689766574326414</c:v>
                </c:pt>
                <c:pt idx="13331">
                  <c:v>0.57646897025563471</c:v>
                </c:pt>
                <c:pt idx="13332">
                  <c:v>0.57554783669493337</c:v>
                </c:pt>
                <c:pt idx="13333">
                  <c:v>0.57978645380795035</c:v>
                </c:pt>
                <c:pt idx="13334">
                  <c:v>0.59083436993286975</c:v>
                </c:pt>
                <c:pt idx="13335">
                  <c:v>0.58505399434903549</c:v>
                </c:pt>
                <c:pt idx="13336">
                  <c:v>0.606279336923081</c:v>
                </c:pt>
                <c:pt idx="13337">
                  <c:v>0.51647257182738104</c:v>
                </c:pt>
                <c:pt idx="13338">
                  <c:v>0.48190362455225383</c:v>
                </c:pt>
                <c:pt idx="13339">
                  <c:v>0.57825470637969001</c:v>
                </c:pt>
                <c:pt idx="13340">
                  <c:v>0.57774942777948401</c:v>
                </c:pt>
                <c:pt idx="13341">
                  <c:v>0.5900073173482997</c:v>
                </c:pt>
                <c:pt idx="13342">
                  <c:v>0.56552599110209811</c:v>
                </c:pt>
                <c:pt idx="13343">
                  <c:v>0.56603813484757359</c:v>
                </c:pt>
                <c:pt idx="13344">
                  <c:v>0.58919702848339561</c:v>
                </c:pt>
                <c:pt idx="13345">
                  <c:v>0.59261183353019875</c:v>
                </c:pt>
                <c:pt idx="13346">
                  <c:v>0.5625390931564519</c:v>
                </c:pt>
                <c:pt idx="13347">
                  <c:v>0.58721421623190173</c:v>
                </c:pt>
                <c:pt idx="13348">
                  <c:v>0.57571779963585157</c:v>
                </c:pt>
                <c:pt idx="13349">
                  <c:v>0.55246367242688732</c:v>
                </c:pt>
                <c:pt idx="13350">
                  <c:v>0.57668807136382005</c:v>
                </c:pt>
                <c:pt idx="13351">
                  <c:v>0.55000025797974583</c:v>
                </c:pt>
                <c:pt idx="13352">
                  <c:v>0.55031801643389344</c:v>
                </c:pt>
                <c:pt idx="13353">
                  <c:v>0.5353194425979162</c:v>
                </c:pt>
                <c:pt idx="13354">
                  <c:v>0.54213660511970574</c:v>
                </c:pt>
                <c:pt idx="13355">
                  <c:v>0.55593512531529199</c:v>
                </c:pt>
                <c:pt idx="13356">
                  <c:v>0.58161508070091239</c:v>
                </c:pt>
                <c:pt idx="13357">
                  <c:v>0.54763959787535799</c:v>
                </c:pt>
                <c:pt idx="13358">
                  <c:v>0.53853666137039047</c:v>
                </c:pt>
                <c:pt idx="13359">
                  <c:v>0.56895896607355789</c:v>
                </c:pt>
                <c:pt idx="13360">
                  <c:v>0.53243484488530723</c:v>
                </c:pt>
                <c:pt idx="13361">
                  <c:v>0.53683130586674521</c:v>
                </c:pt>
                <c:pt idx="13362">
                  <c:v>0.55598221114741531</c:v>
                </c:pt>
                <c:pt idx="13363">
                  <c:v>0.53229016183127442</c:v>
                </c:pt>
                <c:pt idx="13364">
                  <c:v>0.50493956596687739</c:v>
                </c:pt>
                <c:pt idx="13365">
                  <c:v>0.50154917684354594</c:v>
                </c:pt>
                <c:pt idx="13366">
                  <c:v>0.51631995801094011</c:v>
                </c:pt>
                <c:pt idx="13367">
                  <c:v>0.52113965344029067</c:v>
                </c:pt>
                <c:pt idx="13368">
                  <c:v>0.55199155233982478</c:v>
                </c:pt>
                <c:pt idx="13369">
                  <c:v>0.65390894946227052</c:v>
                </c:pt>
                <c:pt idx="13370">
                  <c:v>0.51167337895264564</c:v>
                </c:pt>
                <c:pt idx="13371">
                  <c:v>0.52980583619619903</c:v>
                </c:pt>
                <c:pt idx="13372">
                  <c:v>0.52132615004591476</c:v>
                </c:pt>
                <c:pt idx="13373">
                  <c:v>0.50465623065129728</c:v>
                </c:pt>
                <c:pt idx="13374">
                  <c:v>0.52531515221549685</c:v>
                </c:pt>
                <c:pt idx="13375">
                  <c:v>0.51417159969403148</c:v>
                </c:pt>
                <c:pt idx="13376">
                  <c:v>0.52510560400862294</c:v>
                </c:pt>
                <c:pt idx="13377">
                  <c:v>0.53400007300432084</c:v>
                </c:pt>
                <c:pt idx="13378">
                  <c:v>0.52579361079940723</c:v>
                </c:pt>
                <c:pt idx="13379">
                  <c:v>0.53285523567635884</c:v>
                </c:pt>
                <c:pt idx="13380">
                  <c:v>0.52995622007876153</c:v>
                </c:pt>
                <c:pt idx="13381">
                  <c:v>0.52222820631491584</c:v>
                </c:pt>
                <c:pt idx="13382">
                  <c:v>0.5221225016935036</c:v>
                </c:pt>
                <c:pt idx="13383">
                  <c:v>0.53824587860263673</c:v>
                </c:pt>
                <c:pt idx="13384">
                  <c:v>0.48522212669870995</c:v>
                </c:pt>
                <c:pt idx="13385">
                  <c:v>0.52612660198432948</c:v>
                </c:pt>
                <c:pt idx="13386">
                  <c:v>0.49673956806919473</c:v>
                </c:pt>
                <c:pt idx="13387">
                  <c:v>0.50356244831450514</c:v>
                </c:pt>
                <c:pt idx="13388">
                  <c:v>0.50642736657204623</c:v>
                </c:pt>
                <c:pt idx="13389">
                  <c:v>0.53300813150354764</c:v>
                </c:pt>
                <c:pt idx="13390">
                  <c:v>0.52126900637056728</c:v>
                </c:pt>
                <c:pt idx="13391">
                  <c:v>0.52736731175157403</c:v>
                </c:pt>
                <c:pt idx="13392">
                  <c:v>0.50707816630476954</c:v>
                </c:pt>
                <c:pt idx="13393">
                  <c:v>0.50390203332234873</c:v>
                </c:pt>
                <c:pt idx="13394">
                  <c:v>0.5560206004325825</c:v>
                </c:pt>
                <c:pt idx="13395">
                  <c:v>0.57958869181143657</c:v>
                </c:pt>
                <c:pt idx="13396">
                  <c:v>0.54525403278507822</c:v>
                </c:pt>
                <c:pt idx="13397">
                  <c:v>0.55360986900423304</c:v>
                </c:pt>
                <c:pt idx="13398">
                  <c:v>0.52578416326930466</c:v>
                </c:pt>
                <c:pt idx="13399">
                  <c:v>0.49626483490355311</c:v>
                </c:pt>
                <c:pt idx="13400">
                  <c:v>0.50754609039096565</c:v>
                </c:pt>
                <c:pt idx="13401">
                  <c:v>0.50994650478978265</c:v>
                </c:pt>
                <c:pt idx="13402">
                  <c:v>0.51333814668183564</c:v>
                </c:pt>
                <c:pt idx="13403">
                  <c:v>0.51463632907624901</c:v>
                </c:pt>
                <c:pt idx="13404">
                  <c:v>0.48862558354371105</c:v>
                </c:pt>
                <c:pt idx="13405">
                  <c:v>0.47980743805197035</c:v>
                </c:pt>
                <c:pt idx="13406">
                  <c:v>0.51595433961869053</c:v>
                </c:pt>
                <c:pt idx="13407">
                  <c:v>0.50634576189346236</c:v>
                </c:pt>
                <c:pt idx="13408">
                  <c:v>0.5324678539125326</c:v>
                </c:pt>
                <c:pt idx="13409">
                  <c:v>0.54187915299408396</c:v>
                </c:pt>
                <c:pt idx="13410">
                  <c:v>0.53100770745792236</c:v>
                </c:pt>
                <c:pt idx="13411">
                  <c:v>0.51374775506888559</c:v>
                </c:pt>
                <c:pt idx="13412">
                  <c:v>0.52856758253260538</c:v>
                </c:pt>
                <c:pt idx="13413">
                  <c:v>0.50557185329782406</c:v>
                </c:pt>
                <c:pt idx="13414">
                  <c:v>0.50849887960151741</c:v>
                </c:pt>
                <c:pt idx="13415">
                  <c:v>0.47749270713427361</c:v>
                </c:pt>
                <c:pt idx="13416">
                  <c:v>0.50292899994712559</c:v>
                </c:pt>
                <c:pt idx="13417">
                  <c:v>0.48552878977386382</c:v>
                </c:pt>
                <c:pt idx="13418">
                  <c:v>0.52770927800885759</c:v>
                </c:pt>
                <c:pt idx="13419">
                  <c:v>0.49419829966127832</c:v>
                </c:pt>
                <c:pt idx="13420">
                  <c:v>0.502950825456145</c:v>
                </c:pt>
                <c:pt idx="13421">
                  <c:v>0.52809693505833</c:v>
                </c:pt>
                <c:pt idx="13422">
                  <c:v>0.52884782444880563</c:v>
                </c:pt>
                <c:pt idx="13423">
                  <c:v>0.50803440825202273</c:v>
                </c:pt>
                <c:pt idx="13424">
                  <c:v>0.50141176076417415</c:v>
                </c:pt>
                <c:pt idx="13425">
                  <c:v>0.50985038808211502</c:v>
                </c:pt>
                <c:pt idx="13426">
                  <c:v>0.49467154209401198</c:v>
                </c:pt>
                <c:pt idx="13427">
                  <c:v>0.4888181200802828</c:v>
                </c:pt>
                <c:pt idx="13428">
                  <c:v>0.5108288173651383</c:v>
                </c:pt>
                <c:pt idx="13429">
                  <c:v>0.50477496603068062</c:v>
                </c:pt>
                <c:pt idx="13430">
                  <c:v>0.52340201534386754</c:v>
                </c:pt>
                <c:pt idx="13431">
                  <c:v>0.51317496784233263</c:v>
                </c:pt>
                <c:pt idx="13432">
                  <c:v>0.51030541195356127</c:v>
                </c:pt>
                <c:pt idx="13433">
                  <c:v>0.49483848666546898</c:v>
                </c:pt>
                <c:pt idx="13434">
                  <c:v>0.50550880157810019</c:v>
                </c:pt>
                <c:pt idx="13435">
                  <c:v>0.51740190795245333</c:v>
                </c:pt>
                <c:pt idx="13436">
                  <c:v>0.50292518037027545</c:v>
                </c:pt>
                <c:pt idx="13437">
                  <c:v>0.50652667894237857</c:v>
                </c:pt>
                <c:pt idx="13438">
                  <c:v>0.52865771674721829</c:v>
                </c:pt>
                <c:pt idx="13439">
                  <c:v>0.53962276480918825</c:v>
                </c:pt>
                <c:pt idx="13440">
                  <c:v>0.52699010195870089</c:v>
                </c:pt>
                <c:pt idx="13441">
                  <c:v>0.51455797904603295</c:v>
                </c:pt>
                <c:pt idx="13442">
                  <c:v>0.54108801379610172</c:v>
                </c:pt>
                <c:pt idx="13443">
                  <c:v>0.52105998216195637</c:v>
                </c:pt>
                <c:pt idx="13444">
                  <c:v>0.50350046650510838</c:v>
                </c:pt>
                <c:pt idx="13445">
                  <c:v>0.49756209548109132</c:v>
                </c:pt>
                <c:pt idx="13446">
                  <c:v>0.50737882998181905</c:v>
                </c:pt>
                <c:pt idx="13447">
                  <c:v>0.53340291641704252</c:v>
                </c:pt>
                <c:pt idx="13448">
                  <c:v>0.54220839021753209</c:v>
                </c:pt>
                <c:pt idx="13449">
                  <c:v>0.50699506213556567</c:v>
                </c:pt>
                <c:pt idx="13450">
                  <c:v>0.50389890283697336</c:v>
                </c:pt>
                <c:pt idx="13451">
                  <c:v>0.51500345629266675</c:v>
                </c:pt>
                <c:pt idx="13452">
                  <c:v>0.5283125080737513</c:v>
                </c:pt>
                <c:pt idx="13453">
                  <c:v>0.53396438613902975</c:v>
                </c:pt>
                <c:pt idx="13454">
                  <c:v>0.53688580749800963</c:v>
                </c:pt>
                <c:pt idx="13455">
                  <c:v>0.55288591703559897</c:v>
                </c:pt>
                <c:pt idx="13456">
                  <c:v>0.52315404413703137</c:v>
                </c:pt>
                <c:pt idx="13457">
                  <c:v>0.48831856072172963</c:v>
                </c:pt>
                <c:pt idx="13458">
                  <c:v>0.52741824350513755</c:v>
                </c:pt>
                <c:pt idx="13459">
                  <c:v>0.54590111197553592</c:v>
                </c:pt>
                <c:pt idx="13460">
                  <c:v>0.54002623891290502</c:v>
                </c:pt>
                <c:pt idx="13461">
                  <c:v>0.56247178072085546</c:v>
                </c:pt>
                <c:pt idx="13462">
                  <c:v>0.5349426171380034</c:v>
                </c:pt>
                <c:pt idx="13463">
                  <c:v>0.54236687362066371</c:v>
                </c:pt>
                <c:pt idx="13464">
                  <c:v>0.10900180438518148</c:v>
                </c:pt>
                <c:pt idx="13465">
                  <c:v>0.53902526076963464</c:v>
                </c:pt>
                <c:pt idx="13466">
                  <c:v>0.53462595769151067</c:v>
                </c:pt>
                <c:pt idx="13467">
                  <c:v>0.52500785802411354</c:v>
                </c:pt>
                <c:pt idx="13468">
                  <c:v>0.50680906738925491</c:v>
                </c:pt>
                <c:pt idx="13469">
                  <c:v>0.52200175815121774</c:v>
                </c:pt>
                <c:pt idx="13470">
                  <c:v>0.53900994543329228</c:v>
                </c:pt>
                <c:pt idx="13471">
                  <c:v>0.59445056293905019</c:v>
                </c:pt>
                <c:pt idx="13472">
                  <c:v>0.5241941834076197</c:v>
                </c:pt>
                <c:pt idx="13473">
                  <c:v>0.53750414887412523</c:v>
                </c:pt>
                <c:pt idx="13474">
                  <c:v>0.54144519099724153</c:v>
                </c:pt>
                <c:pt idx="13475">
                  <c:v>0.52577277419268387</c:v>
                </c:pt>
                <c:pt idx="13476">
                  <c:v>0.53247753948303778</c:v>
                </c:pt>
                <c:pt idx="13477">
                  <c:v>0.54710700286241865</c:v>
                </c:pt>
                <c:pt idx="13478">
                  <c:v>0.56402562917846777</c:v>
                </c:pt>
                <c:pt idx="13479">
                  <c:v>0.48354293818998467</c:v>
                </c:pt>
                <c:pt idx="13480">
                  <c:v>0.45799855041955495</c:v>
                </c:pt>
                <c:pt idx="13481">
                  <c:v>0.44745340622626933</c:v>
                </c:pt>
                <c:pt idx="13482">
                  <c:v>0.48405414429326199</c:v>
                </c:pt>
                <c:pt idx="13483">
                  <c:v>0.54136279155823908</c:v>
                </c:pt>
                <c:pt idx="13484">
                  <c:v>0.53786755711581413</c:v>
                </c:pt>
                <c:pt idx="13485">
                  <c:v>0.49315819368546326</c:v>
                </c:pt>
                <c:pt idx="13486">
                  <c:v>0.5200283003471855</c:v>
                </c:pt>
                <c:pt idx="13487">
                  <c:v>0.53236818194175783</c:v>
                </c:pt>
                <c:pt idx="13488">
                  <c:v>0.52294631624483701</c:v>
                </c:pt>
                <c:pt idx="13489">
                  <c:v>0.51787044433655183</c:v>
                </c:pt>
                <c:pt idx="13490">
                  <c:v>0.53383812507684358</c:v>
                </c:pt>
                <c:pt idx="13491">
                  <c:v>0.48892999448958252</c:v>
                </c:pt>
                <c:pt idx="13492">
                  <c:v>0.51084127490294051</c:v>
                </c:pt>
                <c:pt idx="13493">
                  <c:v>0.50164687457881352</c:v>
                </c:pt>
                <c:pt idx="13494">
                  <c:v>0.50904410368901776</c:v>
                </c:pt>
                <c:pt idx="13495">
                  <c:v>0.50860418230771087</c:v>
                </c:pt>
                <c:pt idx="13496">
                  <c:v>0.50952818828610502</c:v>
                </c:pt>
                <c:pt idx="13497">
                  <c:v>0.47996034727477577</c:v>
                </c:pt>
                <c:pt idx="13498">
                  <c:v>0.49892543775244153</c:v>
                </c:pt>
                <c:pt idx="13499">
                  <c:v>0.50275626692133724</c:v>
                </c:pt>
                <c:pt idx="13500">
                  <c:v>0.480727963212427</c:v>
                </c:pt>
                <c:pt idx="13501">
                  <c:v>0.49585378350272785</c:v>
                </c:pt>
                <c:pt idx="13502">
                  <c:v>0.50357048486830414</c:v>
                </c:pt>
                <c:pt idx="13503">
                  <c:v>0.49495368408616142</c:v>
                </c:pt>
                <c:pt idx="13504">
                  <c:v>0.53082263675817376</c:v>
                </c:pt>
                <c:pt idx="13505">
                  <c:v>0.53183948720762886</c:v>
                </c:pt>
                <c:pt idx="13506">
                  <c:v>0.55042099027154612</c:v>
                </c:pt>
                <c:pt idx="13507">
                  <c:v>0.56171051959246887</c:v>
                </c:pt>
                <c:pt idx="13508">
                  <c:v>0.55866021958866208</c:v>
                </c:pt>
                <c:pt idx="13509">
                  <c:v>0.54874088854900904</c:v>
                </c:pt>
                <c:pt idx="13510">
                  <c:v>0.55391978241471118</c:v>
                </c:pt>
                <c:pt idx="13511">
                  <c:v>0.55904411931440046</c:v>
                </c:pt>
                <c:pt idx="13512">
                  <c:v>0.56387533121966216</c:v>
                </c:pt>
                <c:pt idx="13513">
                  <c:v>0.55572981973392566</c:v>
                </c:pt>
                <c:pt idx="13514">
                  <c:v>0.56283260088804987</c:v>
                </c:pt>
                <c:pt idx="13515">
                  <c:v>0.56397940742681196</c:v>
                </c:pt>
                <c:pt idx="13516">
                  <c:v>0.56059914916025544</c:v>
                </c:pt>
                <c:pt idx="13517">
                  <c:v>0.55255822957783673</c:v>
                </c:pt>
                <c:pt idx="13518">
                  <c:v>0.55583755688228897</c:v>
                </c:pt>
                <c:pt idx="13519">
                  <c:v>0.54838241530829324</c:v>
                </c:pt>
                <c:pt idx="13520">
                  <c:v>0.54425115393025136</c:v>
                </c:pt>
                <c:pt idx="13521">
                  <c:v>0.54075429981256273</c:v>
                </c:pt>
                <c:pt idx="13522">
                  <c:v>0.55160648657929923</c:v>
                </c:pt>
                <c:pt idx="13523">
                  <c:v>0.5532821201433219</c:v>
                </c:pt>
                <c:pt idx="13524">
                  <c:v>0.55563437998198972</c:v>
                </c:pt>
                <c:pt idx="13525">
                  <c:v>0.55674682205712911</c:v>
                </c:pt>
                <c:pt idx="13526">
                  <c:v>0.54587071478085691</c:v>
                </c:pt>
                <c:pt idx="13527">
                  <c:v>0.53875967658618984</c:v>
                </c:pt>
                <c:pt idx="13528">
                  <c:v>0.53576437214889805</c:v>
                </c:pt>
                <c:pt idx="13529">
                  <c:v>0.54117009063618982</c:v>
                </c:pt>
                <c:pt idx="13530">
                  <c:v>0.53441438472175329</c:v>
                </c:pt>
                <c:pt idx="13531">
                  <c:v>0.55225245695809844</c:v>
                </c:pt>
                <c:pt idx="13532">
                  <c:v>0.56227299354203308</c:v>
                </c:pt>
                <c:pt idx="13533">
                  <c:v>0.53785018692754427</c:v>
                </c:pt>
                <c:pt idx="13534">
                  <c:v>0.55036229083833832</c:v>
                </c:pt>
                <c:pt idx="13535">
                  <c:v>0.55688972814267101</c:v>
                </c:pt>
                <c:pt idx="13536">
                  <c:v>0.5540700484057921</c:v>
                </c:pt>
                <c:pt idx="13537">
                  <c:v>0.55933209111965354</c:v>
                </c:pt>
                <c:pt idx="13538">
                  <c:v>0.55794620685992402</c:v>
                </c:pt>
                <c:pt idx="13539">
                  <c:v>0.56299288243186052</c:v>
                </c:pt>
                <c:pt idx="13540">
                  <c:v>0.56140158734359635</c:v>
                </c:pt>
                <c:pt idx="13541">
                  <c:v>0.56217529157106472</c:v>
                </c:pt>
                <c:pt idx="13542">
                  <c:v>0.56436349111063966</c:v>
                </c:pt>
                <c:pt idx="13543">
                  <c:v>0.57680258628064018</c:v>
                </c:pt>
                <c:pt idx="13544">
                  <c:v>0.58187232227938057</c:v>
                </c:pt>
                <c:pt idx="13545">
                  <c:v>0.59239607070739919</c:v>
                </c:pt>
                <c:pt idx="13546">
                  <c:v>0.56958140831678794</c:v>
                </c:pt>
                <c:pt idx="13547">
                  <c:v>0.57597302292877728</c:v>
                </c:pt>
                <c:pt idx="13548">
                  <c:v>0.54907661970003951</c:v>
                </c:pt>
                <c:pt idx="13549">
                  <c:v>0.51488775047611401</c:v>
                </c:pt>
                <c:pt idx="13550">
                  <c:v>0.49096280034787898</c:v>
                </c:pt>
                <c:pt idx="13551">
                  <c:v>0.48373317829594364</c:v>
                </c:pt>
                <c:pt idx="13552">
                  <c:v>0.49250210950911377</c:v>
                </c:pt>
                <c:pt idx="13553">
                  <c:v>0.47792511321859488</c:v>
                </c:pt>
                <c:pt idx="13554">
                  <c:v>0.48164940664052236</c:v>
                </c:pt>
                <c:pt idx="13555">
                  <c:v>0.47505300460835254</c:v>
                </c:pt>
                <c:pt idx="13556">
                  <c:v>0.48388513937016397</c:v>
                </c:pt>
                <c:pt idx="13557">
                  <c:v>0.47177811249484142</c:v>
                </c:pt>
                <c:pt idx="13558">
                  <c:v>0.50135303087148064</c:v>
                </c:pt>
                <c:pt idx="13559">
                  <c:v>0.47308855027488178</c:v>
                </c:pt>
                <c:pt idx="13560">
                  <c:v>0.48977165045292448</c:v>
                </c:pt>
                <c:pt idx="13561">
                  <c:v>0.50292395264201084</c:v>
                </c:pt>
                <c:pt idx="13562">
                  <c:v>0.49260242234046803</c:v>
                </c:pt>
                <c:pt idx="13563">
                  <c:v>0.49743170094134448</c:v>
                </c:pt>
                <c:pt idx="13564">
                  <c:v>0.48647426033266661</c:v>
                </c:pt>
                <c:pt idx="13565">
                  <c:v>0.49839574987375512</c:v>
                </c:pt>
                <c:pt idx="13566">
                  <c:v>0.48477929200912195</c:v>
                </c:pt>
                <c:pt idx="13567">
                  <c:v>0.49425911834812158</c:v>
                </c:pt>
                <c:pt idx="13568">
                  <c:v>0.48135576091887644</c:v>
                </c:pt>
                <c:pt idx="13569">
                  <c:v>0.48272712738935181</c:v>
                </c:pt>
                <c:pt idx="13570">
                  <c:v>0.55143145466654075</c:v>
                </c:pt>
                <c:pt idx="13571">
                  <c:v>0.54579780226835439</c:v>
                </c:pt>
                <c:pt idx="13572">
                  <c:v>0.60126450433327538</c:v>
                </c:pt>
                <c:pt idx="13573">
                  <c:v>0.60296195229195426</c:v>
                </c:pt>
                <c:pt idx="13574">
                  <c:v>0.58651765445371951</c:v>
                </c:pt>
                <c:pt idx="13575">
                  <c:v>0.59697932641284612</c:v>
                </c:pt>
                <c:pt idx="13576">
                  <c:v>0.60334100609883834</c:v>
                </c:pt>
                <c:pt idx="13577">
                  <c:v>0.59902881106217742</c:v>
                </c:pt>
                <c:pt idx="13578">
                  <c:v>0.60278509175439687</c:v>
                </c:pt>
                <c:pt idx="13579">
                  <c:v>0.60586840130189534</c:v>
                </c:pt>
                <c:pt idx="13580">
                  <c:v>0.58636830203723256</c:v>
                </c:pt>
                <c:pt idx="13581">
                  <c:v>0.615934803761642</c:v>
                </c:pt>
                <c:pt idx="13582">
                  <c:v>0.6030637878139451</c:v>
                </c:pt>
                <c:pt idx="13583">
                  <c:v>0.62727232981007075</c:v>
                </c:pt>
                <c:pt idx="13584">
                  <c:v>0.59703930105148573</c:v>
                </c:pt>
                <c:pt idx="13585">
                  <c:v>0.61043731711466409</c:v>
                </c:pt>
                <c:pt idx="13586">
                  <c:v>0.61068592194964211</c:v>
                </c:pt>
                <c:pt idx="13587">
                  <c:v>0.56220171254262752</c:v>
                </c:pt>
                <c:pt idx="13588">
                  <c:v>0.52835470924904904</c:v>
                </c:pt>
                <c:pt idx="13589">
                  <c:v>0.4876723565981802</c:v>
                </c:pt>
                <c:pt idx="13590">
                  <c:v>0.52713643220268591</c:v>
                </c:pt>
                <c:pt idx="13591">
                  <c:v>0.51714309297916294</c:v>
                </c:pt>
                <c:pt idx="13592">
                  <c:v>0.5164655638754696</c:v>
                </c:pt>
                <c:pt idx="13593">
                  <c:v>0.51490500215187984</c:v>
                </c:pt>
                <c:pt idx="13594">
                  <c:v>0.53172218154232009</c:v>
                </c:pt>
                <c:pt idx="13595">
                  <c:v>0.56358478158669234</c:v>
                </c:pt>
                <c:pt idx="13596">
                  <c:v>0.55050719068266007</c:v>
                </c:pt>
                <c:pt idx="13597">
                  <c:v>0.55223723573757766</c:v>
                </c:pt>
                <c:pt idx="13598">
                  <c:v>0.52287453260343164</c:v>
                </c:pt>
                <c:pt idx="13599">
                  <c:v>0.53015729156829683</c:v>
                </c:pt>
                <c:pt idx="13600">
                  <c:v>0.53185977953229668</c:v>
                </c:pt>
                <c:pt idx="13601">
                  <c:v>0.53546438581009215</c:v>
                </c:pt>
                <c:pt idx="13602">
                  <c:v>0.49830710699432035</c:v>
                </c:pt>
                <c:pt idx="13603">
                  <c:v>0.51711153894465178</c:v>
                </c:pt>
                <c:pt idx="13604">
                  <c:v>0.5537905775881341</c:v>
                </c:pt>
                <c:pt idx="13605">
                  <c:v>0.54236699819178547</c:v>
                </c:pt>
                <c:pt idx="13606">
                  <c:v>0.55427904875897704</c:v>
                </c:pt>
                <c:pt idx="13607">
                  <c:v>0.54228352753120823</c:v>
                </c:pt>
                <c:pt idx="13608">
                  <c:v>0.53779870163618726</c:v>
                </c:pt>
                <c:pt idx="13609">
                  <c:v>0.13133406653644933</c:v>
                </c:pt>
                <c:pt idx="13610">
                  <c:v>0.52888496221353376</c:v>
                </c:pt>
                <c:pt idx="13611">
                  <c:v>0.5259592327352649</c:v>
                </c:pt>
                <c:pt idx="13612">
                  <c:v>0.52978557590457898</c:v>
                </c:pt>
                <c:pt idx="13613">
                  <c:v>0.50535459138633487</c:v>
                </c:pt>
                <c:pt idx="13614">
                  <c:v>0.53138604473383422</c:v>
                </c:pt>
                <c:pt idx="13615">
                  <c:v>0.535290954619559</c:v>
                </c:pt>
                <c:pt idx="13616">
                  <c:v>0.58322439998877895</c:v>
                </c:pt>
                <c:pt idx="13617">
                  <c:v>0.5189168571583932</c:v>
                </c:pt>
                <c:pt idx="13618">
                  <c:v>0.54322792718802326</c:v>
                </c:pt>
                <c:pt idx="13619">
                  <c:v>0.53701850046209931</c:v>
                </c:pt>
                <c:pt idx="13620">
                  <c:v>0.5314633332547819</c:v>
                </c:pt>
                <c:pt idx="13621">
                  <c:v>0.52295426252470645</c:v>
                </c:pt>
                <c:pt idx="13622">
                  <c:v>0.54741826544016359</c:v>
                </c:pt>
                <c:pt idx="13623">
                  <c:v>0.55506408319507183</c:v>
                </c:pt>
                <c:pt idx="13624">
                  <c:v>0.49984139466337063</c:v>
                </c:pt>
                <c:pt idx="13625">
                  <c:v>0.44637823840699209</c:v>
                </c:pt>
                <c:pt idx="13626">
                  <c:v>0.46462425619389885</c:v>
                </c:pt>
                <c:pt idx="13627">
                  <c:v>0.47227890161026975</c:v>
                </c:pt>
                <c:pt idx="13628">
                  <c:v>0.53012128751950816</c:v>
                </c:pt>
                <c:pt idx="13629">
                  <c:v>0.5287718684734054</c:v>
                </c:pt>
                <c:pt idx="13630">
                  <c:v>0.50224995179436616</c:v>
                </c:pt>
                <c:pt idx="13631">
                  <c:v>0.49997038109078185</c:v>
                </c:pt>
                <c:pt idx="13632">
                  <c:v>0.52658982920942077</c:v>
                </c:pt>
                <c:pt idx="13633">
                  <c:v>0.51490394053008237</c:v>
                </c:pt>
                <c:pt idx="13634">
                  <c:v>0.50968468448658844</c:v>
                </c:pt>
                <c:pt idx="13635">
                  <c:v>0.5189899551923256</c:v>
                </c:pt>
                <c:pt idx="13636">
                  <c:v>0.4869238630835887</c:v>
                </c:pt>
                <c:pt idx="13637">
                  <c:v>0.50514278525798173</c:v>
                </c:pt>
                <c:pt idx="13638">
                  <c:v>0.5054899520824383</c:v>
                </c:pt>
                <c:pt idx="13639">
                  <c:v>0.4963498792258505</c:v>
                </c:pt>
                <c:pt idx="13640">
                  <c:v>0.5101569207375608</c:v>
                </c:pt>
                <c:pt idx="13641">
                  <c:v>0.49753267725182221</c:v>
                </c:pt>
                <c:pt idx="13642">
                  <c:v>0.48360241500299289</c:v>
                </c:pt>
                <c:pt idx="13643">
                  <c:v>0.50430717263410674</c:v>
                </c:pt>
                <c:pt idx="13644">
                  <c:v>0.49149812492682443</c:v>
                </c:pt>
                <c:pt idx="13645">
                  <c:v>0.47684654898031814</c:v>
                </c:pt>
                <c:pt idx="13646">
                  <c:v>0.49071621704384538</c:v>
                </c:pt>
                <c:pt idx="13647">
                  <c:v>0.5023909272695567</c:v>
                </c:pt>
                <c:pt idx="13648">
                  <c:v>0.49132260557190321</c:v>
                </c:pt>
                <c:pt idx="13649">
                  <c:v>0.51908525339561251</c:v>
                </c:pt>
                <c:pt idx="13650">
                  <c:v>0.52437417961606991</c:v>
                </c:pt>
                <c:pt idx="13651">
                  <c:v>0.54228352753120823</c:v>
                </c:pt>
                <c:pt idx="13652">
                  <c:v>0.56088680826509529</c:v>
                </c:pt>
                <c:pt idx="13653">
                  <c:v>0.55091656182610449</c:v>
                </c:pt>
                <c:pt idx="13654">
                  <c:v>0.54679317419505413</c:v>
                </c:pt>
                <c:pt idx="13655">
                  <c:v>0.54854652200292853</c:v>
                </c:pt>
                <c:pt idx="13656">
                  <c:v>0.55231211899865806</c:v>
                </c:pt>
                <c:pt idx="13657">
                  <c:v>0.55060681948601053</c:v>
                </c:pt>
                <c:pt idx="13658">
                  <c:v>0.54930201273801027</c:v>
                </c:pt>
                <c:pt idx="13659">
                  <c:v>0.55599718095783479</c:v>
                </c:pt>
                <c:pt idx="13660">
                  <c:v>0.55452332073667709</c:v>
                </c:pt>
                <c:pt idx="13661">
                  <c:v>0.55340261086804243</c:v>
                </c:pt>
                <c:pt idx="13662">
                  <c:v>0.54649145812719102</c:v>
                </c:pt>
                <c:pt idx="13663">
                  <c:v>0.55323279675693859</c:v>
                </c:pt>
                <c:pt idx="13664">
                  <c:v>0.54131272002064557</c:v>
                </c:pt>
                <c:pt idx="13665">
                  <c:v>0.5397989862523126</c:v>
                </c:pt>
                <c:pt idx="13666">
                  <c:v>0.52819077073407927</c:v>
                </c:pt>
                <c:pt idx="13667">
                  <c:v>0.54183313215479678</c:v>
                </c:pt>
                <c:pt idx="13668">
                  <c:v>0.54216402443952905</c:v>
                </c:pt>
                <c:pt idx="13669">
                  <c:v>0.54733292754071139</c:v>
                </c:pt>
                <c:pt idx="13670">
                  <c:v>0.55009388445511653</c:v>
                </c:pt>
                <c:pt idx="13671">
                  <c:v>0.53300953163291487</c:v>
                </c:pt>
                <c:pt idx="13672">
                  <c:v>0.52575103058064254</c:v>
                </c:pt>
                <c:pt idx="13673">
                  <c:v>0.52789980124173419</c:v>
                </c:pt>
                <c:pt idx="13674">
                  <c:v>0.52495443845522449</c:v>
                </c:pt>
                <c:pt idx="13675">
                  <c:v>0.52609569397289946</c:v>
                </c:pt>
                <c:pt idx="13676">
                  <c:v>0.54259951019072816</c:v>
                </c:pt>
                <c:pt idx="13677">
                  <c:v>0.55553033884196568</c:v>
                </c:pt>
                <c:pt idx="13678">
                  <c:v>0.52976108277110578</c:v>
                </c:pt>
                <c:pt idx="13679">
                  <c:v>0.54232788110355867</c:v>
                </c:pt>
                <c:pt idx="13680">
                  <c:v>0.54728649569478183</c:v>
                </c:pt>
                <c:pt idx="13681">
                  <c:v>0.54848400662961305</c:v>
                </c:pt>
                <c:pt idx="13682">
                  <c:v>0.55155928979734192</c:v>
                </c:pt>
                <c:pt idx="13683">
                  <c:v>0.54338156497175172</c:v>
                </c:pt>
                <c:pt idx="13684">
                  <c:v>0.55573549713415282</c:v>
                </c:pt>
                <c:pt idx="13685">
                  <c:v>0.55685828319959507</c:v>
                </c:pt>
                <c:pt idx="13686">
                  <c:v>0.5570926799898781</c:v>
                </c:pt>
                <c:pt idx="13687">
                  <c:v>0.55349987788169042</c:v>
                </c:pt>
                <c:pt idx="13688">
                  <c:v>0.56867472999785273</c:v>
                </c:pt>
                <c:pt idx="13689">
                  <c:v>0.5705716584061471</c:v>
                </c:pt>
                <c:pt idx="13690">
                  <c:v>0.58311632956710013</c:v>
                </c:pt>
                <c:pt idx="13691">
                  <c:v>0.5661732995242843</c:v>
                </c:pt>
                <c:pt idx="13692">
                  <c:v>0.56205590110525894</c:v>
                </c:pt>
                <c:pt idx="13693">
                  <c:v>0.54603849064170484</c:v>
                </c:pt>
                <c:pt idx="13694">
                  <c:v>0.51073879098678099</c:v>
                </c:pt>
                <c:pt idx="13695">
                  <c:v>0.48410357933714843</c:v>
                </c:pt>
                <c:pt idx="13696">
                  <c:v>0.48244707993058206</c:v>
                </c:pt>
                <c:pt idx="13697">
                  <c:v>0.48926206634676883</c:v>
                </c:pt>
                <c:pt idx="13698">
                  <c:v>0.46740015674452201</c:v>
                </c:pt>
                <c:pt idx="13699">
                  <c:v>0.47962669696904797</c:v>
                </c:pt>
                <c:pt idx="13700">
                  <c:v>0.47130315515463816</c:v>
                </c:pt>
                <c:pt idx="13701">
                  <c:v>0.47980053213164409</c:v>
                </c:pt>
                <c:pt idx="13702">
                  <c:v>0.46784893536190136</c:v>
                </c:pt>
                <c:pt idx="13703">
                  <c:v>0.49005980298332319</c:v>
                </c:pt>
                <c:pt idx="13704">
                  <c:v>0.47316233224501819</c:v>
                </c:pt>
                <c:pt idx="13705">
                  <c:v>0.48832124123530646</c:v>
                </c:pt>
                <c:pt idx="13706">
                  <c:v>0.49866019240658893</c:v>
                </c:pt>
                <c:pt idx="13707">
                  <c:v>0.49247472203583675</c:v>
                </c:pt>
                <c:pt idx="13708">
                  <c:v>0.48740792219739992</c:v>
                </c:pt>
                <c:pt idx="13709">
                  <c:v>0.48684926831684172</c:v>
                </c:pt>
                <c:pt idx="13710">
                  <c:v>0.49520634437600253</c:v>
                </c:pt>
                <c:pt idx="13711">
                  <c:v>0.46676963365159718</c:v>
                </c:pt>
                <c:pt idx="13712">
                  <c:v>0.49573757640664212</c:v>
                </c:pt>
                <c:pt idx="13713">
                  <c:v>0.4748635797374598</c:v>
                </c:pt>
                <c:pt idx="13714">
                  <c:v>0.48278957378801601</c:v>
                </c:pt>
                <c:pt idx="13715">
                  <c:v>0.60405424591483536</c:v>
                </c:pt>
                <c:pt idx="13716">
                  <c:v>0.59518527031975932</c:v>
                </c:pt>
                <c:pt idx="13717">
                  <c:v>0.63641567509993768</c:v>
                </c:pt>
                <c:pt idx="13718">
                  <c:v>0.65842325609014596</c:v>
                </c:pt>
                <c:pt idx="13719">
                  <c:v>0.62772778851907751</c:v>
                </c:pt>
                <c:pt idx="13720">
                  <c:v>0.65648486829340946</c:v>
                </c:pt>
                <c:pt idx="13721">
                  <c:v>0.660370878319822</c:v>
                </c:pt>
                <c:pt idx="13722">
                  <c:v>0.65106333416486539</c:v>
                </c:pt>
                <c:pt idx="13723">
                  <c:v>0.65482403403376732</c:v>
                </c:pt>
                <c:pt idx="13724">
                  <c:v>0.66735506215582363</c:v>
                </c:pt>
                <c:pt idx="13725">
                  <c:v>0.66782003338979168</c:v>
                </c:pt>
                <c:pt idx="13726">
                  <c:v>0.64734521224133379</c:v>
                </c:pt>
                <c:pt idx="13727">
                  <c:v>0.66393854474937797</c:v>
                </c:pt>
                <c:pt idx="13728">
                  <c:v>0.6800907344653192</c:v>
                </c:pt>
                <c:pt idx="13729">
                  <c:v>0.66866494977283353</c:v>
                </c:pt>
                <c:pt idx="13730">
                  <c:v>0.65216711614268941</c:v>
                </c:pt>
                <c:pt idx="13731">
                  <c:v>0.69021486950575717</c:v>
                </c:pt>
                <c:pt idx="13732">
                  <c:v>0.62725142950626567</c:v>
                </c:pt>
                <c:pt idx="13733">
                  <c:v>0.51583517918917299</c:v>
                </c:pt>
                <c:pt idx="13734">
                  <c:v>0.4867287855747835</c:v>
                </c:pt>
                <c:pt idx="13735">
                  <c:v>0.52148433473193845</c:v>
                </c:pt>
                <c:pt idx="13736">
                  <c:v>0.51927394785454362</c:v>
                </c:pt>
                <c:pt idx="13737">
                  <c:v>0.51875799742993367</c:v>
                </c:pt>
                <c:pt idx="13738">
                  <c:v>0.52301418060920135</c:v>
                </c:pt>
                <c:pt idx="13739">
                  <c:v>0.5341906496324631</c:v>
                </c:pt>
                <c:pt idx="13740">
                  <c:v>0.5489309962820893</c:v>
                </c:pt>
                <c:pt idx="13741">
                  <c:v>0.54389329873322301</c:v>
                </c:pt>
                <c:pt idx="13742">
                  <c:v>0.54603021456015532</c:v>
                </c:pt>
                <c:pt idx="13743">
                  <c:v>0.53444077354760344</c:v>
                </c:pt>
                <c:pt idx="13744">
                  <c:v>0.53665703137760401</c:v>
                </c:pt>
                <c:pt idx="13745">
                  <c:v>0.53389821162885975</c:v>
                </c:pt>
                <c:pt idx="13746">
                  <c:v>0.53618572366411543</c:v>
                </c:pt>
                <c:pt idx="13747">
                  <c:v>0.54262129791928115</c:v>
                </c:pt>
                <c:pt idx="13748">
                  <c:v>0.51818994065043744</c:v>
                </c:pt>
                <c:pt idx="13749">
                  <c:v>0.55071106908597567</c:v>
                </c:pt>
                <c:pt idx="13750">
                  <c:v>0.52987738080300772</c:v>
                </c:pt>
                <c:pt idx="13751">
                  <c:v>0.51591051886169448</c:v>
                </c:pt>
                <c:pt idx="13752">
                  <c:v>0.53148773057613319</c:v>
                </c:pt>
                <c:pt idx="13753">
                  <c:v>0.54110425549776775</c:v>
                </c:pt>
                <c:pt idx="13754">
                  <c:v>0.5247096876424634</c:v>
                </c:pt>
                <c:pt idx="13755">
                  <c:v>0.55381435901532461</c:v>
                </c:pt>
                <c:pt idx="13756">
                  <c:v>0.54158074151117785</c:v>
                </c:pt>
                <c:pt idx="13757">
                  <c:v>0.55532351176632877</c:v>
                </c:pt>
                <c:pt idx="13758">
                  <c:v>0.56602681024234047</c:v>
                </c:pt>
                <c:pt idx="13759">
                  <c:v>0.51189578830470484</c:v>
                </c:pt>
                <c:pt idx="13760">
                  <c:v>0.53533235653254008</c:v>
                </c:pt>
                <c:pt idx="13761">
                  <c:v>0.55920209004054944</c:v>
                </c:pt>
                <c:pt idx="13762">
                  <c:v>0.53728464708757318</c:v>
                </c:pt>
                <c:pt idx="13763">
                  <c:v>0.56612199851386857</c:v>
                </c:pt>
                <c:pt idx="13764">
                  <c:v>0.55841202133620094</c:v>
                </c:pt>
                <c:pt idx="13765">
                  <c:v>0.56243407644147414</c:v>
                </c:pt>
                <c:pt idx="13766">
                  <c:v>0.50569657382089572</c:v>
                </c:pt>
                <c:pt idx="13767">
                  <c:v>0.49663633111378497</c:v>
                </c:pt>
                <c:pt idx="13768">
                  <c:v>0.47802870529941316</c:v>
                </c:pt>
                <c:pt idx="13769">
                  <c:v>0.51820679825691429</c:v>
                </c:pt>
                <c:pt idx="13770">
                  <c:v>0.55554012774658512</c:v>
                </c:pt>
                <c:pt idx="13771">
                  <c:v>0.55340212508546516</c:v>
                </c:pt>
                <c:pt idx="13772">
                  <c:v>0.52367403501538601</c:v>
                </c:pt>
                <c:pt idx="13773">
                  <c:v>0.54942201929769907</c:v>
                </c:pt>
                <c:pt idx="13774">
                  <c:v>0.53495161409292302</c:v>
                </c:pt>
                <c:pt idx="13775">
                  <c:v>0.54157874475723433</c:v>
                </c:pt>
                <c:pt idx="13776">
                  <c:v>0.53549374832356378</c:v>
                </c:pt>
                <c:pt idx="13777">
                  <c:v>0.55344280749354935</c:v>
                </c:pt>
                <c:pt idx="13778">
                  <c:v>0.51996626372119648</c:v>
                </c:pt>
                <c:pt idx="13779">
                  <c:v>0.53567380342575011</c:v>
                </c:pt>
                <c:pt idx="13780">
                  <c:v>0.52726052909367438</c:v>
                </c:pt>
                <c:pt idx="13781">
                  <c:v>0.53243790374233746</c:v>
                </c:pt>
                <c:pt idx="13782">
                  <c:v>0.51607002635246824</c:v>
                </c:pt>
                <c:pt idx="13783">
                  <c:v>0.51097948940854243</c:v>
                </c:pt>
                <c:pt idx="13784">
                  <c:v>0.50016605411368664</c:v>
                </c:pt>
                <c:pt idx="13785">
                  <c:v>0.53802184438008183</c:v>
                </c:pt>
                <c:pt idx="13786">
                  <c:v>0.53775174273558302</c:v>
                </c:pt>
                <c:pt idx="13787">
                  <c:v>0.51755704379720058</c:v>
                </c:pt>
                <c:pt idx="13788">
                  <c:v>0.49531436422177477</c:v>
                </c:pt>
                <c:pt idx="13789">
                  <c:v>0.50880313741018734</c:v>
                </c:pt>
                <c:pt idx="13790">
                  <c:v>0.51685532509437404</c:v>
                </c:pt>
                <c:pt idx="13791">
                  <c:v>0.53625445631918267</c:v>
                </c:pt>
                <c:pt idx="13792">
                  <c:v>0.53991525825796649</c:v>
                </c:pt>
                <c:pt idx="13793">
                  <c:v>0.53578916141193789</c:v>
                </c:pt>
                <c:pt idx="13794">
                  <c:v>0.53521067177435677</c:v>
                </c:pt>
                <c:pt idx="13795">
                  <c:v>0.55706847528504111</c:v>
                </c:pt>
                <c:pt idx="13796">
                  <c:v>0.55673332427975608</c:v>
                </c:pt>
                <c:pt idx="13797">
                  <c:v>0.56193099998103024</c:v>
                </c:pt>
                <c:pt idx="13798">
                  <c:v>0.55162929042161535</c:v>
                </c:pt>
                <c:pt idx="13799">
                  <c:v>0.56213089595886268</c:v>
                </c:pt>
                <c:pt idx="13800">
                  <c:v>0.55799595920650347</c:v>
                </c:pt>
                <c:pt idx="13801">
                  <c:v>0.55606224534790072</c:v>
                </c:pt>
                <c:pt idx="13802">
                  <c:v>0.53877098134996548</c:v>
                </c:pt>
                <c:pt idx="13803">
                  <c:v>0.54759332188774601</c:v>
                </c:pt>
                <c:pt idx="13804">
                  <c:v>0.53973933465145585</c:v>
                </c:pt>
                <c:pt idx="13805">
                  <c:v>0.54585440321388845</c:v>
                </c:pt>
                <c:pt idx="13806">
                  <c:v>0.55091375253340802</c:v>
                </c:pt>
                <c:pt idx="13807">
                  <c:v>0.54046700045924412</c:v>
                </c:pt>
                <c:pt idx="13808">
                  <c:v>0.52720764390217933</c:v>
                </c:pt>
                <c:pt idx="13809">
                  <c:v>0.54315394786735749</c:v>
                </c:pt>
                <c:pt idx="13810">
                  <c:v>0.5534272636203299</c:v>
                </c:pt>
                <c:pt idx="13811">
                  <c:v>0.55684768055994038</c:v>
                </c:pt>
                <c:pt idx="13812">
                  <c:v>0.5451462368633534</c:v>
                </c:pt>
                <c:pt idx="13813">
                  <c:v>0.52592934782192358</c:v>
                </c:pt>
                <c:pt idx="13814">
                  <c:v>0.51419539294830885</c:v>
                </c:pt>
                <c:pt idx="13815">
                  <c:v>0.5240095643575341</c:v>
                </c:pt>
                <c:pt idx="13816">
                  <c:v>0.52631601099081515</c:v>
                </c:pt>
                <c:pt idx="13817">
                  <c:v>0.52556513003367344</c:v>
                </c:pt>
                <c:pt idx="13818">
                  <c:v>0.53514519354583079</c:v>
                </c:pt>
                <c:pt idx="13819">
                  <c:v>0.53754319899037262</c:v>
                </c:pt>
                <c:pt idx="13820">
                  <c:v>0.53647460554514292</c:v>
                </c:pt>
                <c:pt idx="13821">
                  <c:v>0.54349775163049108</c:v>
                </c:pt>
                <c:pt idx="13822">
                  <c:v>0.53803933352283206</c:v>
                </c:pt>
                <c:pt idx="13823">
                  <c:v>0.55717828879331921</c:v>
                </c:pt>
                <c:pt idx="13824">
                  <c:v>0.55516255125879488</c:v>
                </c:pt>
                <c:pt idx="13825">
                  <c:v>0.54443815366722714</c:v>
                </c:pt>
                <c:pt idx="13826">
                  <c:v>0.53987980360688126</c:v>
                </c:pt>
                <c:pt idx="13827">
                  <c:v>0.53789172317861722</c:v>
                </c:pt>
                <c:pt idx="13828">
                  <c:v>0.53193047620063993</c:v>
                </c:pt>
                <c:pt idx="13829">
                  <c:v>0.52731688987933523</c:v>
                </c:pt>
                <c:pt idx="13830">
                  <c:v>0.54371401212715287</c:v>
                </c:pt>
                <c:pt idx="13831">
                  <c:v>0.55251795099196543</c:v>
                </c:pt>
                <c:pt idx="13832">
                  <c:v>0.54406804435027567</c:v>
                </c:pt>
                <c:pt idx="13833">
                  <c:v>0.53794445590726936</c:v>
                </c:pt>
                <c:pt idx="13834">
                  <c:v>0.52909500708369783</c:v>
                </c:pt>
                <c:pt idx="13835">
                  <c:v>0.5007145669074432</c:v>
                </c:pt>
                <c:pt idx="13836">
                  <c:v>0.48602518443934695</c:v>
                </c:pt>
                <c:pt idx="13837">
                  <c:v>0.49972322650950662</c:v>
                </c:pt>
                <c:pt idx="13838">
                  <c:v>0.47393344338473226</c:v>
                </c:pt>
                <c:pt idx="13839">
                  <c:v>0.47376585084199796</c:v>
                </c:pt>
                <c:pt idx="13840">
                  <c:v>0.46369758713817155</c:v>
                </c:pt>
                <c:pt idx="13841">
                  <c:v>0.46599949832314491</c:v>
                </c:pt>
                <c:pt idx="13842">
                  <c:v>0.44023177862815305</c:v>
                </c:pt>
                <c:pt idx="13843">
                  <c:v>0.45075948933213278</c:v>
                </c:pt>
                <c:pt idx="13844">
                  <c:v>0.44591541395112344</c:v>
                </c:pt>
                <c:pt idx="13845">
                  <c:v>0.44594838921431468</c:v>
                </c:pt>
                <c:pt idx="13846">
                  <c:v>0.45028622197113677</c:v>
                </c:pt>
                <c:pt idx="13847">
                  <c:v>0.45814662973938763</c:v>
                </c:pt>
                <c:pt idx="13848">
                  <c:v>0.46344174504364555</c:v>
                </c:pt>
                <c:pt idx="13849">
                  <c:v>0.46518410137889926</c:v>
                </c:pt>
                <c:pt idx="13850">
                  <c:v>0.44933643960359343</c:v>
                </c:pt>
                <c:pt idx="13851">
                  <c:v>0.46317110233525471</c:v>
                </c:pt>
                <c:pt idx="13852">
                  <c:v>0.45362086450706829</c:v>
                </c:pt>
                <c:pt idx="13853">
                  <c:v>0.4736320512792449</c:v>
                </c:pt>
                <c:pt idx="13854">
                  <c:v>0.46966328546546821</c:v>
                </c:pt>
                <c:pt idx="13855">
                  <c:v>0.44770551757526839</c:v>
                </c:pt>
                <c:pt idx="13856">
                  <c:v>0.46517041164891804</c:v>
                </c:pt>
                <c:pt idx="13857">
                  <c:v>0.46908913328498308</c:v>
                </c:pt>
                <c:pt idx="13858">
                  <c:v>0.45692767116762451</c:v>
                </c:pt>
                <c:pt idx="13859">
                  <c:v>0.47563255037422569</c:v>
                </c:pt>
                <c:pt idx="13860">
                  <c:v>0.47185358272808275</c:v>
                </c:pt>
                <c:pt idx="13861">
                  <c:v>0.48573987650883627</c:v>
                </c:pt>
                <c:pt idx="13862">
                  <c:v>0.48339014385983142</c:v>
                </c:pt>
                <c:pt idx="13863">
                  <c:v>0.45927228616040322</c:v>
                </c:pt>
                <c:pt idx="13864">
                  <c:v>0.4617285188933728</c:v>
                </c:pt>
                <c:pt idx="13865">
                  <c:v>0.45168160904696797</c:v>
                </c:pt>
                <c:pt idx="13866">
                  <c:v>0.45544620801602231</c:v>
                </c:pt>
                <c:pt idx="13867">
                  <c:v>0.44573525015022913</c:v>
                </c:pt>
                <c:pt idx="13868">
                  <c:v>0.4579660236836095</c:v>
                </c:pt>
                <c:pt idx="13869">
                  <c:v>0.45164338636467832</c:v>
                </c:pt>
                <c:pt idx="13870">
                  <c:v>0.45775143747470437</c:v>
                </c:pt>
                <c:pt idx="13871">
                  <c:v>0.4546424468559695</c:v>
                </c:pt>
                <c:pt idx="13872">
                  <c:v>0.45414622714211927</c:v>
                </c:pt>
                <c:pt idx="13873">
                  <c:v>0.46073731949309599</c:v>
                </c:pt>
                <c:pt idx="13874">
                  <c:v>0.49416712156319742</c:v>
                </c:pt>
                <c:pt idx="13875">
                  <c:v>0.47224391347438127</c:v>
                </c:pt>
                <c:pt idx="13876">
                  <c:v>0.45973044242255867</c:v>
                </c:pt>
                <c:pt idx="13877">
                  <c:v>0.47436722075149818</c:v>
                </c:pt>
                <c:pt idx="13878">
                  <c:v>0.47502813093917545</c:v>
                </c:pt>
                <c:pt idx="13879">
                  <c:v>0.47382507717996358</c:v>
                </c:pt>
                <c:pt idx="13880">
                  <c:v>0.4465391863208325</c:v>
                </c:pt>
                <c:pt idx="13881">
                  <c:v>0.46233000302653438</c:v>
                </c:pt>
                <c:pt idx="13882">
                  <c:v>0.45830433389430564</c:v>
                </c:pt>
                <c:pt idx="13883">
                  <c:v>0.44366735814976099</c:v>
                </c:pt>
                <c:pt idx="13884">
                  <c:v>0.4617312186644949</c:v>
                </c:pt>
                <c:pt idx="13885">
                  <c:v>0.46265924478029047</c:v>
                </c:pt>
                <c:pt idx="13886">
                  <c:v>0.37295027808522624</c:v>
                </c:pt>
                <c:pt idx="13887">
                  <c:v>0.54235603579628544</c:v>
                </c:pt>
                <c:pt idx="13888">
                  <c:v>0.53899965121519011</c:v>
                </c:pt>
                <c:pt idx="13889">
                  <c:v>0.54682880873550799</c:v>
                </c:pt>
                <c:pt idx="13890">
                  <c:v>0.55350959124345078</c:v>
                </c:pt>
                <c:pt idx="13891">
                  <c:v>0.51319761673326203</c:v>
                </c:pt>
                <c:pt idx="13892">
                  <c:v>0.55136532669413096</c:v>
                </c:pt>
                <c:pt idx="13893">
                  <c:v>0.51609795068351638</c:v>
                </c:pt>
                <c:pt idx="13894">
                  <c:v>0.55072255578792695</c:v>
                </c:pt>
                <c:pt idx="13895">
                  <c:v>0.53774028550405306</c:v>
                </c:pt>
                <c:pt idx="13896">
                  <c:v>0.52445921680834506</c:v>
                </c:pt>
                <c:pt idx="13897">
                  <c:v>0.54368706307421732</c:v>
                </c:pt>
                <c:pt idx="13898">
                  <c:v>0.53149501118660658</c:v>
                </c:pt>
                <c:pt idx="13899">
                  <c:v>0.52520021775942149</c:v>
                </c:pt>
                <c:pt idx="13900">
                  <c:v>0.55078707119174042</c:v>
                </c:pt>
                <c:pt idx="13901">
                  <c:v>0.56184894337294489</c:v>
                </c:pt>
                <c:pt idx="13902">
                  <c:v>0.54555537285432232</c:v>
                </c:pt>
                <c:pt idx="13903">
                  <c:v>0.57469598210940864</c:v>
                </c:pt>
                <c:pt idx="13904">
                  <c:v>0.5088636942786765</c:v>
                </c:pt>
                <c:pt idx="13905">
                  <c:v>0.55185701925607211</c:v>
                </c:pt>
                <c:pt idx="13906">
                  <c:v>0.54833523544153173</c:v>
                </c:pt>
                <c:pt idx="13907">
                  <c:v>0.55052540673565054</c:v>
                </c:pt>
                <c:pt idx="13908">
                  <c:v>0.56911220054326295</c:v>
                </c:pt>
                <c:pt idx="13909">
                  <c:v>0.55173841522962919</c:v>
                </c:pt>
                <c:pt idx="13910">
                  <c:v>0.56796960794322482</c:v>
                </c:pt>
                <c:pt idx="13911">
                  <c:v>0.4968905044817245</c:v>
                </c:pt>
                <c:pt idx="13912">
                  <c:v>0.47848929685660341</c:v>
                </c:pt>
                <c:pt idx="13913">
                  <c:v>0.48749994837081068</c:v>
                </c:pt>
                <c:pt idx="13914">
                  <c:v>0.56705861338676389</c:v>
                </c:pt>
                <c:pt idx="13915">
                  <c:v>0.54837516665159114</c:v>
                </c:pt>
                <c:pt idx="13916">
                  <c:v>0.53113249293026932</c:v>
                </c:pt>
                <c:pt idx="13917">
                  <c:v>0.51703640735047351</c:v>
                </c:pt>
                <c:pt idx="13918">
                  <c:v>0.54169803469513067</c:v>
                </c:pt>
                <c:pt idx="13919">
                  <c:v>0.53831692652067953</c:v>
                </c:pt>
                <c:pt idx="13920">
                  <c:v>0.52641966613020619</c:v>
                </c:pt>
                <c:pt idx="13921">
                  <c:v>0.54260349431418342</c:v>
                </c:pt>
                <c:pt idx="13922">
                  <c:v>0.5380910419044358</c:v>
                </c:pt>
                <c:pt idx="13923">
                  <c:v>0.5140218982634136</c:v>
                </c:pt>
                <c:pt idx="13924">
                  <c:v>0.50978043503730175</c:v>
                </c:pt>
                <c:pt idx="13925">
                  <c:v>0.53315562941292949</c:v>
                </c:pt>
                <c:pt idx="13926">
                  <c:v>0.5109813641091504</c:v>
                </c:pt>
                <c:pt idx="13927">
                  <c:v>0.50178695174682908</c:v>
                </c:pt>
                <c:pt idx="13928">
                  <c:v>0.499055659913195</c:v>
                </c:pt>
                <c:pt idx="13929">
                  <c:v>0.51542541507835127</c:v>
                </c:pt>
                <c:pt idx="13930">
                  <c:v>0.53663582594365433</c:v>
                </c:pt>
                <c:pt idx="13931">
                  <c:v>0.52886581545806166</c:v>
                </c:pt>
                <c:pt idx="13932">
                  <c:v>0.51889910667854389</c:v>
                </c:pt>
                <c:pt idx="13933">
                  <c:v>0.49090053654928884</c:v>
                </c:pt>
                <c:pt idx="13934">
                  <c:v>0.5124897470598343</c:v>
                </c:pt>
                <c:pt idx="13935">
                  <c:v>0.52321067995873816</c:v>
                </c:pt>
                <c:pt idx="13936">
                  <c:v>0.52798930155671098</c:v>
                </c:pt>
                <c:pt idx="13937">
                  <c:v>0.53747832348130598</c:v>
                </c:pt>
                <c:pt idx="13938">
                  <c:v>0.53532374728545773</c:v>
                </c:pt>
                <c:pt idx="13939">
                  <c:v>0.52100751411053281</c:v>
                </c:pt>
                <c:pt idx="13940">
                  <c:v>0.55661351311902851</c:v>
                </c:pt>
                <c:pt idx="13941">
                  <c:v>0.54421493512517183</c:v>
                </c:pt>
                <c:pt idx="13942">
                  <c:v>0.54421617554516033</c:v>
                </c:pt>
                <c:pt idx="13943">
                  <c:v>0.55012508879538402</c:v>
                </c:pt>
                <c:pt idx="13944">
                  <c:v>0.54726346267192305</c:v>
                </c:pt>
                <c:pt idx="13945">
                  <c:v>0.54941993570774328</c:v>
                </c:pt>
                <c:pt idx="13946">
                  <c:v>0.53586301490987887</c:v>
                </c:pt>
                <c:pt idx="13947">
                  <c:v>0.5352791790426572</c:v>
                </c:pt>
                <c:pt idx="13948">
                  <c:v>0.535197500931619</c:v>
                </c:pt>
                <c:pt idx="13949">
                  <c:v>0.52830787598768669</c:v>
                </c:pt>
                <c:pt idx="13950">
                  <c:v>0.54556946985567001</c:v>
                </c:pt>
                <c:pt idx="13951">
                  <c:v>0.53997212999193711</c:v>
                </c:pt>
                <c:pt idx="13952">
                  <c:v>0.52180249053900385</c:v>
                </c:pt>
                <c:pt idx="13953">
                  <c:v>0.51779307111954298</c:v>
                </c:pt>
                <c:pt idx="13954">
                  <c:v>0.54275635744492357</c:v>
                </c:pt>
                <c:pt idx="13955">
                  <c:v>0.54797335275120962</c:v>
                </c:pt>
                <c:pt idx="13956">
                  <c:v>0.54992901490429169</c:v>
                </c:pt>
                <c:pt idx="13957">
                  <c:v>0.52897181877175814</c:v>
                </c:pt>
                <c:pt idx="13958">
                  <c:v>0.51709965607800912</c:v>
                </c:pt>
                <c:pt idx="13959">
                  <c:v>0.51052932706715171</c:v>
                </c:pt>
                <c:pt idx="13960">
                  <c:v>0.51653881122056189</c:v>
                </c:pt>
                <c:pt idx="13961">
                  <c:v>0.50932929630181978</c:v>
                </c:pt>
                <c:pt idx="13962">
                  <c:v>0.52472123436837448</c:v>
                </c:pt>
                <c:pt idx="13963">
                  <c:v>0.52906212603124403</c:v>
                </c:pt>
                <c:pt idx="13964">
                  <c:v>0.53207336573173125</c:v>
                </c:pt>
                <c:pt idx="13965">
                  <c:v>0.53165208937002728</c:v>
                </c:pt>
                <c:pt idx="13966">
                  <c:v>0.53456001074822757</c:v>
                </c:pt>
                <c:pt idx="13967">
                  <c:v>0.52885733407512681</c:v>
                </c:pt>
                <c:pt idx="13968">
                  <c:v>0.5542565048366902</c:v>
                </c:pt>
                <c:pt idx="13969">
                  <c:v>0.54571338147631121</c:v>
                </c:pt>
                <c:pt idx="13970">
                  <c:v>0.53560055037816046</c:v>
                </c:pt>
                <c:pt idx="13971">
                  <c:v>0.52531528177494646</c:v>
                </c:pt>
                <c:pt idx="13972">
                  <c:v>0.53343864944738573</c:v>
                </c:pt>
                <c:pt idx="13973">
                  <c:v>0.52014120262658514</c:v>
                </c:pt>
                <c:pt idx="13974">
                  <c:v>0.52428029479767368</c:v>
                </c:pt>
                <c:pt idx="13975">
                  <c:v>0.5424265390978068</c:v>
                </c:pt>
                <c:pt idx="13976">
                  <c:v>0.54515774792202332</c:v>
                </c:pt>
                <c:pt idx="13977">
                  <c:v>0.5353788181995579</c:v>
                </c:pt>
                <c:pt idx="13978">
                  <c:v>0.53191707789645981</c:v>
                </c:pt>
                <c:pt idx="13979">
                  <c:v>0.51666610528063239</c:v>
                </c:pt>
                <c:pt idx="13980">
                  <c:v>0.47972628655185118</c:v>
                </c:pt>
                <c:pt idx="13981">
                  <c:v>0.48872411766217255</c:v>
                </c:pt>
                <c:pt idx="13982">
                  <c:v>0.48452661000336383</c:v>
                </c:pt>
                <c:pt idx="13983">
                  <c:v>0.48241232944479512</c:v>
                </c:pt>
                <c:pt idx="13984">
                  <c:v>0.45558344653407745</c:v>
                </c:pt>
                <c:pt idx="13985">
                  <c:v>0.45453586768722232</c:v>
                </c:pt>
                <c:pt idx="13986">
                  <c:v>0.4526158667080003</c:v>
                </c:pt>
                <c:pt idx="13987">
                  <c:v>0.44467952659084148</c:v>
                </c:pt>
                <c:pt idx="13988">
                  <c:v>0.45635646639697547</c:v>
                </c:pt>
                <c:pt idx="13989">
                  <c:v>0.43955878395084619</c:v>
                </c:pt>
                <c:pt idx="13990">
                  <c:v>0.44294814680513311</c:v>
                </c:pt>
                <c:pt idx="13991">
                  <c:v>0.45768816121594835</c:v>
                </c:pt>
                <c:pt idx="13992">
                  <c:v>0.44487338247232505</c:v>
                </c:pt>
                <c:pt idx="13993">
                  <c:v>0.45785132859017236</c:v>
                </c:pt>
                <c:pt idx="13994">
                  <c:v>0.47688421001779108</c:v>
                </c:pt>
                <c:pt idx="13995">
                  <c:v>0.45944616806501554</c:v>
                </c:pt>
                <c:pt idx="13996">
                  <c:v>0.45346680056409883</c:v>
                </c:pt>
                <c:pt idx="13997">
                  <c:v>0.46648933783099056</c:v>
                </c:pt>
                <c:pt idx="13998">
                  <c:v>0.47917797285779234</c:v>
                </c:pt>
                <c:pt idx="13999">
                  <c:v>0.46390940530553526</c:v>
                </c:pt>
                <c:pt idx="14000">
                  <c:v>0.45880760610404803</c:v>
                </c:pt>
                <c:pt idx="14001">
                  <c:v>0.47126676775416676</c:v>
                </c:pt>
                <c:pt idx="14002">
                  <c:v>0.46908323456040446</c:v>
                </c:pt>
                <c:pt idx="14003">
                  <c:v>0.46857830182918397</c:v>
                </c:pt>
                <c:pt idx="14004">
                  <c:v>0.4801081706672467</c:v>
                </c:pt>
                <c:pt idx="14005">
                  <c:v>0.4816920970011353</c:v>
                </c:pt>
                <c:pt idx="14006">
                  <c:v>0.48621717584663066</c:v>
                </c:pt>
                <c:pt idx="14007">
                  <c:v>0.48064870668255566</c:v>
                </c:pt>
                <c:pt idx="14008">
                  <c:v>0.46281501983274803</c:v>
                </c:pt>
                <c:pt idx="14009">
                  <c:v>0.47277297266498736</c:v>
                </c:pt>
                <c:pt idx="14010">
                  <c:v>0.44820713541194834</c:v>
                </c:pt>
                <c:pt idx="14011">
                  <c:v>0.45111052819753161</c:v>
                </c:pt>
                <c:pt idx="14012">
                  <c:v>0.46472272808484549</c:v>
                </c:pt>
                <c:pt idx="14013">
                  <c:v>0.45340152088284408</c:v>
                </c:pt>
                <c:pt idx="14014">
                  <c:v>0.46002748058662313</c:v>
                </c:pt>
                <c:pt idx="14015">
                  <c:v>0.4703187413538597</c:v>
                </c:pt>
                <c:pt idx="14016">
                  <c:v>0.45501321172576942</c:v>
                </c:pt>
                <c:pt idx="14017">
                  <c:v>0.46479645565445377</c:v>
                </c:pt>
                <c:pt idx="14018">
                  <c:v>0.46091046566530919</c:v>
                </c:pt>
                <c:pt idx="14019">
                  <c:v>0.49566517392725812</c:v>
                </c:pt>
                <c:pt idx="14020">
                  <c:v>0.47284388431990243</c:v>
                </c:pt>
                <c:pt idx="14021">
                  <c:v>0.47707333491820142</c:v>
                </c:pt>
                <c:pt idx="14022">
                  <c:v>0.48024918869521227</c:v>
                </c:pt>
                <c:pt idx="14023">
                  <c:v>0.48209229407845766</c:v>
                </c:pt>
                <c:pt idx="14024">
                  <c:v>0.46058816606532998</c:v>
                </c:pt>
                <c:pt idx="14025">
                  <c:v>0.45402563320586137</c:v>
                </c:pt>
                <c:pt idx="14026">
                  <c:v>0.47069296983898373</c:v>
                </c:pt>
                <c:pt idx="14027">
                  <c:v>0.45756279250231979</c:v>
                </c:pt>
                <c:pt idx="14028">
                  <c:v>0.47622757115690939</c:v>
                </c:pt>
                <c:pt idx="14029">
                  <c:v>0.48125224252953608</c:v>
                </c:pt>
                <c:pt idx="14030">
                  <c:v>0.47384185164532727</c:v>
                </c:pt>
                <c:pt idx="14031">
                  <c:v>0.45906136281354148</c:v>
                </c:pt>
                <c:pt idx="14032">
                  <c:v>0.47007692354233266</c:v>
                </c:pt>
                <c:pt idx="14033">
                  <c:v>0.48356119572801542</c:v>
                </c:pt>
                <c:pt idx="14034">
                  <c:v>0.46764258142618897</c:v>
                </c:pt>
                <c:pt idx="14035">
                  <c:v>0.47750355507849818</c:v>
                </c:pt>
                <c:pt idx="14036">
                  <c:v>0.47179350069418835</c:v>
                </c:pt>
                <c:pt idx="14037">
                  <c:v>0.45564703016936348</c:v>
                </c:pt>
                <c:pt idx="14038">
                  <c:v>0.46496769362583484</c:v>
                </c:pt>
                <c:pt idx="14039">
                  <c:v>0.48285972596505505</c:v>
                </c:pt>
                <c:pt idx="14040">
                  <c:v>0.47601979120378757</c:v>
                </c:pt>
                <c:pt idx="14041">
                  <c:v>0.46632389324475348</c:v>
                </c:pt>
                <c:pt idx="14042">
                  <c:v>0.47257040860632993</c:v>
                </c:pt>
                <c:pt idx="14043">
                  <c:v>0.48154366546454713</c:v>
                </c:pt>
                <c:pt idx="14044">
                  <c:v>0.4673884612902951</c:v>
                </c:pt>
                <c:pt idx="14045">
                  <c:v>0.4729446028290531</c:v>
                </c:pt>
                <c:pt idx="14046">
                  <c:v>0.48136565265893649</c:v>
                </c:pt>
                <c:pt idx="14047">
                  <c:v>0.46195674027444389</c:v>
                </c:pt>
                <c:pt idx="14048">
                  <c:v>0.49910479280214348</c:v>
                </c:pt>
                <c:pt idx="14049">
                  <c:v>0.4439721470600132</c:v>
                </c:pt>
                <c:pt idx="14050">
                  <c:v>0.46787910363557444</c:v>
                </c:pt>
                <c:pt idx="14051">
                  <c:v>0.44867432621499392</c:v>
                </c:pt>
                <c:pt idx="14052">
                  <c:v>0.47528988763539221</c:v>
                </c:pt>
                <c:pt idx="14053">
                  <c:v>0.48207783899449819</c:v>
                </c:pt>
                <c:pt idx="14054">
                  <c:v>0.4786608470022724</c:v>
                </c:pt>
                <c:pt idx="14055">
                  <c:v>0.43237320945005886</c:v>
                </c:pt>
                <c:pt idx="14056">
                  <c:v>0.42511586390120654</c:v>
                </c:pt>
                <c:pt idx="14057">
                  <c:v>0.47856490846825195</c:v>
                </c:pt>
                <c:pt idx="14058">
                  <c:v>0.45534013035890403</c:v>
                </c:pt>
                <c:pt idx="14059">
                  <c:v>0.49450202978946484</c:v>
                </c:pt>
                <c:pt idx="14060">
                  <c:v>0.45985744658064143</c:v>
                </c:pt>
                <c:pt idx="14061">
                  <c:v>0.47820895728699098</c:v>
                </c:pt>
                <c:pt idx="14062">
                  <c:v>0.47288934941284777</c:v>
                </c:pt>
                <c:pt idx="14063">
                  <c:v>0.48862995391401359</c:v>
                </c:pt>
                <c:pt idx="14064">
                  <c:v>0.47445768218368561</c:v>
                </c:pt>
                <c:pt idx="14065">
                  <c:v>0.4898423709468443</c:v>
                </c:pt>
                <c:pt idx="14066">
                  <c:v>0.48604021784842766</c:v>
                </c:pt>
                <c:pt idx="14067">
                  <c:v>0.45149829375980932</c:v>
                </c:pt>
                <c:pt idx="14068">
                  <c:v>0.47206878404232888</c:v>
                </c:pt>
                <c:pt idx="14069">
                  <c:v>0.47231286229312586</c:v>
                </c:pt>
                <c:pt idx="14070">
                  <c:v>0.47356550092409755</c:v>
                </c:pt>
                <c:pt idx="14071">
                  <c:v>0.49284821655361916</c:v>
                </c:pt>
                <c:pt idx="14072">
                  <c:v>0.47083575603094791</c:v>
                </c:pt>
                <c:pt idx="14073">
                  <c:v>0.48551018878136387</c:v>
                </c:pt>
                <c:pt idx="14074">
                  <c:v>0.48565727105501016</c:v>
                </c:pt>
                <c:pt idx="14075">
                  <c:v>0.49110916925263171</c:v>
                </c:pt>
                <c:pt idx="14076">
                  <c:v>0.45310526940297796</c:v>
                </c:pt>
                <c:pt idx="14077">
                  <c:v>0.46978668210840752</c:v>
                </c:pt>
                <c:pt idx="14078">
                  <c:v>0.46427040743059256</c:v>
                </c:pt>
                <c:pt idx="14079">
                  <c:v>0.48310566912862313</c:v>
                </c:pt>
                <c:pt idx="14080">
                  <c:v>0.48315064366638899</c:v>
                </c:pt>
                <c:pt idx="14081">
                  <c:v>0.51067849503128449</c:v>
                </c:pt>
                <c:pt idx="14082">
                  <c:v>0.50030276693234654</c:v>
                </c:pt>
                <c:pt idx="14083">
                  <c:v>0.51224627948693713</c:v>
                </c:pt>
                <c:pt idx="14084">
                  <c:v>0.5140660429486178</c:v>
                </c:pt>
                <c:pt idx="14085">
                  <c:v>0.52932664519395067</c:v>
                </c:pt>
                <c:pt idx="14086">
                  <c:v>0.53650592006299125</c:v>
                </c:pt>
                <c:pt idx="14087">
                  <c:v>0.5415240800521901</c:v>
                </c:pt>
                <c:pt idx="14088">
                  <c:v>0.53616259975577296</c:v>
                </c:pt>
                <c:pt idx="14089">
                  <c:v>0.54283612863977393</c:v>
                </c:pt>
                <c:pt idx="14090">
                  <c:v>0.54500151806659691</c:v>
                </c:pt>
                <c:pt idx="14091">
                  <c:v>0.53208191209748412</c:v>
                </c:pt>
                <c:pt idx="14092">
                  <c:v>0.52974133337483376</c:v>
                </c:pt>
                <c:pt idx="14093">
                  <c:v>0.53301805959613002</c:v>
                </c:pt>
                <c:pt idx="14094">
                  <c:v>0.53208701432522187</c:v>
                </c:pt>
                <c:pt idx="14095">
                  <c:v>0.52850598220214473</c:v>
                </c:pt>
                <c:pt idx="14096">
                  <c:v>0.53408489691442285</c:v>
                </c:pt>
                <c:pt idx="14097">
                  <c:v>0.52880451446288612</c:v>
                </c:pt>
                <c:pt idx="14098">
                  <c:v>0.53485846757836264</c:v>
                </c:pt>
                <c:pt idx="14099">
                  <c:v>0.54065613660318335</c:v>
                </c:pt>
                <c:pt idx="14100">
                  <c:v>0.54523212923567654</c:v>
                </c:pt>
                <c:pt idx="14101">
                  <c:v>0.52232475348536433</c:v>
                </c:pt>
                <c:pt idx="14102">
                  <c:v>0.51429307784332023</c:v>
                </c:pt>
                <c:pt idx="14103">
                  <c:v>0.51325676473682236</c:v>
                </c:pt>
                <c:pt idx="14104">
                  <c:v>0.51742394167404548</c:v>
                </c:pt>
                <c:pt idx="14105">
                  <c:v>0.50833926096785664</c:v>
                </c:pt>
                <c:pt idx="14106">
                  <c:v>0.50846413218571407</c:v>
                </c:pt>
                <c:pt idx="14107">
                  <c:v>0.51156493982754292</c:v>
                </c:pt>
                <c:pt idx="14108">
                  <c:v>0.51802989249612053</c:v>
                </c:pt>
                <c:pt idx="14109">
                  <c:v>0.53045430716280084</c:v>
                </c:pt>
                <c:pt idx="14110">
                  <c:v>0.5411629704289157</c:v>
                </c:pt>
                <c:pt idx="14111">
                  <c:v>0.55428874470974254</c:v>
                </c:pt>
                <c:pt idx="14112">
                  <c:v>0.55218888960316226</c:v>
                </c:pt>
                <c:pt idx="14113">
                  <c:v>0.54419942957638023</c:v>
                </c:pt>
                <c:pt idx="14114">
                  <c:v>0.53850762955820419</c:v>
                </c:pt>
                <c:pt idx="14115">
                  <c:v>0.53507653845731917</c:v>
                </c:pt>
                <c:pt idx="14116">
                  <c:v>0.53281614375675657</c:v>
                </c:pt>
                <c:pt idx="14117">
                  <c:v>0.53951343648417993</c:v>
                </c:pt>
                <c:pt idx="14118">
                  <c:v>0.53276329403698686</c:v>
                </c:pt>
                <c:pt idx="14119">
                  <c:v>0.5427979249192062</c:v>
                </c:pt>
                <c:pt idx="14120">
                  <c:v>0.54756944351878623</c:v>
                </c:pt>
                <c:pt idx="14121">
                  <c:v>0.52768209039567204</c:v>
                </c:pt>
                <c:pt idx="14122">
                  <c:v>0.5351358206125858</c:v>
                </c:pt>
                <c:pt idx="14123">
                  <c:v>0.51691186362085795</c:v>
                </c:pt>
                <c:pt idx="14124">
                  <c:v>0.50190524345952892</c:v>
                </c:pt>
                <c:pt idx="14125">
                  <c:v>0.47252842141802409</c:v>
                </c:pt>
                <c:pt idx="14126">
                  <c:v>0.4590574390912816</c:v>
                </c:pt>
                <c:pt idx="14127">
                  <c:v>0.45619562263420554</c:v>
                </c:pt>
                <c:pt idx="14128">
                  <c:v>0.4632761813503315</c:v>
                </c:pt>
                <c:pt idx="14129">
                  <c:v>0.45884505246874913</c:v>
                </c:pt>
                <c:pt idx="14130">
                  <c:v>0.45732694675538949</c:v>
                </c:pt>
                <c:pt idx="14131">
                  <c:v>0.45891329318442237</c:v>
                </c:pt>
                <c:pt idx="14132">
                  <c:v>0.43676626258988593</c:v>
                </c:pt>
                <c:pt idx="14133">
                  <c:v>0.4394209650827734</c:v>
                </c:pt>
                <c:pt idx="14134">
                  <c:v>0.4499924599448919</c:v>
                </c:pt>
                <c:pt idx="14135">
                  <c:v>0.44143086598723424</c:v>
                </c:pt>
                <c:pt idx="14136">
                  <c:v>0.42712908137849637</c:v>
                </c:pt>
                <c:pt idx="14137">
                  <c:v>0.45196702150934781</c:v>
                </c:pt>
                <c:pt idx="14138">
                  <c:v>0.4435771308668765</c:v>
                </c:pt>
                <c:pt idx="14139">
                  <c:v>0.44864804944105657</c:v>
                </c:pt>
                <c:pt idx="14140">
                  <c:v>0.45123331711385706</c:v>
                </c:pt>
                <c:pt idx="14141">
                  <c:v>0.45133164615467591</c:v>
                </c:pt>
                <c:pt idx="14142">
                  <c:v>0.44596798653360775</c:v>
                </c:pt>
                <c:pt idx="14143">
                  <c:v>0.46612928536992981</c:v>
                </c:pt>
                <c:pt idx="14144">
                  <c:v>0.44279698604887607</c:v>
                </c:pt>
                <c:pt idx="14145">
                  <c:v>0.45918569626565175</c:v>
                </c:pt>
                <c:pt idx="14146">
                  <c:v>0.45565935032346117</c:v>
                </c:pt>
                <c:pt idx="14147">
                  <c:v>0.44364265306247791</c:v>
                </c:pt>
                <c:pt idx="14148">
                  <c:v>0.43712561694544644</c:v>
                </c:pt>
                <c:pt idx="14149">
                  <c:v>0.43706005655583979</c:v>
                </c:pt>
                <c:pt idx="14150">
                  <c:v>0.45988169819283808</c:v>
                </c:pt>
                <c:pt idx="14151">
                  <c:v>0.45055270030925004</c:v>
                </c:pt>
                <c:pt idx="14152">
                  <c:v>0.44001281889573091</c:v>
                </c:pt>
                <c:pt idx="14153">
                  <c:v>0.45608501747903252</c:v>
                </c:pt>
                <c:pt idx="14154">
                  <c:v>0.46006482192164644</c:v>
                </c:pt>
                <c:pt idx="14155">
                  <c:v>0.45227294105181332</c:v>
                </c:pt>
                <c:pt idx="14156">
                  <c:v>0.43518175271284404</c:v>
                </c:pt>
                <c:pt idx="14157">
                  <c:v>0.44390823726467976</c:v>
                </c:pt>
                <c:pt idx="14158">
                  <c:v>0.42726890754992125</c:v>
                </c:pt>
                <c:pt idx="14159">
                  <c:v>0.46211171847655702</c:v>
                </c:pt>
                <c:pt idx="14160">
                  <c:v>0.42633165078034396</c:v>
                </c:pt>
                <c:pt idx="14161">
                  <c:v>0.44603221599220833</c:v>
                </c:pt>
                <c:pt idx="14162">
                  <c:v>0.46711849005278089</c:v>
                </c:pt>
                <c:pt idx="14163">
                  <c:v>0.45192775006351876</c:v>
                </c:pt>
                <c:pt idx="14164">
                  <c:v>0.4686336635519312</c:v>
                </c:pt>
                <c:pt idx="14165">
                  <c:v>0.45645424972622195</c:v>
                </c:pt>
                <c:pt idx="14166">
                  <c:v>0.45267973312701265</c:v>
                </c:pt>
                <c:pt idx="14167">
                  <c:v>0.44843731404822307</c:v>
                </c:pt>
                <c:pt idx="14168">
                  <c:v>0.44710808460480789</c:v>
                </c:pt>
                <c:pt idx="14169">
                  <c:v>0.45041632570026036</c:v>
                </c:pt>
                <c:pt idx="14170">
                  <c:v>0.45405250260230373</c:v>
                </c:pt>
                <c:pt idx="14171">
                  <c:v>0.44704106629323431</c:v>
                </c:pt>
                <c:pt idx="14172">
                  <c:v>0.47863069717522111</c:v>
                </c:pt>
                <c:pt idx="14173">
                  <c:v>0.46169537033541719</c:v>
                </c:pt>
                <c:pt idx="14174">
                  <c:v>0.4391760037033447</c:v>
                </c:pt>
                <c:pt idx="14175">
                  <c:v>0.41641315041850896</c:v>
                </c:pt>
                <c:pt idx="14176">
                  <c:v>0.48153334787371205</c:v>
                </c:pt>
                <c:pt idx="14177">
                  <c:v>0.49904065744721782</c:v>
                </c:pt>
                <c:pt idx="14178">
                  <c:v>0.47606753715444095</c:v>
                </c:pt>
                <c:pt idx="14179">
                  <c:v>0.49974480146704608</c:v>
                </c:pt>
                <c:pt idx="14180">
                  <c:v>0.48110868105016019</c:v>
                </c:pt>
                <c:pt idx="14181">
                  <c:v>0.45939972594027789</c:v>
                </c:pt>
                <c:pt idx="14182">
                  <c:v>0.48547341042846653</c:v>
                </c:pt>
                <c:pt idx="14183">
                  <c:v>0.48925108584116583</c:v>
                </c:pt>
                <c:pt idx="14184">
                  <c:v>0.48295014983347573</c:v>
                </c:pt>
                <c:pt idx="14185">
                  <c:v>0.47702121070181897</c:v>
                </c:pt>
                <c:pt idx="14186">
                  <c:v>0.46793396311564234</c:v>
                </c:pt>
                <c:pt idx="14187">
                  <c:v>0.49561592779657149</c:v>
                </c:pt>
                <c:pt idx="14188">
                  <c:v>0.4834905861495461</c:v>
                </c:pt>
                <c:pt idx="14189">
                  <c:v>0.46859247510229629</c:v>
                </c:pt>
                <c:pt idx="14190">
                  <c:v>0.47412312852866889</c:v>
                </c:pt>
                <c:pt idx="14191">
                  <c:v>0.4838755899115838</c:v>
                </c:pt>
                <c:pt idx="14192">
                  <c:v>0.50813793661762297</c:v>
                </c:pt>
                <c:pt idx="14193">
                  <c:v>0.45531623267666499</c:v>
                </c:pt>
                <c:pt idx="14194">
                  <c:v>0.47323873085695045</c:v>
                </c:pt>
                <c:pt idx="14195">
                  <c:v>0.46257168095742102</c:v>
                </c:pt>
                <c:pt idx="14196">
                  <c:v>0.48124521614907628</c:v>
                </c:pt>
                <c:pt idx="14197">
                  <c:v>0.48245194191673263</c:v>
                </c:pt>
                <c:pt idx="14198">
                  <c:v>0.50194366423950798</c:v>
                </c:pt>
                <c:pt idx="14199">
                  <c:v>0.44551531168629266</c:v>
                </c:pt>
                <c:pt idx="14200">
                  <c:v>0.42468893693562565</c:v>
                </c:pt>
                <c:pt idx="14201">
                  <c:v>0.47644525619757866</c:v>
                </c:pt>
                <c:pt idx="14202">
                  <c:v>0.45518972049153733</c:v>
                </c:pt>
                <c:pt idx="14203">
                  <c:v>0.49085271076877529</c:v>
                </c:pt>
                <c:pt idx="14204">
                  <c:v>0.46269172123115782</c:v>
                </c:pt>
                <c:pt idx="14205">
                  <c:v>0.47877190725519098</c:v>
                </c:pt>
                <c:pt idx="14206">
                  <c:v>0.48237228428457357</c:v>
                </c:pt>
                <c:pt idx="14207">
                  <c:v>0.47334622124939252</c:v>
                </c:pt>
                <c:pt idx="14208">
                  <c:v>0.48592163833627111</c:v>
                </c:pt>
                <c:pt idx="14209">
                  <c:v>0.49703143255839116</c:v>
                </c:pt>
                <c:pt idx="14210">
                  <c:v>0.497831048661866</c:v>
                </c:pt>
                <c:pt idx="14211">
                  <c:v>0.45447532395049217</c:v>
                </c:pt>
                <c:pt idx="14212">
                  <c:v>0.46488267868974087</c:v>
                </c:pt>
                <c:pt idx="14213">
                  <c:v>0.46823519705562511</c:v>
                </c:pt>
                <c:pt idx="14214">
                  <c:v>0.46009222360077406</c:v>
                </c:pt>
                <c:pt idx="14215">
                  <c:v>0.48264766315431556</c:v>
                </c:pt>
                <c:pt idx="14216">
                  <c:v>0.46756223219355125</c:v>
                </c:pt>
                <c:pt idx="14217">
                  <c:v>0.47755793535490709</c:v>
                </c:pt>
                <c:pt idx="14218">
                  <c:v>0.4893933885698149</c:v>
                </c:pt>
                <c:pt idx="14219">
                  <c:v>0.48741385995836894</c:v>
                </c:pt>
                <c:pt idx="14220">
                  <c:v>0.44905963930513698</c:v>
                </c:pt>
                <c:pt idx="14221">
                  <c:v>0.4593532788486302</c:v>
                </c:pt>
                <c:pt idx="14222">
                  <c:v>0.46688466570746012</c:v>
                </c:pt>
                <c:pt idx="14223">
                  <c:v>0.47363030008475665</c:v>
                </c:pt>
                <c:pt idx="14224">
                  <c:v>0.47862968733617484</c:v>
                </c:pt>
                <c:pt idx="14225">
                  <c:v>0.51000502353915567</c:v>
                </c:pt>
                <c:pt idx="14226">
                  <c:v>0.49559941868892127</c:v>
                </c:pt>
                <c:pt idx="14227">
                  <c:v>0.50485890349607254</c:v>
                </c:pt>
                <c:pt idx="14228">
                  <c:v>0.50557049744317084</c:v>
                </c:pt>
                <c:pt idx="14229">
                  <c:v>0.52438209981348216</c:v>
                </c:pt>
                <c:pt idx="14230">
                  <c:v>0.53083210324121088</c:v>
                </c:pt>
              </c:numCache>
            </c:numRef>
          </c:val>
        </c:ser>
        <c:marker val="1"/>
        <c:axId val="118821632"/>
        <c:axId val="118823168"/>
      </c:lineChart>
      <c:catAx>
        <c:axId val="118821632"/>
        <c:scaling>
          <c:orientation val="minMax"/>
        </c:scaling>
        <c:axPos val="b"/>
        <c:tickLblPos val="nextTo"/>
        <c:crossAx val="118823168"/>
        <c:crosses val="autoZero"/>
        <c:auto val="1"/>
        <c:lblAlgn val="ctr"/>
        <c:lblOffset val="100"/>
      </c:catAx>
      <c:valAx>
        <c:axId val="118823168"/>
        <c:scaling>
          <c:orientation val="minMax"/>
        </c:scaling>
        <c:axPos val="l"/>
        <c:majorGridlines/>
        <c:numFmt formatCode="General" sourceLinked="1"/>
        <c:tickLblPos val="nextTo"/>
        <c:crossAx val="1188216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104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4232"/>
  <sheetViews>
    <sheetView tabSelected="1" topLeftCell="W1" workbookViewId="0">
      <selection activeCell="R11" sqref="R11"/>
    </sheetView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1.0596669999999999</v>
      </c>
      <c r="B2">
        <v>3.7116699999999998</v>
      </c>
      <c r="C2">
        <f>LOG10(1.059667)</f>
        <v>2.5169409808640967E-2</v>
      </c>
      <c r="D2">
        <f>LOG10(3.71167)</f>
        <v>0.56956935667669617</v>
      </c>
    </row>
    <row r="3" spans="1:4">
      <c r="A3">
        <v>1.0610010000000001</v>
      </c>
      <c r="B3">
        <v>2.766813</v>
      </c>
      <c r="C3">
        <f>LOG10(1.061001)</f>
        <v>2.5715793226766939E-2</v>
      </c>
      <c r="D3">
        <f>LOG10(2.766813)</f>
        <v>0.44197980756432775</v>
      </c>
    </row>
    <row r="4" spans="1:4">
      <c r="A4">
        <v>1.048305</v>
      </c>
      <c r="B4">
        <v>3.7122790000000001</v>
      </c>
      <c r="C4">
        <f>LOG10(1.048305)</f>
        <v>2.0487657214304948E-2</v>
      </c>
      <c r="D4">
        <f>LOG10(3.712279)</f>
        <v>0.5696406086047664</v>
      </c>
    </row>
    <row r="5" spans="1:4">
      <c r="A5">
        <v>1.042338</v>
      </c>
      <c r="B5">
        <v>3.5853380000000001</v>
      </c>
      <c r="C5">
        <f>LOG10(1.042338)</f>
        <v>1.8008570913784359E-2</v>
      </c>
      <c r="D5">
        <f>LOG10(3.585338)</f>
        <v>0.55453010410854375</v>
      </c>
    </row>
    <row r="6" spans="1:4">
      <c r="A6">
        <v>1.0442130000000001</v>
      </c>
      <c r="B6">
        <v>3.2855379999999998</v>
      </c>
      <c r="C6">
        <f>LOG10(1.044213)</f>
        <v>1.8789095686725679E-2</v>
      </c>
      <c r="D6">
        <f>LOG10(3.285538)</f>
        <v>0.51660649453517071</v>
      </c>
    </row>
    <row r="7" spans="1:4">
      <c r="A7">
        <v>1.049744</v>
      </c>
      <c r="B7">
        <v>3.5183409999999999</v>
      </c>
      <c r="C7">
        <f>LOG10(1.049744)</f>
        <v>2.1083401029112048E-2</v>
      </c>
      <c r="D7">
        <f>LOG10(3.518341)</f>
        <v>0.54633792927760827</v>
      </c>
    </row>
    <row r="8" spans="1:4">
      <c r="A8">
        <v>1.04867</v>
      </c>
      <c r="B8">
        <v>3.4725739999999998</v>
      </c>
      <c r="C8">
        <f>LOG10(1.04867)</f>
        <v>2.063884403102478E-2</v>
      </c>
      <c r="D8">
        <f>LOG10(3.472574)</f>
        <v>0.54065150925464456</v>
      </c>
    </row>
    <row r="9" spans="1:4">
      <c r="A9">
        <v>1.0442929999999999</v>
      </c>
      <c r="B9">
        <v>3.5613410000000001</v>
      </c>
      <c r="C9">
        <f>LOG10(1.044293)</f>
        <v>1.8822366894535657E-2</v>
      </c>
      <c r="D9">
        <f>LOG10(3.561341)</f>
        <v>0.55161355955688474</v>
      </c>
    </row>
    <row r="10" spans="1:4">
      <c r="A10">
        <v>1.0522800000000001</v>
      </c>
      <c r="B10">
        <v>3.6391089999999999</v>
      </c>
      <c r="C10">
        <f>LOG10(1.05228)</f>
        <v>2.2131316124723733E-2</v>
      </c>
      <c r="D10">
        <f>LOG10(3.639109)</f>
        <v>0.56099506393731424</v>
      </c>
    </row>
    <row r="11" spans="1:4">
      <c r="A11">
        <v>1.056846</v>
      </c>
      <c r="B11">
        <v>3.6146569999999998</v>
      </c>
      <c r="C11">
        <f>LOG10(1.056846)</f>
        <v>2.4011708004836159E-2</v>
      </c>
      <c r="D11">
        <f>LOG10(3.614657)</f>
        <v>0.55806709275787292</v>
      </c>
    </row>
    <row r="12" spans="1:4">
      <c r="A12">
        <v>1.052459</v>
      </c>
      <c r="B12">
        <v>3.8274750000000002</v>
      </c>
      <c r="C12">
        <f>LOG10(1.052459)</f>
        <v>2.2205186293374646E-2</v>
      </c>
      <c r="D12">
        <f>LOG10(3.827475)</f>
        <v>0.58291236268904301</v>
      </c>
    </row>
    <row r="13" spans="1:4">
      <c r="A13">
        <v>1.0443690000000001</v>
      </c>
      <c r="B13">
        <v>2.704113</v>
      </c>
      <c r="C13">
        <f>LOG10(1.044369)</f>
        <v>1.8853972181211331E-2</v>
      </c>
      <c r="D13">
        <f>LOG10(2.704113)</f>
        <v>0.43202483603108394</v>
      </c>
    </row>
    <row r="14" spans="1:4">
      <c r="A14">
        <v>1.027264</v>
      </c>
      <c r="B14">
        <v>3.8178390000000002</v>
      </c>
      <c r="C14">
        <f>LOG10(1.027264)</f>
        <v>1.1682068728082837E-2</v>
      </c>
      <c r="D14">
        <f>LOG10(3.817839)</f>
        <v>0.58181761004877564</v>
      </c>
    </row>
    <row r="15" spans="1:4">
      <c r="A15">
        <v>1.032314</v>
      </c>
      <c r="B15">
        <v>3.7436370000000001</v>
      </c>
      <c r="C15">
        <f>LOG10(1.032314)</f>
        <v>1.3811817180288222E-2</v>
      </c>
      <c r="D15">
        <f>LOG10(3.743637)</f>
        <v>0.57329373094751546</v>
      </c>
    </row>
    <row r="16" spans="1:4">
      <c r="A16">
        <v>1.028014</v>
      </c>
      <c r="B16">
        <v>3.7406640000000002</v>
      </c>
      <c r="C16">
        <f>LOG10(1.028014)</f>
        <v>1.1999029135273854E-2</v>
      </c>
      <c r="D16">
        <f>LOG10(3.740664)</f>
        <v>0.57294870004546861</v>
      </c>
    </row>
    <row r="17" spans="1:4">
      <c r="A17">
        <v>1.01004</v>
      </c>
      <c r="B17">
        <v>2.1386470000000002</v>
      </c>
      <c r="C17">
        <f>LOG10(1.01004)</f>
        <v>4.3385732235233709E-3</v>
      </c>
      <c r="D17">
        <f>LOG10(2.138647)</f>
        <v>0.33013910686999731</v>
      </c>
    </row>
    <row r="18" spans="1:4">
      <c r="A18">
        <v>1.0591250000000001</v>
      </c>
      <c r="B18">
        <v>3.5891639999999998</v>
      </c>
      <c r="C18">
        <f>LOG10(1.059125)</f>
        <v>2.4947219414939444E-2</v>
      </c>
      <c r="D18">
        <f>LOG10(3.589164)</f>
        <v>0.55499330304423966</v>
      </c>
    </row>
    <row r="19" spans="1:4">
      <c r="A19">
        <v>1.0427660000000001</v>
      </c>
      <c r="B19">
        <v>3.5769839999999999</v>
      </c>
      <c r="C19">
        <f>LOG10(1.042766)</f>
        <v>1.8186862299600343E-2</v>
      </c>
      <c r="D19">
        <f>LOG10(3.576984)</f>
        <v>0.55351699753581574</v>
      </c>
    </row>
    <row r="20" spans="1:4">
      <c r="A20">
        <v>1.0277339999999999</v>
      </c>
      <c r="B20">
        <v>3.6447280000000002</v>
      </c>
      <c r="C20">
        <f>LOG10(1.027734)</f>
        <v>1.1880724308335045E-2</v>
      </c>
      <c r="D20">
        <f>LOG10(3.644728)</f>
        <v>0.56166512318710182</v>
      </c>
    </row>
    <row r="21" spans="1:4">
      <c r="A21">
        <v>1.02722</v>
      </c>
      <c r="B21">
        <v>3.7359849999999999</v>
      </c>
      <c r="C21">
        <f>LOG10(1.02722)</f>
        <v>1.1663466531904493E-2</v>
      </c>
      <c r="D21">
        <f>LOG10(3.735985)</f>
        <v>0.57240512386686027</v>
      </c>
    </row>
    <row r="22" spans="1:4">
      <c r="A22">
        <v>1.0464469999999999</v>
      </c>
      <c r="B22">
        <v>3.1830280000000002</v>
      </c>
      <c r="C22">
        <f>LOG10(1.046447)</f>
        <v>1.9717237270573375E-2</v>
      </c>
      <c r="D22">
        <f>LOG10(3.183028)</f>
        <v>0.50284045897664509</v>
      </c>
    </row>
    <row r="23" spans="1:4">
      <c r="A23">
        <v>1.05044</v>
      </c>
      <c r="B23">
        <v>3.2780900000000002</v>
      </c>
      <c r="C23">
        <f>LOG10(1.05044)</f>
        <v>2.1371251017941888E-2</v>
      </c>
      <c r="D23">
        <f>LOG10(3.27809)</f>
        <v>0.51562087295833814</v>
      </c>
    </row>
    <row r="24" spans="1:4">
      <c r="A24">
        <v>1.0448630000000001</v>
      </c>
      <c r="B24">
        <v>3.3307259999999999</v>
      </c>
      <c r="C24">
        <f>LOG10(1.044863)</f>
        <v>1.9059350500190229E-2</v>
      </c>
      <c r="D24">
        <f>LOG10(3.330726)</f>
        <v>0.52253890720858909</v>
      </c>
    </row>
    <row r="25" spans="1:4">
      <c r="A25">
        <v>1.0499940000000001</v>
      </c>
      <c r="B25">
        <v>3.286613</v>
      </c>
      <c r="C25">
        <f>LOG10(1.049994)</f>
        <v>2.1186817380093828E-2</v>
      </c>
      <c r="D25">
        <f>LOG10(3.286613)</f>
        <v>0.51674856874259822</v>
      </c>
    </row>
    <row r="26" spans="1:4">
      <c r="A26">
        <v>1.0468630000000001</v>
      </c>
      <c r="B26">
        <v>3.2756080000000001</v>
      </c>
      <c r="C26">
        <f>LOG10(1.046863)</f>
        <v>1.9889850506883511E-2</v>
      </c>
      <c r="D26">
        <f>LOG10(3.275608)</f>
        <v>0.51529192311792194</v>
      </c>
    </row>
    <row r="27" spans="1:4">
      <c r="A27">
        <v>1.038543</v>
      </c>
      <c r="B27">
        <v>3.354336</v>
      </c>
      <c r="C27">
        <f>LOG10(1.038543)</f>
        <v>1.6424482841375158E-2</v>
      </c>
      <c r="D27">
        <f>LOG10(3.354336)</f>
        <v>0.52560656323047483</v>
      </c>
    </row>
    <row r="28" spans="1:4">
      <c r="A28">
        <v>1.0343819999999999</v>
      </c>
      <c r="B28">
        <v>2.3236249999999998</v>
      </c>
      <c r="C28">
        <f>LOG10(1.034382)</f>
        <v>1.4680954478011403E-2</v>
      </c>
      <c r="D28">
        <f>LOG10(2.323625)</f>
        <v>0.3661660404258299</v>
      </c>
    </row>
    <row r="29" spans="1:4">
      <c r="A29">
        <v>1.039954</v>
      </c>
      <c r="B29">
        <v>2.8542589999999999</v>
      </c>
      <c r="C29">
        <f>LOG10(1.039954)</f>
        <v>1.7014129694942204E-2</v>
      </c>
      <c r="D29">
        <f>LOG10(2.854259)</f>
        <v>0.45549337913856103</v>
      </c>
    </row>
    <row r="30" spans="1:4">
      <c r="A30">
        <v>1.045086</v>
      </c>
      <c r="B30">
        <v>3.28173</v>
      </c>
      <c r="C30">
        <f>LOG10(1.045086)</f>
        <v>1.9152029957757763E-2</v>
      </c>
      <c r="D30">
        <f>LOG10(3.28173)</f>
        <v>0.51610284718213617</v>
      </c>
    </row>
    <row r="31" spans="1:4">
      <c r="A31">
        <v>1.04949</v>
      </c>
      <c r="B31">
        <v>3.3025519999999999</v>
      </c>
      <c r="C31">
        <f>LOG10(1.04949)</f>
        <v>2.0978304790253744E-2</v>
      </c>
      <c r="D31">
        <f>LOG10(3.302552)</f>
        <v>0.51884966448043801</v>
      </c>
    </row>
    <row r="32" spans="1:4">
      <c r="A32">
        <v>1.0543199999999999</v>
      </c>
      <c r="B32">
        <v>3.245552</v>
      </c>
      <c r="C32">
        <f>LOG10(1.05432)</f>
        <v>2.2972444976926409E-2</v>
      </c>
      <c r="D32">
        <f>LOG10(3.245552)</f>
        <v>0.51128857175774312</v>
      </c>
    </row>
    <row r="33" spans="1:4">
      <c r="A33">
        <v>1.038327</v>
      </c>
      <c r="B33">
        <v>3.3916870000000001</v>
      </c>
      <c r="C33">
        <f>LOG10(1.038327)</f>
        <v>1.6334147280238135E-2</v>
      </c>
      <c r="D33">
        <f>LOG10(3.391687)</f>
        <v>0.53041576680255698</v>
      </c>
    </row>
    <row r="34" spans="1:4">
      <c r="A34">
        <v>1.0380370000000001</v>
      </c>
      <c r="B34">
        <v>3.2067299999999999</v>
      </c>
      <c r="C34">
        <f>LOG10(1.038037)</f>
        <v>1.6212833868359644E-2</v>
      </c>
      <c r="D34">
        <f>LOG10(3.20673)</f>
        <v>0.50606239477518855</v>
      </c>
    </row>
    <row r="35" spans="1:4">
      <c r="A35">
        <v>1.04674</v>
      </c>
      <c r="B35">
        <v>2.764615</v>
      </c>
      <c r="C35">
        <f>LOG10(1.04674)</f>
        <v>1.9838820563445717E-2</v>
      </c>
      <c r="D35">
        <f>LOG10(2.764615)</f>
        <v>0.44163466004673707</v>
      </c>
    </row>
    <row r="36" spans="1:4">
      <c r="A36">
        <v>1.036737</v>
      </c>
      <c r="B36">
        <v>3.3675890000000002</v>
      </c>
      <c r="C36">
        <f>LOG10(1.036737)</f>
        <v>1.5668598303080275E-2</v>
      </c>
      <c r="D36">
        <f>LOG10(3.367589)</f>
        <v>0.52731908225638235</v>
      </c>
    </row>
    <row r="37" spans="1:4">
      <c r="A37">
        <v>1.0349250000000001</v>
      </c>
      <c r="B37">
        <v>3.2395839999999998</v>
      </c>
      <c r="C37">
        <f>LOG10(1.034925)</f>
        <v>1.490887803801118E-2</v>
      </c>
      <c r="D37">
        <f>LOG10(3.239584)</f>
        <v>0.5104892453597577</v>
      </c>
    </row>
    <row r="38" spans="1:4">
      <c r="A38">
        <v>1.0362640000000001</v>
      </c>
      <c r="B38">
        <v>3.3827590000000001</v>
      </c>
      <c r="C38">
        <f>LOG10(1.036264)</f>
        <v>1.5470410947159929E-2</v>
      </c>
      <c r="D38">
        <f>LOG10(3.382759)</f>
        <v>0.52927105817863807</v>
      </c>
    </row>
    <row r="39" spans="1:4">
      <c r="A39">
        <v>1.044338</v>
      </c>
      <c r="B39">
        <v>3.6216360000000001</v>
      </c>
      <c r="C39">
        <f>LOG10(1.044338)</f>
        <v>1.8841080828867474E-2</v>
      </c>
      <c r="D39">
        <f>LOG10(3.621636)</f>
        <v>0.55890479850830321</v>
      </c>
    </row>
    <row r="40" spans="1:4">
      <c r="A40">
        <v>1.043812</v>
      </c>
      <c r="B40">
        <v>3.660765</v>
      </c>
      <c r="C40">
        <f>LOG10(1.043812)</f>
        <v>1.8622285337822495E-2</v>
      </c>
      <c r="D40">
        <f>LOG10(3.660765)</f>
        <v>0.5635718505753351</v>
      </c>
    </row>
    <row r="41" spans="1:4">
      <c r="A41">
        <v>1</v>
      </c>
      <c r="B41">
        <v>1.293515</v>
      </c>
      <c r="C41">
        <f>LOG10(1)</f>
        <v>0</v>
      </c>
      <c r="D41">
        <f>LOG10(1.293515)</f>
        <v>0.1117714692948945</v>
      </c>
    </row>
    <row r="42" spans="1:4">
      <c r="A42">
        <v>1.042367</v>
      </c>
      <c r="B42">
        <v>2.9592200000000002</v>
      </c>
      <c r="C42">
        <f>LOG10(1.042367)</f>
        <v>1.8020653716843815E-2</v>
      </c>
      <c r="D42">
        <f>LOG10(2.95922)</f>
        <v>0.4711772535128953</v>
      </c>
    </row>
    <row r="43" spans="1:4">
      <c r="A43">
        <v>1.0512840000000001</v>
      </c>
      <c r="B43">
        <v>3.6095039999999998</v>
      </c>
      <c r="C43">
        <f>LOG10(1.051284)</f>
        <v>2.1720054726163975E-2</v>
      </c>
      <c r="D43">
        <f>LOG10(3.609504)</f>
        <v>0.55744752742847414</v>
      </c>
    </row>
    <row r="44" spans="1:4">
      <c r="A44">
        <v>1.0458270000000001</v>
      </c>
      <c r="B44">
        <v>3.4162400000000002</v>
      </c>
      <c r="C44">
        <f>LOG10(1.045827)</f>
        <v>1.9459849770980774E-2</v>
      </c>
      <c r="D44">
        <f>LOG10(3.41624)</f>
        <v>0.53354837343802397</v>
      </c>
    </row>
    <row r="45" spans="1:4">
      <c r="A45">
        <v>1.0477050000000001</v>
      </c>
      <c r="B45">
        <v>3.3279939999999999</v>
      </c>
      <c r="C45">
        <f>LOG10(1.047705)</f>
        <v>2.0239016514824064E-2</v>
      </c>
      <c r="D45">
        <f>LOG10(3.327994)</f>
        <v>0.52218253463514053</v>
      </c>
    </row>
    <row r="46" spans="1:4">
      <c r="A46">
        <v>1.0540320000000001</v>
      </c>
      <c r="B46">
        <v>3.2773020000000002</v>
      </c>
      <c r="C46">
        <f>LOG10(1.054032)</f>
        <v>2.2853796087589123E-2</v>
      </c>
      <c r="D46">
        <f>LOG10(3.277302)</f>
        <v>0.51551646301507681</v>
      </c>
    </row>
    <row r="47" spans="1:4">
      <c r="A47">
        <v>1.0659130000000001</v>
      </c>
      <c r="B47">
        <v>3.2498719999999999</v>
      </c>
      <c r="C47">
        <f>LOG10(1.065913)</f>
        <v>2.7721758947742651E-2</v>
      </c>
      <c r="D47">
        <f>LOG10(3.249872)</f>
        <v>0.51186625612090464</v>
      </c>
    </row>
    <row r="48" spans="1:4">
      <c r="A48">
        <v>1.0450200000000001</v>
      </c>
      <c r="B48">
        <v>2.8455859999999999</v>
      </c>
      <c r="C48">
        <f>LOG10(1.04502)</f>
        <v>1.9124602223647535E-2</v>
      </c>
      <c r="D48">
        <f>LOG10(2.845586)</f>
        <v>0.45417171549733898</v>
      </c>
    </row>
    <row r="49" spans="1:4">
      <c r="A49">
        <v>1.06562</v>
      </c>
      <c r="B49">
        <v>3.1271640000000001</v>
      </c>
      <c r="C49">
        <f>LOG10(1.06562)</f>
        <v>2.7602362922441465E-2</v>
      </c>
      <c r="D49">
        <f>LOG10(3.127164)</f>
        <v>0.49515065784266693</v>
      </c>
    </row>
    <row r="50" spans="1:4">
      <c r="A50">
        <v>1.0575490000000001</v>
      </c>
      <c r="B50">
        <v>3.1426919999999998</v>
      </c>
      <c r="C50">
        <f>LOG10(1.057549)</f>
        <v>2.4300498918575691E-2</v>
      </c>
      <c r="D50">
        <f>LOG10(3.142692)</f>
        <v>0.49730182000742129</v>
      </c>
    </row>
    <row r="51" spans="1:4">
      <c r="A51">
        <v>1.0588470000000001</v>
      </c>
      <c r="B51">
        <v>3.0448970000000002</v>
      </c>
      <c r="C51">
        <f>LOG10(1.058847)</f>
        <v>2.483321047935157E-2</v>
      </c>
      <c r="D51">
        <f>LOG10(3.044897)</f>
        <v>0.48357260629953136</v>
      </c>
    </row>
    <row r="52" spans="1:4">
      <c r="A52">
        <v>1.045981</v>
      </c>
      <c r="B52">
        <v>3.0047860000000002</v>
      </c>
      <c r="C52">
        <f>LOG10(1.045981)</f>
        <v>1.952379574530913E-2</v>
      </c>
      <c r="D52">
        <f>LOG10(3.004786)</f>
        <v>0.47781354711127283</v>
      </c>
    </row>
    <row r="53" spans="1:4">
      <c r="A53">
        <v>1.053061</v>
      </c>
      <c r="B53">
        <v>2.8762370000000002</v>
      </c>
      <c r="C53">
        <f>LOG10(1.053061)</f>
        <v>2.2453529016530839E-2</v>
      </c>
      <c r="D53">
        <f>LOG10(2.876237)</f>
        <v>0.4588246687593513</v>
      </c>
    </row>
    <row r="54" spans="1:4">
      <c r="A54">
        <v>1.045285</v>
      </c>
      <c r="B54">
        <v>2.7862499999999999</v>
      </c>
      <c r="C54">
        <f>LOG10(1.045285)</f>
        <v>1.9234718248171145E-2</v>
      </c>
      <c r="D54">
        <f>LOG10(2.78625)</f>
        <v>0.44502008148829414</v>
      </c>
    </row>
    <row r="55" spans="1:4">
      <c r="A55">
        <v>1.0525949999999999</v>
      </c>
      <c r="B55">
        <v>2.853342</v>
      </c>
      <c r="C55">
        <f>LOG10(1.052595)</f>
        <v>2.2261302715681133E-2</v>
      </c>
      <c r="D55">
        <f>LOG10(2.853342)</f>
        <v>0.45535382907424093</v>
      </c>
    </row>
    <row r="56" spans="1:4">
      <c r="A56">
        <v>1.052554</v>
      </c>
      <c r="B56">
        <v>2.840246</v>
      </c>
      <c r="C56">
        <f>LOG10(1.052554)</f>
        <v>2.2244386028301508E-2</v>
      </c>
      <c r="D56">
        <f>LOG10(2.840246)</f>
        <v>0.45335595688356728</v>
      </c>
    </row>
    <row r="57" spans="1:4">
      <c r="A57">
        <v>1.061286</v>
      </c>
      <c r="B57">
        <v>2.9792869999999998</v>
      </c>
      <c r="C57">
        <f>LOG10(1.061286)</f>
        <v>2.5832435253115307E-2</v>
      </c>
      <c r="D57">
        <f>LOG10(2.979287)</f>
        <v>0.47411234158785193</v>
      </c>
    </row>
    <row r="58" spans="1:4">
      <c r="A58">
        <v>1.030119</v>
      </c>
      <c r="B58">
        <v>2.6508099999999999</v>
      </c>
      <c r="C58">
        <f>LOG10(1.030119)</f>
        <v>1.2887397577131515E-2</v>
      </c>
      <c r="D58">
        <f>LOG10(2.65081)</f>
        <v>0.42337860026847401</v>
      </c>
    </row>
    <row r="59" spans="1:4">
      <c r="A59">
        <v>1.040456</v>
      </c>
      <c r="B59">
        <v>2.8881359999999998</v>
      </c>
      <c r="C59">
        <f>LOG10(1.040456)</f>
        <v>1.7223718991423918E-2</v>
      </c>
      <c r="D59">
        <f>LOG10(2.888136)</f>
        <v>0.46061763995676969</v>
      </c>
    </row>
    <row r="60" spans="1:4">
      <c r="A60">
        <v>1.052484</v>
      </c>
      <c r="B60">
        <v>2.760491</v>
      </c>
      <c r="C60">
        <f>LOG10(1.052484)</f>
        <v>2.2215502356135553E-2</v>
      </c>
      <c r="D60">
        <f>LOG10(2.760491)</f>
        <v>0.44098633555269801</v>
      </c>
    </row>
    <row r="61" spans="1:4">
      <c r="A61">
        <v>1.06749</v>
      </c>
      <c r="B61">
        <v>2.816303</v>
      </c>
      <c r="C61">
        <f>LOG10(1.06749)</f>
        <v>2.8363815345622784E-2</v>
      </c>
      <c r="D61">
        <f>LOG10(2.816303)</f>
        <v>0.44967937779569739</v>
      </c>
    </row>
    <row r="62" spans="1:4">
      <c r="A62">
        <v>1.0516399999999999</v>
      </c>
      <c r="B62">
        <v>2.735058</v>
      </c>
      <c r="C62">
        <f>LOG10(1.05164)</f>
        <v>2.1867096499460986E-2</v>
      </c>
      <c r="D62">
        <f>LOG10(2.735058)</f>
        <v>0.43696654047305727</v>
      </c>
    </row>
    <row r="63" spans="1:4">
      <c r="A63">
        <v>1.074397</v>
      </c>
      <c r="B63">
        <v>2.8882840000000001</v>
      </c>
      <c r="C63">
        <f>LOG10(1.074397)</f>
        <v>3.1164786997530978E-2</v>
      </c>
      <c r="D63">
        <f>LOG10(2.888284)</f>
        <v>0.46063989442695563</v>
      </c>
    </row>
    <row r="64" spans="1:4">
      <c r="A64">
        <v>1.0845640000000001</v>
      </c>
      <c r="B64">
        <v>2.889751</v>
      </c>
      <c r="C64">
        <f>LOG10(1.084564)</f>
        <v>3.5255184775053294E-2</v>
      </c>
      <c r="D64">
        <f>LOG10(2.889751)</f>
        <v>0.46086042269258287</v>
      </c>
    </row>
    <row r="65" spans="1:4">
      <c r="A65">
        <v>1.069423</v>
      </c>
      <c r="B65">
        <v>2.7661090000000002</v>
      </c>
      <c r="C65">
        <f>LOG10(1.069423)</f>
        <v>2.9149520203511178E-2</v>
      </c>
      <c r="D65">
        <f>LOG10(2.766109)</f>
        <v>0.44186928971610584</v>
      </c>
    </row>
    <row r="66" spans="1:4">
      <c r="A66">
        <v>1.12914</v>
      </c>
      <c r="B66">
        <v>2.661826</v>
      </c>
      <c r="C66">
        <f>LOG10(1.12914)</f>
        <v>5.2747792640640383E-2</v>
      </c>
      <c r="D66">
        <f>LOG10(2.661826)</f>
        <v>0.42517966281797187</v>
      </c>
    </row>
    <row r="67" spans="1:4">
      <c r="A67">
        <v>1.0995619999999999</v>
      </c>
      <c r="B67">
        <v>2.8461829999999999</v>
      </c>
      <c r="C67">
        <f>LOG10(1.099562)</f>
        <v>4.1219722554226672E-2</v>
      </c>
      <c r="D67">
        <f>LOG10(2.846183)</f>
        <v>0.45426282032139176</v>
      </c>
    </row>
    <row r="68" spans="1:4">
      <c r="A68">
        <v>1.1026879999999999</v>
      </c>
      <c r="B68">
        <v>2.8966189999999998</v>
      </c>
      <c r="C68">
        <f>LOG10(1.102688)</f>
        <v>4.245264839118857E-2</v>
      </c>
      <c r="D68">
        <f>LOG10(2.896619)</f>
        <v>0.46189137505214545</v>
      </c>
    </row>
    <row r="69" spans="1:4">
      <c r="A69">
        <v>1.0864769999999999</v>
      </c>
      <c r="B69">
        <v>2.9234119999999999</v>
      </c>
      <c r="C69">
        <f>LOG10(1.086477)</f>
        <v>3.6020537026712762E-2</v>
      </c>
      <c r="D69">
        <f>LOG10(2.923412)</f>
        <v>0.46589002531897877</v>
      </c>
    </row>
    <row r="70" spans="1:4">
      <c r="A70">
        <v>1.0859460000000001</v>
      </c>
      <c r="B70">
        <v>2.934104</v>
      </c>
      <c r="C70">
        <f>LOG10(1.085946)</f>
        <v>3.5808229962680439E-2</v>
      </c>
      <c r="D70">
        <f>LOG10(2.934104)</f>
        <v>0.46747550344919903</v>
      </c>
    </row>
    <row r="71" spans="1:4">
      <c r="A71">
        <v>1.1254770000000001</v>
      </c>
      <c r="B71">
        <v>2.9283489999999999</v>
      </c>
      <c r="C71">
        <f>LOG10(1.125477)</f>
        <v>5.1336624280877097E-2</v>
      </c>
      <c r="D71">
        <f>LOG10(2.928349)</f>
        <v>0.46662283459327314</v>
      </c>
    </row>
    <row r="72" spans="1:4">
      <c r="A72">
        <v>1.1166050000000001</v>
      </c>
      <c r="B72">
        <v>2.8777490000000001</v>
      </c>
      <c r="C72">
        <f>LOG10(1.116605)</f>
        <v>4.7899568228316938E-2</v>
      </c>
      <c r="D72">
        <f>LOG10(2.877749)</f>
        <v>0.45905291167539308</v>
      </c>
    </row>
    <row r="73" spans="1:4">
      <c r="A73">
        <v>1.117184</v>
      </c>
      <c r="B73">
        <v>2.7987920000000002</v>
      </c>
      <c r="C73">
        <f>LOG10(1.117184)</f>
        <v>4.8124707228153811E-2</v>
      </c>
      <c r="D73">
        <f>LOG10(2.798792)</f>
        <v>0.44697062386493486</v>
      </c>
    </row>
    <row r="74" spans="1:4">
      <c r="A74">
        <v>1.127694</v>
      </c>
      <c r="B74">
        <v>2.8331919999999999</v>
      </c>
      <c r="C74">
        <f>LOG10(1.127694)</f>
        <v>5.2191269735750723E-2</v>
      </c>
      <c r="D74">
        <f>LOG10(2.833192)</f>
        <v>0.4522760068236692</v>
      </c>
    </row>
    <row r="75" spans="1:4">
      <c r="A75">
        <v>1.0611489999999999</v>
      </c>
      <c r="B75">
        <v>3.1511230000000001</v>
      </c>
      <c r="C75">
        <f>LOG10(1.061149)</f>
        <v>2.5776369136505467E-2</v>
      </c>
      <c r="D75">
        <f>LOG10(3.151123)</f>
        <v>0.49846535562677818</v>
      </c>
    </row>
    <row r="76" spans="1:4">
      <c r="A76">
        <v>1.12531</v>
      </c>
      <c r="B76">
        <v>2.9735689999999999</v>
      </c>
      <c r="C76">
        <f>LOG10(1.12531)</f>
        <v>5.1272178219467515E-2</v>
      </c>
      <c r="D76">
        <f>LOG10(2.973569)</f>
        <v>0.47327802051196444</v>
      </c>
    </row>
    <row r="77" spans="1:4">
      <c r="A77">
        <v>1.145378</v>
      </c>
      <c r="B77">
        <v>2.811048</v>
      </c>
      <c r="C77">
        <f>LOG10(1.145378)</f>
        <v>5.8948837088502369E-2</v>
      </c>
      <c r="D77">
        <f>LOG10(2.811048)</f>
        <v>0.44886826145843728</v>
      </c>
    </row>
    <row r="78" spans="1:4">
      <c r="A78">
        <v>1.146547</v>
      </c>
      <c r="B78">
        <v>2.7900610000000001</v>
      </c>
      <c r="C78">
        <f>LOG10(1.146547)</f>
        <v>5.9391862312600491E-2</v>
      </c>
      <c r="D78">
        <f>LOG10(2.790061)</f>
        <v>0.44561369849717924</v>
      </c>
    </row>
    <row r="79" spans="1:4">
      <c r="A79">
        <v>1.1210599999999999</v>
      </c>
      <c r="B79">
        <v>2.8125110000000002</v>
      </c>
      <c r="C79">
        <f>LOG10(1.12106)</f>
        <v>4.9628856994249168E-2</v>
      </c>
      <c r="D79">
        <f>LOG10(2.812511)</f>
        <v>0.44909422969007096</v>
      </c>
    </row>
    <row r="80" spans="1:4">
      <c r="A80">
        <v>1.111164</v>
      </c>
      <c r="B80">
        <v>2.7762859999999998</v>
      </c>
      <c r="C80">
        <f>LOG10(1.111164)</f>
        <v>4.5778162486025814E-2</v>
      </c>
      <c r="D80">
        <f>LOG10(2.776286)</f>
        <v>0.4434642030738582</v>
      </c>
    </row>
    <row r="81" spans="1:4">
      <c r="A81">
        <v>1.093807</v>
      </c>
      <c r="B81">
        <v>2.8128890000000002</v>
      </c>
      <c r="C81">
        <f>LOG10(1.093807)</f>
        <v>3.8940698387354256E-2</v>
      </c>
      <c r="D81">
        <f>LOG10(2.812889)</f>
        <v>0.44915259471812458</v>
      </c>
    </row>
    <row r="82" spans="1:4">
      <c r="A82">
        <v>1.0805450000000001</v>
      </c>
      <c r="B82">
        <v>2.9266070000000002</v>
      </c>
      <c r="C82">
        <f>LOG10(1.080545)</f>
        <v>3.3642858072322902E-2</v>
      </c>
      <c r="D82">
        <f>LOG10(2.926607)</f>
        <v>0.46636440702872828</v>
      </c>
    </row>
    <row r="83" spans="1:4">
      <c r="A83">
        <v>1.0763959999999999</v>
      </c>
      <c r="B83">
        <v>2.9385219999999999</v>
      </c>
      <c r="C83">
        <f>LOG10(1.076396)</f>
        <v>3.1972075211044844E-2</v>
      </c>
      <c r="D83">
        <f>LOG10(2.938522)</f>
        <v>0.4681289465198189</v>
      </c>
    </row>
    <row r="84" spans="1:4">
      <c r="A84">
        <v>1.07778</v>
      </c>
      <c r="B84">
        <v>2.8502730000000001</v>
      </c>
      <c r="C84">
        <f>LOG10(1.07778)</f>
        <v>3.2530120278536821E-2</v>
      </c>
      <c r="D84">
        <f>LOG10(2.850273)</f>
        <v>0.45488645885602164</v>
      </c>
    </row>
    <row r="85" spans="1:4">
      <c r="A85">
        <v>1.09578</v>
      </c>
      <c r="B85">
        <v>2.7087469999999998</v>
      </c>
      <c r="C85">
        <f>LOG10(1.09578)</f>
        <v>3.9723369498121226E-2</v>
      </c>
      <c r="D85">
        <f>LOG10(2.708747)</f>
        <v>0.43276844333694969</v>
      </c>
    </row>
    <row r="86" spans="1:4">
      <c r="A86">
        <v>1.093604</v>
      </c>
      <c r="B86">
        <v>2.8714900000000001</v>
      </c>
      <c r="C86">
        <f>LOG10(1.093604)</f>
        <v>3.8860090051673908E-2</v>
      </c>
      <c r="D86">
        <f>LOG10(2.87149)</f>
        <v>0.4581073081838295</v>
      </c>
    </row>
    <row r="87" spans="1:4">
      <c r="A87">
        <v>1.107578</v>
      </c>
      <c r="B87">
        <v>2.7043970000000002</v>
      </c>
      <c r="C87">
        <f>LOG10(1.107578)</f>
        <v>4.4374320698047233E-2</v>
      </c>
      <c r="D87">
        <f>LOG10(2.704397)</f>
        <v>0.43207044549948614</v>
      </c>
    </row>
    <row r="88" spans="1:4">
      <c r="A88">
        <v>1.100293</v>
      </c>
      <c r="B88">
        <v>2.6325120000000002</v>
      </c>
      <c r="C88">
        <f>LOG10(1.100293)</f>
        <v>4.1508350011905698E-2</v>
      </c>
      <c r="D88">
        <f>LOG10(2.632512)</f>
        <v>0.42037035954295804</v>
      </c>
    </row>
    <row r="89" spans="1:4">
      <c r="A89">
        <v>1.1057889999999999</v>
      </c>
      <c r="B89">
        <v>2.8020670000000001</v>
      </c>
      <c r="C89">
        <f>LOG10(1.105789)</f>
        <v>4.3672265415466545E-2</v>
      </c>
      <c r="D89">
        <f>LOG10(2.802067)</f>
        <v>0.44747851545454098</v>
      </c>
    </row>
    <row r="90" spans="1:4">
      <c r="A90">
        <v>1.099</v>
      </c>
      <c r="B90">
        <v>2.9850789999999998</v>
      </c>
      <c r="C90">
        <f>LOG10(1.099)</f>
        <v>4.0997692423490557E-2</v>
      </c>
      <c r="D90">
        <f>LOG10(2.985079)</f>
        <v>0.47495582920410467</v>
      </c>
    </row>
    <row r="91" spans="1:4">
      <c r="A91">
        <v>1.1080179999999999</v>
      </c>
      <c r="B91">
        <v>2.7709450000000002</v>
      </c>
      <c r="C91">
        <f>LOG10(1.108018)</f>
        <v>4.4546815660621228E-2</v>
      </c>
      <c r="D91">
        <f>LOG10(2.770945)</f>
        <v>0.44262790563298615</v>
      </c>
    </row>
    <row r="92" spans="1:4">
      <c r="A92">
        <v>1.045852</v>
      </c>
      <c r="B92">
        <v>2.7368929999999998</v>
      </c>
      <c r="C92">
        <f>LOG10(1.045852)</f>
        <v>1.9470231251167813E-2</v>
      </c>
      <c r="D92">
        <f>LOG10(2.736893)</f>
        <v>0.43725781881387793</v>
      </c>
    </row>
    <row r="93" spans="1:4">
      <c r="A93">
        <v>1.1251549999999999</v>
      </c>
      <c r="B93">
        <v>2.902263</v>
      </c>
      <c r="C93">
        <f>LOG10(1.125155)</f>
        <v>5.1212354454333198E-2</v>
      </c>
      <c r="D93">
        <f>LOG10(2.902263)</f>
        <v>0.46273676519109042</v>
      </c>
    </row>
    <row r="94" spans="1:4">
      <c r="A94">
        <v>1.1421829999999999</v>
      </c>
      <c r="B94">
        <v>2.9040710000000001</v>
      </c>
      <c r="C94">
        <f>LOG10(1.142183)</f>
        <v>5.7735691933519392E-2</v>
      </c>
      <c r="D94">
        <f>LOG10(2.904071)</f>
        <v>0.46300722997959859</v>
      </c>
    </row>
    <row r="95" spans="1:4">
      <c r="A95">
        <v>1.119399</v>
      </c>
      <c r="B95">
        <v>2.810146</v>
      </c>
      <c r="C95">
        <f>LOG10(1.119399)</f>
        <v>4.8984914599766005E-2</v>
      </c>
      <c r="D95">
        <f>LOG10(2.810146)</f>
        <v>0.44872888408557349</v>
      </c>
    </row>
    <row r="96" spans="1:4">
      <c r="A96">
        <v>1.1165229999999999</v>
      </c>
      <c r="B96">
        <v>2.9869759999999999</v>
      </c>
      <c r="C96">
        <f>LOG10(1.116523)</f>
        <v>4.7867673820533654E-2</v>
      </c>
      <c r="D96">
        <f>LOG10(2.986976)</f>
        <v>0.47523173311318767</v>
      </c>
    </row>
    <row r="97" spans="1:4">
      <c r="A97">
        <v>1.100422</v>
      </c>
      <c r="B97">
        <v>2.9337680000000002</v>
      </c>
      <c r="C97">
        <f>LOG10(1.100422)</f>
        <v>4.155926436313219E-2</v>
      </c>
      <c r="D97">
        <f>LOG10(2.933768)</f>
        <v>0.46742576720884516</v>
      </c>
    </row>
    <row r="98" spans="1:4">
      <c r="A98">
        <v>1.1128880000000001</v>
      </c>
      <c r="B98">
        <v>3.1962989999999998</v>
      </c>
      <c r="C98">
        <f>LOG10(1.112888)</f>
        <v>4.6451459546314494E-2</v>
      </c>
      <c r="D98">
        <f>LOG10(3.196299)</f>
        <v>0.5046473989198812</v>
      </c>
    </row>
    <row r="99" spans="1:4">
      <c r="A99">
        <v>1.129688</v>
      </c>
      <c r="B99">
        <v>2.8732380000000002</v>
      </c>
      <c r="C99">
        <f>LOG10(1.129688)</f>
        <v>5.2958515529458947E-2</v>
      </c>
      <c r="D99">
        <f>LOG10(2.873238)</f>
        <v>0.45837160155952827</v>
      </c>
    </row>
    <row r="100" spans="1:4">
      <c r="A100">
        <v>1.124903</v>
      </c>
      <c r="B100">
        <v>2.8086199999999999</v>
      </c>
      <c r="C100">
        <f>LOG10(1.124903)</f>
        <v>5.1115074997628372E-2</v>
      </c>
      <c r="D100">
        <f>LOG10(2.80862)</f>
        <v>0.44849298410480226</v>
      </c>
    </row>
    <row r="101" spans="1:4">
      <c r="A101">
        <v>1.1468339999999999</v>
      </c>
      <c r="B101">
        <v>2.7778269999999998</v>
      </c>
      <c r="C101">
        <f>LOG10(1.146834)</f>
        <v>5.9500559922772429E-2</v>
      </c>
      <c r="D101">
        <f>LOG10(2.777827)</f>
        <v>0.44370519486274895</v>
      </c>
    </row>
    <row r="102" spans="1:4">
      <c r="A102">
        <v>1.0621160000000001</v>
      </c>
      <c r="B102">
        <v>2.7444190000000002</v>
      </c>
      <c r="C102">
        <f>LOG10(1.062116)</f>
        <v>2.6171951216967713E-2</v>
      </c>
      <c r="D102">
        <f>LOG10(2.744419)</f>
        <v>0.43845041734676243</v>
      </c>
    </row>
    <row r="103" spans="1:4">
      <c r="A103">
        <v>1.0166219999999999</v>
      </c>
      <c r="B103">
        <v>3.0599289999999999</v>
      </c>
      <c r="C103">
        <f>LOG10(1.016622)</f>
        <v>7.159503729089081E-3</v>
      </c>
      <c r="D103">
        <f>LOG10(3.059929)</f>
        <v>0.48571134959728396</v>
      </c>
    </row>
    <row r="104" spans="1:4">
      <c r="A104">
        <v>1.0053259999999999</v>
      </c>
      <c r="B104">
        <v>2.651024</v>
      </c>
      <c r="C104">
        <f>LOG10(1.005326)</f>
        <v>2.3069145359488879E-3</v>
      </c>
      <c r="D104">
        <f>LOG10(2.651024)</f>
        <v>0.42341365946466075</v>
      </c>
    </row>
    <row r="105" spans="1:4">
      <c r="A105">
        <v>1.0085440000000001</v>
      </c>
      <c r="B105">
        <v>2.9530850000000002</v>
      </c>
      <c r="C105">
        <f>LOG10(1.008544)</f>
        <v>3.6948500355091915E-3</v>
      </c>
      <c r="D105">
        <f>LOG10(2.953085)</f>
        <v>0.47027594764224934</v>
      </c>
    </row>
    <row r="106" spans="1:4">
      <c r="A106">
        <v>1.0078260000000001</v>
      </c>
      <c r="B106">
        <v>2.9897830000000001</v>
      </c>
      <c r="C106">
        <f>LOG10(1.007826)</f>
        <v>3.3855581385002663E-3</v>
      </c>
      <c r="D106">
        <f>LOG10(2.989783)</f>
        <v>0.47563966814966263</v>
      </c>
    </row>
    <row r="107" spans="1:4">
      <c r="A107">
        <v>1.010462</v>
      </c>
      <c r="B107">
        <v>3.0433460000000001</v>
      </c>
      <c r="C107">
        <f>LOG10(1.010462)</f>
        <v>4.5199858368521811E-3</v>
      </c>
      <c r="D107">
        <f>LOG10(3.043346)</f>
        <v>0.48335133038922234</v>
      </c>
    </row>
    <row r="108" spans="1:4">
      <c r="A108">
        <v>1.0095689999999999</v>
      </c>
      <c r="B108">
        <v>2.9732539999999998</v>
      </c>
      <c r="C108">
        <f>LOG10(1.009569)</f>
        <v>4.1360065834609439E-3</v>
      </c>
      <c r="D108">
        <f>LOG10(2.973254)</f>
        <v>0.4732320118239885</v>
      </c>
    </row>
    <row r="109" spans="1:4">
      <c r="A109">
        <v>1.0072380000000001</v>
      </c>
      <c r="B109">
        <v>2.9560149999999998</v>
      </c>
      <c r="C109">
        <f>LOG10(1.007238)</f>
        <v>3.132102007472058E-3</v>
      </c>
      <c r="D109">
        <f>LOG10(2.956015)</f>
        <v>0.47070663351192887</v>
      </c>
    </row>
    <row r="110" spans="1:4">
      <c r="A110">
        <v>1.0111730000000001</v>
      </c>
      <c r="B110">
        <v>3.0022690000000001</v>
      </c>
      <c r="C110">
        <f>LOG10(1.011173)</f>
        <v>4.825464708522271E-3</v>
      </c>
      <c r="D110">
        <f>LOG10(3.002269)</f>
        <v>0.47744960195847419</v>
      </c>
    </row>
    <row r="111" spans="1:4">
      <c r="A111">
        <v>1.0114810000000001</v>
      </c>
      <c r="B111">
        <v>2.9560620000000002</v>
      </c>
      <c r="C111">
        <f>LOG10(1.011481)</f>
        <v>4.9577292495263927E-3</v>
      </c>
      <c r="D111">
        <f>LOG10(2.956062)</f>
        <v>0.47071353864548854</v>
      </c>
    </row>
    <row r="112" spans="1:4">
      <c r="A112">
        <v>1.0098720000000001</v>
      </c>
      <c r="B112">
        <v>3.142023</v>
      </c>
      <c r="C112">
        <f>LOG10(1.009872)</f>
        <v>4.2663309940322225E-3</v>
      </c>
      <c r="D112">
        <f>LOG10(3.142023)</f>
        <v>0.49720935980533076</v>
      </c>
    </row>
    <row r="113" spans="1:4">
      <c r="A113">
        <v>1.0134829999999999</v>
      </c>
      <c r="B113">
        <v>2.9642469999999999</v>
      </c>
      <c r="C113">
        <f>LOG10(1.013483)</f>
        <v>5.8164683046933027E-3</v>
      </c>
      <c r="D113">
        <f>LOG10(2.964247)</f>
        <v>0.47191438900623262</v>
      </c>
    </row>
    <row r="114" spans="1:4">
      <c r="A114">
        <v>1.0148919999999999</v>
      </c>
      <c r="B114">
        <v>2.829043</v>
      </c>
      <c r="C114">
        <f>LOG10(1.014892)</f>
        <v>6.419829146180083E-3</v>
      </c>
      <c r="D114">
        <f>LOG10(2.829043)</f>
        <v>0.45163954856013627</v>
      </c>
    </row>
    <row r="115" spans="1:4">
      <c r="A115">
        <v>1.0278039999999999</v>
      </c>
      <c r="B115">
        <v>3.0343520000000002</v>
      </c>
      <c r="C115">
        <f>LOG10(1.027804)</f>
        <v>1.1910303536493305E-2</v>
      </c>
      <c r="D115">
        <f>LOG10(3.034352)</f>
        <v>0.48206595970395788</v>
      </c>
    </row>
    <row r="116" spans="1:4">
      <c r="A116">
        <v>1.0038830000000001</v>
      </c>
      <c r="B116">
        <v>2.1399119999999998</v>
      </c>
      <c r="C116">
        <f>LOG10(1.003883)</f>
        <v>1.6830998455557918E-3</v>
      </c>
      <c r="D116">
        <f>LOG10(2.139912)</f>
        <v>0.33039591414348146</v>
      </c>
    </row>
    <row r="117" spans="1:4">
      <c r="A117">
        <v>1.0034540000000001</v>
      </c>
      <c r="B117">
        <v>2.9491869999999998</v>
      </c>
      <c r="C117">
        <f>LOG10(1.003454)</f>
        <v>1.4974684985790997E-3</v>
      </c>
      <c r="D117">
        <f>LOG10(2.949187)</f>
        <v>0.46970231086760361</v>
      </c>
    </row>
    <row r="118" spans="1:4">
      <c r="A118">
        <v>1.0050300000000001</v>
      </c>
      <c r="B118">
        <v>2.9225490000000001</v>
      </c>
      <c r="C118">
        <f>LOG10(1.00503)</f>
        <v>2.1790255774039851E-3</v>
      </c>
      <c r="D118">
        <f>LOG10(2.922549)</f>
        <v>0.46576180135696293</v>
      </c>
    </row>
    <row r="119" spans="1:4">
      <c r="A119">
        <v>1.0150859999999999</v>
      </c>
      <c r="B119">
        <v>2.9632420000000002</v>
      </c>
      <c r="C119">
        <f>LOG10(1.015086)</f>
        <v>6.5028380553857406E-3</v>
      </c>
      <c r="D119">
        <f>LOG10(2.963242)</f>
        <v>0.47176712059004661</v>
      </c>
    </row>
    <row r="120" spans="1:4">
      <c r="A120">
        <v>1.0114289999999999</v>
      </c>
      <c r="B120">
        <v>3.1004580000000002</v>
      </c>
      <c r="C120">
        <f>LOG10(1.011429)</f>
        <v>4.9354016985587133E-3</v>
      </c>
      <c r="D120">
        <f>LOG10(3.100458)</f>
        <v>0.49142585260224547</v>
      </c>
    </row>
    <row r="121" spans="1:4">
      <c r="A121">
        <v>1.009463</v>
      </c>
      <c r="B121">
        <v>3.056603</v>
      </c>
      <c r="C121">
        <f>LOG10(1.009463)</f>
        <v>4.0904053100546634E-3</v>
      </c>
      <c r="D121">
        <f>LOG10(3.056603)</f>
        <v>0.48523903502779242</v>
      </c>
    </row>
    <row r="122" spans="1:4">
      <c r="A122">
        <v>1.0055270000000001</v>
      </c>
      <c r="B122">
        <v>3.0102220000000002</v>
      </c>
      <c r="C122">
        <f>LOG10(1.005527)</f>
        <v>2.393736587240887E-3</v>
      </c>
      <c r="D122">
        <f>LOG10(3.010222)</f>
        <v>0.47859852543427989</v>
      </c>
    </row>
    <row r="123" spans="1:4">
      <c r="A123">
        <v>1.0107250000000001</v>
      </c>
      <c r="B123">
        <v>2.9382830000000002</v>
      </c>
      <c r="C123">
        <f>LOG10(1.010725)</f>
        <v>4.6330079860993799E-3</v>
      </c>
      <c r="D123">
        <f>LOG10(2.938283)</f>
        <v>0.46809362243428876</v>
      </c>
    </row>
    <row r="124" spans="1:4">
      <c r="A124">
        <v>1.00701</v>
      </c>
      <c r="B124">
        <v>2.868268</v>
      </c>
      <c r="C124">
        <f>LOG10(1.00701)</f>
        <v>3.0337832877345718E-3</v>
      </c>
      <c r="D124">
        <f>LOG10(2.868268)</f>
        <v>0.45761972770825182</v>
      </c>
    </row>
    <row r="125" spans="1:4">
      <c r="A125">
        <v>1.0137370000000001</v>
      </c>
      <c r="B125">
        <v>3.0150619999999999</v>
      </c>
      <c r="C125">
        <f>LOG10(1.013737)</f>
        <v>5.9252979324404247E-3</v>
      </c>
      <c r="D125">
        <f>LOG10(3.015062)</f>
        <v>0.47929624714981123</v>
      </c>
    </row>
    <row r="126" spans="1:4">
      <c r="A126">
        <v>1.008777</v>
      </c>
      <c r="B126">
        <v>2.790629</v>
      </c>
      <c r="C126">
        <f>LOG10(1.008777)</f>
        <v>3.7951718134844304E-3</v>
      </c>
      <c r="D126">
        <f>LOG10(2.790629)</f>
        <v>0.44570210307316277</v>
      </c>
    </row>
    <row r="127" spans="1:4">
      <c r="A127">
        <v>1.0165770000000001</v>
      </c>
      <c r="B127">
        <v>2.9807570000000001</v>
      </c>
      <c r="C127">
        <f>LOG10(1.016577)</f>
        <v>7.1402795885216579E-3</v>
      </c>
      <c r="D127">
        <f>LOG10(2.980757)</f>
        <v>0.47432657252351057</v>
      </c>
    </row>
    <row r="128" spans="1:4">
      <c r="A128">
        <v>1.0083489999999999</v>
      </c>
      <c r="B128">
        <v>3.1211220000000002</v>
      </c>
      <c r="C128">
        <f>LOG10(1.008349)</f>
        <v>3.6108719323226729E-3</v>
      </c>
      <c r="D128">
        <f>LOG10(3.121122)</f>
        <v>0.49431074492013805</v>
      </c>
    </row>
    <row r="129" spans="1:4">
      <c r="A129">
        <v>1.0060229999999999</v>
      </c>
      <c r="B129">
        <v>2.9999319999999998</v>
      </c>
      <c r="C129">
        <f>LOG10(1.006023)</f>
        <v>2.6079098043019235E-3</v>
      </c>
      <c r="D129">
        <f>LOG10(2.999932)</f>
        <v>0.4771114105998388</v>
      </c>
    </row>
    <row r="130" spans="1:4">
      <c r="A130">
        <v>1.0072460000000001</v>
      </c>
      <c r="B130">
        <v>2.8065410000000002</v>
      </c>
      <c r="C130">
        <f>LOG10(1.007246)</f>
        <v>3.1355513829500938E-3</v>
      </c>
      <c r="D130">
        <f>LOG10(2.806541)</f>
        <v>0.44817139109290671</v>
      </c>
    </row>
    <row r="131" spans="1:4">
      <c r="A131">
        <v>1.0092920000000001</v>
      </c>
      <c r="B131">
        <v>2.9382709999999999</v>
      </c>
      <c r="C131">
        <f>LOG10(1.009292)</f>
        <v>4.0168308975251209E-3</v>
      </c>
      <c r="D131">
        <f>LOG10(2.938271)</f>
        <v>0.46809184876428317</v>
      </c>
    </row>
    <row r="132" spans="1:4">
      <c r="A132">
        <v>1.0127889999999999</v>
      </c>
      <c r="B132">
        <v>3.004092</v>
      </c>
      <c r="C132">
        <f>LOG10(1.012789)</f>
        <v>5.5189757842160018E-3</v>
      </c>
      <c r="D132">
        <f>LOG10(3.004092)</f>
        <v>0.47771322875840194</v>
      </c>
    </row>
    <row r="133" spans="1:4">
      <c r="A133">
        <v>1.0125649999999999</v>
      </c>
      <c r="B133">
        <v>3.1154980000000001</v>
      </c>
      <c r="C133">
        <f>LOG10(1.012565)</f>
        <v>5.4229116252166596E-3</v>
      </c>
      <c r="D133">
        <f>LOG10(3.115498)</f>
        <v>0.49352747679468262</v>
      </c>
    </row>
    <row r="134" spans="1:4">
      <c r="A134">
        <v>1.0096320000000001</v>
      </c>
      <c r="B134">
        <v>2.940261</v>
      </c>
      <c r="C134">
        <f>LOG10(1.009632)</f>
        <v>4.1631069586775234E-3</v>
      </c>
      <c r="D134">
        <f>LOG10(2.940261)</f>
        <v>0.46838588341511112</v>
      </c>
    </row>
    <row r="135" spans="1:4">
      <c r="A135">
        <v>1.0054019999999999</v>
      </c>
      <c r="B135">
        <v>3.2118790000000002</v>
      </c>
      <c r="C135">
        <f>LOG10(1.005402)</f>
        <v>2.3397448149725547E-3</v>
      </c>
      <c r="D135">
        <f>LOG10(3.211879)</f>
        <v>0.50675917588991237</v>
      </c>
    </row>
    <row r="136" spans="1:4">
      <c r="A136">
        <v>1.0114320000000001</v>
      </c>
      <c r="B136">
        <v>3.1433110000000002</v>
      </c>
      <c r="C136">
        <f>LOG10(1.011432)</f>
        <v>4.9366898577014292E-3</v>
      </c>
      <c r="D136">
        <f>LOG10(3.143311)</f>
        <v>0.49738735235131842</v>
      </c>
    </row>
    <row r="137" spans="1:4">
      <c r="A137">
        <v>1.005895</v>
      </c>
      <c r="B137">
        <v>3.4377279999999999</v>
      </c>
      <c r="C137">
        <f>LOG10(1.005895)</f>
        <v>2.5526494072493824E-3</v>
      </c>
      <c r="D137">
        <f>LOG10(3.437728)</f>
        <v>0.53627151145160901</v>
      </c>
    </row>
    <row r="138" spans="1:4">
      <c r="A138">
        <v>1.010257</v>
      </c>
      <c r="B138">
        <v>3.0485129999999998</v>
      </c>
      <c r="C138">
        <f>LOG10(1.010257)</f>
        <v>4.4318683211603885E-3</v>
      </c>
      <c r="D138">
        <f>LOG10(3.048513)</f>
        <v>0.48408805135604499</v>
      </c>
    </row>
    <row r="139" spans="1:4">
      <c r="A139">
        <v>1.0122249999999999</v>
      </c>
      <c r="B139">
        <v>2.925465</v>
      </c>
      <c r="C139">
        <f>LOG10(1.012225)</f>
        <v>5.2770593390685152E-3</v>
      </c>
      <c r="D139">
        <f>LOG10(2.925465)</f>
        <v>0.46619490661771851</v>
      </c>
    </row>
    <row r="140" spans="1:4">
      <c r="A140">
        <v>1.010551</v>
      </c>
      <c r="B140">
        <v>2.9251209999999999</v>
      </c>
      <c r="C140">
        <f>LOG10(1.010551)</f>
        <v>4.5582361686554674E-3</v>
      </c>
      <c r="D140">
        <f>LOG10(2.925121)</f>
        <v>0.46614383573287144</v>
      </c>
    </row>
    <row r="141" spans="1:4">
      <c r="A141">
        <v>1.0104900000000001</v>
      </c>
      <c r="B141">
        <v>3.206709</v>
      </c>
      <c r="C141">
        <f>LOG10(1.01049)</f>
        <v>4.5320200123240674E-3</v>
      </c>
      <c r="D141">
        <f>LOG10(3.206709)</f>
        <v>0.50605955068978603</v>
      </c>
    </row>
    <row r="142" spans="1:4">
      <c r="A142">
        <v>1.016937</v>
      </c>
      <c r="B142">
        <v>3.0555110000000001</v>
      </c>
      <c r="C142">
        <f>LOG10(1.016937)</f>
        <v>7.2940488914312734E-3</v>
      </c>
      <c r="D142">
        <f>LOG10(3.055511)</f>
        <v>0.48508385154159295</v>
      </c>
    </row>
    <row r="143" spans="1:4">
      <c r="A143">
        <v>1.0087950000000001</v>
      </c>
      <c r="B143">
        <v>3.3143699999999998</v>
      </c>
      <c r="C143">
        <f>LOG10(1.008795)</f>
        <v>3.802921029546606E-3</v>
      </c>
      <c r="D143">
        <f>LOG10(3.31437)</f>
        <v>0.5204009892941529</v>
      </c>
    </row>
    <row r="144" spans="1:4">
      <c r="A144">
        <v>1.0045850000000001</v>
      </c>
      <c r="B144">
        <v>2.5678770000000002</v>
      </c>
      <c r="C144">
        <f>LOG10(1.004585)</f>
        <v>1.986689186995151E-3</v>
      </c>
      <c r="D144">
        <f>LOG10(2.567877)</f>
        <v>0.40957421741059824</v>
      </c>
    </row>
    <row r="145" spans="1:4">
      <c r="A145">
        <v>1.0064789999999999</v>
      </c>
      <c r="B145">
        <v>2.6790660000000002</v>
      </c>
      <c r="C145">
        <f>LOG10(1.006479)</f>
        <v>2.8047178443803859E-3</v>
      </c>
      <c r="D145">
        <f>LOG10(2.679066)</f>
        <v>0.42798341278056212</v>
      </c>
    </row>
    <row r="146" spans="1:4">
      <c r="A146">
        <v>1.0134460000000001</v>
      </c>
      <c r="B146">
        <v>3.3571049999999998</v>
      </c>
      <c r="C146">
        <f>LOG10(1.013446)</f>
        <v>5.800612894037935E-3</v>
      </c>
      <c r="D146">
        <f>LOG10(3.357105)</f>
        <v>0.52596492486655988</v>
      </c>
    </row>
    <row r="147" spans="1:4">
      <c r="A147">
        <v>1.02345</v>
      </c>
      <c r="B147">
        <v>3.2736710000000002</v>
      </c>
      <c r="C147">
        <f>LOG10(1.02345)</f>
        <v>1.0066630335587421E-2</v>
      </c>
      <c r="D147">
        <f>LOG10(3.273671)</f>
        <v>0.51503503119562799</v>
      </c>
    </row>
    <row r="148" spans="1:4">
      <c r="A148">
        <v>1.034681</v>
      </c>
      <c r="B148">
        <v>3.3005450000000001</v>
      </c>
      <c r="C148">
        <f>LOG10(1.034681)</f>
        <v>1.4806474146569598E-2</v>
      </c>
      <c r="D148">
        <f>LOG10(3.300545)</f>
        <v>0.51858565834755177</v>
      </c>
    </row>
    <row r="149" spans="1:4">
      <c r="A149">
        <v>1.016581</v>
      </c>
      <c r="B149">
        <v>2.6845270000000001</v>
      </c>
      <c r="C149">
        <f>LOG10(1.016581)</f>
        <v>7.1419884354755776E-3</v>
      </c>
      <c r="D149">
        <f>LOG10(2.684527)</f>
        <v>0.42886777629778278</v>
      </c>
    </row>
    <row r="150" spans="1:4">
      <c r="A150">
        <v>1.0250269999999999</v>
      </c>
      <c r="B150">
        <v>2.7364639999999998</v>
      </c>
      <c r="C150">
        <f>LOG10(1.025027)</f>
        <v>1.0735305193309402E-2</v>
      </c>
      <c r="D150">
        <f>LOG10(2.736464)</f>
        <v>0.43718973908397246</v>
      </c>
    </row>
    <row r="151" spans="1:4">
      <c r="A151">
        <v>1.0165569999999999</v>
      </c>
      <c r="B151">
        <v>3.34076</v>
      </c>
      <c r="C151">
        <f>LOG10(1.016557)</f>
        <v>7.1317352528916383E-3</v>
      </c>
      <c r="D151">
        <f>LOG10(3.34076)</f>
        <v>0.52384527706898132</v>
      </c>
    </row>
    <row r="152" spans="1:4">
      <c r="A152">
        <v>1.0223850000000001</v>
      </c>
      <c r="B152">
        <v>3.2370719999999999</v>
      </c>
      <c r="C152">
        <f>LOG10(1.022385)</f>
        <v>9.6144690762413557E-3</v>
      </c>
      <c r="D152">
        <f>LOG10(3.237072)</f>
        <v>0.51015235922801161</v>
      </c>
    </row>
    <row r="153" spans="1:4">
      <c r="A153">
        <v>1.0300720000000001</v>
      </c>
      <c r="B153">
        <v>3.283191</v>
      </c>
      <c r="C153">
        <f>LOG10(1.030072)</f>
        <v>1.2867582093370102E-2</v>
      </c>
      <c r="D153">
        <f>LOG10(3.283191)</f>
        <v>0.5162961485938472</v>
      </c>
    </row>
    <row r="154" spans="1:4">
      <c r="A154">
        <v>1.049096</v>
      </c>
      <c r="B154">
        <v>2.278203</v>
      </c>
      <c r="C154">
        <f>LOG10(1.049096)</f>
        <v>2.0815231151260292E-2</v>
      </c>
      <c r="D154">
        <f>LOG10(2.278203)</f>
        <v>0.35759241941466541</v>
      </c>
    </row>
    <row r="155" spans="1:4">
      <c r="A155">
        <v>1.0078050000000001</v>
      </c>
      <c r="B155">
        <v>2.662884</v>
      </c>
      <c r="C155">
        <f>LOG10(1.007805)</f>
        <v>3.3765086804195764E-3</v>
      </c>
      <c r="D155">
        <f>LOG10(2.662884)</f>
        <v>0.42535224820493212</v>
      </c>
    </row>
    <row r="156" spans="1:4">
      <c r="A156">
        <v>1.01258</v>
      </c>
      <c r="B156">
        <v>3.3267769999999999</v>
      </c>
      <c r="C156">
        <f>LOG10(1.01258)</f>
        <v>5.4293451568686747E-3</v>
      </c>
      <c r="D156">
        <f>LOG10(3.326777)</f>
        <v>0.52202369028411222</v>
      </c>
    </row>
    <row r="157" spans="1:4">
      <c r="A157">
        <v>1.0090079999999999</v>
      </c>
      <c r="B157">
        <v>3.3687670000000001</v>
      </c>
      <c r="C157">
        <f>LOG10(1.009008)</f>
        <v>3.8946095888250857E-3</v>
      </c>
      <c r="D157">
        <f>LOG10(3.368767)</f>
        <v>0.52747097414122246</v>
      </c>
    </row>
    <row r="158" spans="1:4">
      <c r="A158">
        <v>1.013344</v>
      </c>
      <c r="B158">
        <v>3.356535</v>
      </c>
      <c r="C158">
        <f>LOG10(1.013344)</f>
        <v>5.7569003858929874E-3</v>
      </c>
      <c r="D158">
        <f>LOG10(3.356535)</f>
        <v>0.52589118011549196</v>
      </c>
    </row>
    <row r="159" spans="1:4">
      <c r="A159">
        <v>1.00939</v>
      </c>
      <c r="B159">
        <v>1.6849460000000001</v>
      </c>
      <c r="C159">
        <f>LOG10(1.00939)</f>
        <v>4.0589978750480036E-3</v>
      </c>
      <c r="D159">
        <f>LOG10(1.684946)</f>
        <v>0.2265859869415901</v>
      </c>
    </row>
    <row r="160" spans="1:4">
      <c r="A160">
        <v>1.0178240000000001</v>
      </c>
      <c r="B160">
        <v>2.5771109999999999</v>
      </c>
      <c r="C160">
        <f>LOG10(1.017824)</f>
        <v>7.67268719818985E-3</v>
      </c>
      <c r="D160">
        <f>LOG10(2.577111)</f>
        <v>0.41113312466239466</v>
      </c>
    </row>
    <row r="161" spans="1:4">
      <c r="A161">
        <v>1.022932</v>
      </c>
      <c r="B161">
        <v>3.3117030000000001</v>
      </c>
      <c r="C161">
        <f>LOG10(1.022932)</f>
        <v>9.8467646932677254E-3</v>
      </c>
      <c r="D161">
        <f>LOG10(3.311703)</f>
        <v>0.52005138148096253</v>
      </c>
    </row>
    <row r="162" spans="1:4">
      <c r="A162">
        <v>1.026683</v>
      </c>
      <c r="B162">
        <v>3.3542969999999999</v>
      </c>
      <c r="C162">
        <f>LOG10(1.026683)</f>
        <v>1.1436370956216541E-2</v>
      </c>
      <c r="D162">
        <f>LOG10(3.354297)</f>
        <v>0.52560151377113062</v>
      </c>
    </row>
    <row r="163" spans="1:4">
      <c r="A163">
        <v>1.018297</v>
      </c>
      <c r="B163">
        <v>3.4366560000000002</v>
      </c>
      <c r="C163">
        <f>LOG10(1.018297)</f>
        <v>7.8744642965405138E-3</v>
      </c>
      <c r="D163">
        <f>LOG10(3.436656)</f>
        <v>0.53613606260604729</v>
      </c>
    </row>
    <row r="164" spans="1:4">
      <c r="A164">
        <v>1.0195879999999999</v>
      </c>
      <c r="B164">
        <v>2.5471750000000002</v>
      </c>
      <c r="C164">
        <f>LOG10(1.019588)</f>
        <v>8.4247154158536685E-3</v>
      </c>
      <c r="D164">
        <f>LOG10(2.547175)</f>
        <v>0.40605878356726066</v>
      </c>
    </row>
    <row r="165" spans="1:4">
      <c r="A165">
        <v>1.0281849999999999</v>
      </c>
      <c r="B165">
        <v>2.6004779999999998</v>
      </c>
      <c r="C165">
        <f>LOG10(1.028185)</f>
        <v>1.2071263735695923E-2</v>
      </c>
      <c r="D165">
        <f>LOG10(2.600478)</f>
        <v>0.41505318400240365</v>
      </c>
    </row>
    <row r="166" spans="1:4">
      <c r="A166">
        <v>1.022378</v>
      </c>
      <c r="B166">
        <v>3.5867619999999998</v>
      </c>
      <c r="C166">
        <f>LOG10(1.022378)</f>
        <v>9.6114955664767781E-3</v>
      </c>
      <c r="D166">
        <f>LOG10(3.586762)</f>
        <v>0.55470255997233719</v>
      </c>
    </row>
    <row r="167" spans="1:4">
      <c r="A167">
        <v>1.023882</v>
      </c>
      <c r="B167">
        <v>3.5735060000000001</v>
      </c>
      <c r="C167">
        <f>LOG10(1.023882)</f>
        <v>1.0249908102912543E-2</v>
      </c>
      <c r="D167">
        <f>LOG10(3.573506)</f>
        <v>0.55309451562837209</v>
      </c>
    </row>
    <row r="168" spans="1:4">
      <c r="A168">
        <v>1.020799</v>
      </c>
      <c r="B168">
        <v>3.3004709999999999</v>
      </c>
      <c r="C168">
        <f>LOG10(1.020799)</f>
        <v>8.9402359316574209E-3</v>
      </c>
      <c r="D168">
        <f>LOG10(3.300471)</f>
        <v>0.51857592112174833</v>
      </c>
    </row>
    <row r="169" spans="1:4">
      <c r="A169">
        <v>1.0085249999999999</v>
      </c>
      <c r="B169">
        <v>2.4647920000000001</v>
      </c>
      <c r="C169">
        <f>LOG10(1.008525)</f>
        <v>3.6866682676504831E-3</v>
      </c>
      <c r="D169">
        <f>LOG10(2.464792)</f>
        <v>0.39178027571723639</v>
      </c>
    </row>
    <row r="170" spans="1:4">
      <c r="A170">
        <v>1.007071</v>
      </c>
      <c r="B170">
        <v>2.7706819999999999</v>
      </c>
      <c r="C170">
        <f>LOG10(1.007071)</f>
        <v>3.0600900384603245E-3</v>
      </c>
      <c r="D170">
        <f>LOG10(2.770682)</f>
        <v>0.4425866832812016</v>
      </c>
    </row>
    <row r="171" spans="1:4">
      <c r="A171">
        <v>1.020044</v>
      </c>
      <c r="B171">
        <v>3.2787299999999999</v>
      </c>
      <c r="C171">
        <f>LOG10(1.020044)</f>
        <v>8.618905629625008E-3</v>
      </c>
      <c r="D171">
        <f>LOG10(3.27873)</f>
        <v>0.51570565444366212</v>
      </c>
    </row>
    <row r="172" spans="1:4">
      <c r="A172">
        <v>1.0167679999999999</v>
      </c>
      <c r="B172">
        <v>3.2683430000000002</v>
      </c>
      <c r="C172">
        <f>LOG10(1.016768)</f>
        <v>7.2218695265670162E-3</v>
      </c>
      <c r="D172">
        <f>LOG10(3.268343)</f>
        <v>0.51432762778402319</v>
      </c>
    </row>
    <row r="173" spans="1:4">
      <c r="A173">
        <v>1.0267820000000001</v>
      </c>
      <c r="B173">
        <v>3.2265350000000002</v>
      </c>
      <c r="C173">
        <f>LOG10(1.026782)</f>
        <v>1.1478246667506253E-2</v>
      </c>
      <c r="D173">
        <f>LOG10(3.226535)</f>
        <v>0.50873638049983783</v>
      </c>
    </row>
    <row r="174" spans="1:4">
      <c r="A174">
        <v>1.012615</v>
      </c>
      <c r="B174">
        <v>2.7811360000000001</v>
      </c>
      <c r="C174">
        <f>LOG10(1.012615)</f>
        <v>5.4443563601040473E-3</v>
      </c>
      <c r="D174">
        <f>LOG10(2.781136)</f>
        <v>0.4442222267661276</v>
      </c>
    </row>
    <row r="175" spans="1:4">
      <c r="A175">
        <v>1.0041530000000001</v>
      </c>
      <c r="B175">
        <v>2.7408450000000002</v>
      </c>
      <c r="C175">
        <f>LOG10(1.004153)</f>
        <v>1.7998900931614483E-3</v>
      </c>
      <c r="D175">
        <f>LOG10(2.740845)</f>
        <v>0.43788447605461223</v>
      </c>
    </row>
    <row r="176" spans="1:4">
      <c r="A176">
        <v>1.0115240000000001</v>
      </c>
      <c r="B176">
        <v>3.1769419999999999</v>
      </c>
      <c r="C176">
        <f>LOG10(1.011524)</f>
        <v>4.9761915496439497E-3</v>
      </c>
      <c r="D176">
        <f>LOG10(3.176942)</f>
        <v>0.50200928618066276</v>
      </c>
    </row>
    <row r="177" spans="1:4">
      <c r="A177">
        <v>1.009474</v>
      </c>
      <c r="B177">
        <v>3.1650960000000001</v>
      </c>
      <c r="C177">
        <f>LOG10(1.009474)</f>
        <v>4.0951377403394881E-3</v>
      </c>
      <c r="D177">
        <f>LOG10(3.165096)</f>
        <v>0.50038688706679435</v>
      </c>
    </row>
    <row r="178" spans="1:4">
      <c r="A178">
        <v>1.009457</v>
      </c>
      <c r="B178">
        <v>2.930771</v>
      </c>
      <c r="C178">
        <f>LOG10(1.009457)</f>
        <v>4.0878239627091468E-3</v>
      </c>
      <c r="D178">
        <f>LOG10(2.930771)</f>
        <v>0.46698188554122527</v>
      </c>
    </row>
    <row r="179" spans="1:4">
      <c r="A179">
        <v>1.0127219999999999</v>
      </c>
      <c r="B179">
        <v>2.976836</v>
      </c>
      <c r="C179">
        <f>LOG10(1.012722)</f>
        <v>5.4902445353626041E-3</v>
      </c>
      <c r="D179">
        <f>LOG10(2.976836)</f>
        <v>0.47375490913213208</v>
      </c>
    </row>
    <row r="180" spans="1:4">
      <c r="A180">
        <v>1.017593</v>
      </c>
      <c r="B180">
        <v>2.883375</v>
      </c>
      <c r="C180">
        <f>LOG10(1.017593)</f>
        <v>7.5741108123677722E-3</v>
      </c>
      <c r="D180">
        <f>LOG10(2.883375)</f>
        <v>0.4599011286316253</v>
      </c>
    </row>
    <row r="181" spans="1:4">
      <c r="A181">
        <v>1.0197909999999999</v>
      </c>
      <c r="B181">
        <v>2.8099289999999999</v>
      </c>
      <c r="C181">
        <f>LOG10(1.019791)</f>
        <v>8.511174852885741E-3</v>
      </c>
      <c r="D181">
        <f>LOG10(2.809929)</f>
        <v>0.44869534648950227</v>
      </c>
    </row>
    <row r="182" spans="1:4">
      <c r="A182">
        <v>1.014823</v>
      </c>
      <c r="B182">
        <v>2.4515259999999999</v>
      </c>
      <c r="C182">
        <f>LOG10(1.014823)</f>
        <v>6.3903015334237957E-3</v>
      </c>
      <c r="D182">
        <f>LOG10(2.451526)</f>
        <v>0.38943650357715998</v>
      </c>
    </row>
    <row r="183" spans="1:4">
      <c r="A183">
        <v>1.004697</v>
      </c>
      <c r="B183">
        <v>2.5336189999999998</v>
      </c>
      <c r="C183">
        <f>LOG10(1.004697)</f>
        <v>2.0351054690536112E-3</v>
      </c>
      <c r="D183">
        <f>LOG10(2.533619)</f>
        <v>0.4037413072174299</v>
      </c>
    </row>
    <row r="184" spans="1:4">
      <c r="A184">
        <v>1.0094099999999999</v>
      </c>
      <c r="B184">
        <v>2.8936389999999999</v>
      </c>
      <c r="C184">
        <f>LOG10(1.00941)</f>
        <v>4.0676028776617445E-3</v>
      </c>
      <c r="D184">
        <f>LOG10(2.893639)</f>
        <v>0.4614443491440296</v>
      </c>
    </row>
    <row r="185" spans="1:4">
      <c r="A185">
        <v>1.0123899999999999</v>
      </c>
      <c r="B185">
        <v>3.0320149999999999</v>
      </c>
      <c r="C185">
        <f>LOG10(1.01239)</f>
        <v>5.3478467131348644E-3</v>
      </c>
      <c r="D185">
        <f>LOG10(3.032015)</f>
        <v>0.48173134550919616</v>
      </c>
    </row>
    <row r="186" spans="1:4">
      <c r="A186">
        <v>1.013266</v>
      </c>
      <c r="B186">
        <v>2.7016789999999999</v>
      </c>
      <c r="C186">
        <f>LOG10(1.013266)</f>
        <v>5.7234702048466193E-3</v>
      </c>
      <c r="D186">
        <f>LOG10(2.701679)</f>
        <v>0.43163374705082475</v>
      </c>
    </row>
    <row r="187" spans="1:4">
      <c r="A187">
        <v>1.021253</v>
      </c>
      <c r="B187">
        <v>2.7673580000000002</v>
      </c>
      <c r="C187">
        <f>LOG10(1.021253)</f>
        <v>9.1333453118619037E-3</v>
      </c>
      <c r="D187">
        <f>LOG10(2.767358)</f>
        <v>0.44206534539588466</v>
      </c>
    </row>
    <row r="188" spans="1:4">
      <c r="A188">
        <v>1.021304</v>
      </c>
      <c r="B188">
        <v>2.822603</v>
      </c>
      <c r="C188">
        <f>LOG10(1.021304)</f>
        <v>9.1550328521182375E-3</v>
      </c>
      <c r="D188">
        <f>LOG10(2.822603)</f>
        <v>0.45064979878671646</v>
      </c>
    </row>
    <row r="189" spans="1:4">
      <c r="A189">
        <v>1.0148759999999999</v>
      </c>
      <c r="B189">
        <v>2.76525</v>
      </c>
      <c r="C189">
        <f>LOG10(1.014876)</f>
        <v>6.4129823422984537E-3</v>
      </c>
      <c r="D189">
        <f>LOG10(2.76525)</f>
        <v>0.44173440099781658</v>
      </c>
    </row>
    <row r="190" spans="1:4">
      <c r="A190">
        <v>1.0131300000000001</v>
      </c>
      <c r="B190">
        <v>2.9224250000000001</v>
      </c>
      <c r="C190">
        <f>LOG10(1.01313)</f>
        <v>5.6651755283594115E-3</v>
      </c>
      <c r="D190">
        <f>LOG10(2.922425)</f>
        <v>0.46574337440903668</v>
      </c>
    </row>
    <row r="191" spans="1:4">
      <c r="A191">
        <v>1.0129779999999999</v>
      </c>
      <c r="B191">
        <v>2.9005420000000002</v>
      </c>
      <c r="C191">
        <f>LOG10(1.012978)</f>
        <v>5.6000133934947325E-3</v>
      </c>
      <c r="D191">
        <f>LOG10(2.900542)</f>
        <v>0.46247915845597876</v>
      </c>
    </row>
    <row r="192" spans="1:4">
      <c r="A192">
        <v>1.0092300000000001</v>
      </c>
      <c r="B192">
        <v>2.7860450000000001</v>
      </c>
      <c r="C192">
        <f>LOG10(1.00923)</f>
        <v>3.990151715542985E-3</v>
      </c>
      <c r="D192">
        <f>LOG10(2.786045)</f>
        <v>0.44498812683807182</v>
      </c>
    </row>
    <row r="193" spans="1:4">
      <c r="A193">
        <v>1.009328</v>
      </c>
      <c r="B193">
        <v>2.7005810000000001</v>
      </c>
      <c r="C193">
        <f>LOG10(1.009328)</f>
        <v>4.0323212833829267E-3</v>
      </c>
      <c r="D193">
        <f>LOG10(2.700581)</f>
        <v>0.43145720784401281</v>
      </c>
    </row>
    <row r="194" spans="1:4">
      <c r="A194">
        <v>1.086192</v>
      </c>
      <c r="B194">
        <v>3.1439020000000002</v>
      </c>
      <c r="C194">
        <f>LOG10(1.086192)</f>
        <v>3.59065998111937E-2</v>
      </c>
      <c r="D194">
        <f>LOG10(3.143902)</f>
        <v>0.49746899998742072</v>
      </c>
    </row>
    <row r="195" spans="1:4">
      <c r="A195">
        <v>1.07236</v>
      </c>
      <c r="B195">
        <v>3.4103949999999998</v>
      </c>
      <c r="C195">
        <f>LOG10(1.07236)</f>
        <v>3.0340606035139175E-2</v>
      </c>
      <c r="D195">
        <f>LOG10(3.410395)</f>
        <v>0.53280468291786964</v>
      </c>
    </row>
    <row r="196" spans="1:4">
      <c r="A196">
        <v>1.0949739999999999</v>
      </c>
      <c r="B196">
        <v>3.5944780000000001</v>
      </c>
      <c r="C196">
        <f>LOG10(1.094974)</f>
        <v>3.9403807038613993E-2</v>
      </c>
      <c r="D196">
        <f>LOG10(3.594478)</f>
        <v>0.55563582985662574</v>
      </c>
    </row>
    <row r="197" spans="1:4">
      <c r="A197">
        <v>1.1218300000000001</v>
      </c>
      <c r="B197">
        <v>3.5285989999999998</v>
      </c>
      <c r="C197">
        <f>LOG10(1.12183)</f>
        <v>4.9927049740396572E-2</v>
      </c>
      <c r="D197">
        <f>LOG10(3.528599)</f>
        <v>0.54760230670725252</v>
      </c>
    </row>
    <row r="198" spans="1:4">
      <c r="A198">
        <v>1.1192550000000001</v>
      </c>
      <c r="B198">
        <v>3.5113120000000002</v>
      </c>
      <c r="C198">
        <f>LOG10(1.119255)</f>
        <v>4.8929043164983956E-2</v>
      </c>
      <c r="D198">
        <f>LOG10(3.511312)</f>
        <v>0.54546942070950077</v>
      </c>
    </row>
    <row r="199" spans="1:4">
      <c r="A199">
        <v>1.136196</v>
      </c>
      <c r="B199">
        <v>3.381335</v>
      </c>
      <c r="C199">
        <f>LOG10(1.136196)</f>
        <v>5.5453256001805284E-2</v>
      </c>
      <c r="D199">
        <f>LOG10(3.381335)</f>
        <v>0.52908819988265143</v>
      </c>
    </row>
    <row r="200" spans="1:4">
      <c r="A200">
        <v>1.1231009999999999</v>
      </c>
      <c r="B200">
        <v>3.530726</v>
      </c>
      <c r="C200">
        <f>LOG10(1.123101)</f>
        <v>5.0418813937583434E-2</v>
      </c>
      <c r="D200">
        <f>LOG10(3.530726)</f>
        <v>0.54786401569244925</v>
      </c>
    </row>
    <row r="201" spans="1:4">
      <c r="A201">
        <v>1.118036</v>
      </c>
      <c r="B201">
        <v>3.2603339999999998</v>
      </c>
      <c r="C201">
        <f>LOG10(1.118036)</f>
        <v>4.8455787762957316E-2</v>
      </c>
      <c r="D201">
        <f>LOG10(3.260334)</f>
        <v>0.51326209299025938</v>
      </c>
    </row>
    <row r="202" spans="1:4">
      <c r="A202">
        <v>1.125337</v>
      </c>
      <c r="B202">
        <v>3.2328899999999998</v>
      </c>
      <c r="C202">
        <f>LOG10(1.125337)</f>
        <v>5.1282598290684323E-2</v>
      </c>
      <c r="D202">
        <f>LOG10(3.23289)</f>
        <v>0.50959092786991211</v>
      </c>
    </row>
    <row r="203" spans="1:4">
      <c r="A203">
        <v>1.1238509999999999</v>
      </c>
      <c r="B203">
        <v>3.1065710000000002</v>
      </c>
      <c r="C203">
        <f>LOG10(1.123851)</f>
        <v>5.0708736351167648E-2</v>
      </c>
      <c r="D203">
        <f>LOG10(3.106571)</f>
        <v>0.49228128376785263</v>
      </c>
    </row>
    <row r="204" spans="1:4">
      <c r="A204">
        <v>1.0884100000000001</v>
      </c>
      <c r="B204">
        <v>3.2105839999999999</v>
      </c>
      <c r="C204">
        <f>LOG10(1.08841)</f>
        <v>3.679252329962393E-2</v>
      </c>
      <c r="D204">
        <f>LOG10(3.210584)</f>
        <v>0.50658403704935018</v>
      </c>
    </row>
    <row r="205" spans="1:4">
      <c r="A205">
        <v>1.0999380000000001</v>
      </c>
      <c r="B205">
        <v>3.1167229999999999</v>
      </c>
      <c r="C205">
        <f>LOG10(1.099938)</f>
        <v>4.1368206052100148E-2</v>
      </c>
      <c r="D205">
        <f>LOG10(3.116723)</f>
        <v>0.49369820589661362</v>
      </c>
    </row>
    <row r="206" spans="1:4">
      <c r="A206">
        <v>1.1115379999999999</v>
      </c>
      <c r="B206">
        <v>3.49838</v>
      </c>
      <c r="C206">
        <f>LOG10(1.111538)</f>
        <v>4.5924314455803743E-2</v>
      </c>
      <c r="D206">
        <f>LOG10(3.49838)</f>
        <v>0.54386698151194746</v>
      </c>
    </row>
    <row r="207" spans="1:4">
      <c r="A207">
        <v>1.0917479999999999</v>
      </c>
      <c r="B207">
        <v>3.2590020000000002</v>
      </c>
      <c r="C207">
        <f>LOG10(1.091748)</f>
        <v>3.8122404999368621E-2</v>
      </c>
      <c r="D207">
        <f>LOG10(3.259002)</f>
        <v>0.51308462698514956</v>
      </c>
    </row>
    <row r="208" spans="1:4">
      <c r="A208">
        <v>1.1183639999999999</v>
      </c>
      <c r="B208">
        <v>3.149292</v>
      </c>
      <c r="C208">
        <f>LOG10(1.118364)</f>
        <v>4.858317874049764E-2</v>
      </c>
      <c r="D208">
        <f>LOG10(3.149292)</f>
        <v>0.49821292996315075</v>
      </c>
    </row>
    <row r="209" spans="1:4">
      <c r="A209">
        <v>1.1235660000000001</v>
      </c>
      <c r="B209">
        <v>3.1726369999999999</v>
      </c>
      <c r="C209">
        <f>LOG10(1.123566)</f>
        <v>5.0598588632247796E-2</v>
      </c>
      <c r="D209">
        <f>LOG10(3.172637)</f>
        <v>0.50142038476497131</v>
      </c>
    </row>
    <row r="210" spans="1:4">
      <c r="A210">
        <v>1.134477</v>
      </c>
      <c r="B210">
        <v>2.9319899999999999</v>
      </c>
      <c r="C210">
        <f>LOG10(1.134477)</f>
        <v>5.4795695571913265E-2</v>
      </c>
      <c r="D210">
        <f>LOG10(2.93199)</f>
        <v>0.4671624847439112</v>
      </c>
    </row>
    <row r="211" spans="1:4">
      <c r="A211">
        <v>1.125461</v>
      </c>
      <c r="B211">
        <v>3.070703</v>
      </c>
      <c r="C211">
        <f>LOG10(1.125461)</f>
        <v>5.1330450222141957E-2</v>
      </c>
      <c r="D211">
        <f>LOG10(3.070703)</f>
        <v>0.48723781328491361</v>
      </c>
    </row>
    <row r="212" spans="1:4">
      <c r="A212">
        <v>1.095483</v>
      </c>
      <c r="B212">
        <v>2.9100139999999999</v>
      </c>
      <c r="C212">
        <f>LOG10(1.095483)</f>
        <v>3.960564245037286E-2</v>
      </c>
      <c r="D212">
        <f>LOG10(2.910014)</f>
        <v>0.46389507837014127</v>
      </c>
    </row>
    <row r="213" spans="1:4">
      <c r="A213">
        <v>1.13019</v>
      </c>
      <c r="B213">
        <v>2.995231</v>
      </c>
      <c r="C213">
        <f>LOG10(1.13019)</f>
        <v>5.3151460310992625E-2</v>
      </c>
      <c r="D213">
        <f>LOG10(2.995231)</f>
        <v>0.47643032193623919</v>
      </c>
    </row>
    <row r="214" spans="1:4">
      <c r="A214">
        <v>1.106295</v>
      </c>
      <c r="B214">
        <v>3.0294850000000002</v>
      </c>
      <c r="C214">
        <f>LOG10(1.106295)</f>
        <v>4.3870949562791743E-2</v>
      </c>
      <c r="D214">
        <f>LOG10(3.029485)</f>
        <v>0.48136880649970293</v>
      </c>
    </row>
    <row r="215" spans="1:4">
      <c r="A215">
        <v>1.0898410000000001</v>
      </c>
      <c r="B215">
        <v>3.0261849999999999</v>
      </c>
      <c r="C215">
        <f>LOG10(1.089841)</f>
        <v>3.7363142106188872E-2</v>
      </c>
      <c r="D215">
        <f>LOG10(3.026185)</f>
        <v>0.48089547425664886</v>
      </c>
    </row>
    <row r="216" spans="1:4">
      <c r="A216">
        <v>1.0865149999999999</v>
      </c>
      <c r="B216">
        <v>2.9964249999999999</v>
      </c>
      <c r="C216">
        <f>LOG10(1.086515)</f>
        <v>3.6035726397234145E-2</v>
      </c>
      <c r="D216">
        <f>LOG10(2.996425)</f>
        <v>0.47660341185270189</v>
      </c>
    </row>
    <row r="217" spans="1:4">
      <c r="A217">
        <v>1.054281</v>
      </c>
      <c r="B217">
        <v>3.0481280000000002</v>
      </c>
      <c r="C217">
        <f>LOG10(1.054281)</f>
        <v>2.295637983724743E-2</v>
      </c>
      <c r="D217">
        <f>LOG10(3.048128)</f>
        <v>0.48403320037310055</v>
      </c>
    </row>
    <row r="218" spans="1:4">
      <c r="A218">
        <v>1.059952</v>
      </c>
      <c r="B218">
        <v>3.1922990000000002</v>
      </c>
      <c r="C218">
        <f>LOG10(1.059952)</f>
        <v>2.5286198654266876E-2</v>
      </c>
      <c r="D218">
        <f>LOG10(3.192299)</f>
        <v>0.504103561866864</v>
      </c>
    </row>
    <row r="219" spans="1:4">
      <c r="A219">
        <v>1.0634459999999999</v>
      </c>
      <c r="B219">
        <v>3.2091910000000001</v>
      </c>
      <c r="C219">
        <f>LOG10(1.063446)</f>
        <v>2.6715442054980203E-2</v>
      </c>
      <c r="D219">
        <f>LOG10(3.209191)</f>
        <v>0.50639556557713017</v>
      </c>
    </row>
    <row r="220" spans="1:4">
      <c r="A220">
        <v>1.047973</v>
      </c>
      <c r="B220">
        <v>3.2460580000000001</v>
      </c>
      <c r="C220">
        <f>LOG10(1.047973)</f>
        <v>2.0350093619020914E-2</v>
      </c>
      <c r="D220">
        <f>LOG10(3.246058)</f>
        <v>0.51135627545783846</v>
      </c>
    </row>
    <row r="221" spans="1:4">
      <c r="A221">
        <v>1.0579559999999999</v>
      </c>
      <c r="B221">
        <v>3.3411650000000002</v>
      </c>
      <c r="C221">
        <f>LOG10(1.057956)</f>
        <v>2.4467605927365892E-2</v>
      </c>
      <c r="D221">
        <f>LOG10(3.341165)</f>
        <v>0.52389792335441143</v>
      </c>
    </row>
    <row r="222" spans="1:4">
      <c r="A222">
        <v>1.0493429999999999</v>
      </c>
      <c r="B222">
        <v>3.4162219999999999</v>
      </c>
      <c r="C222">
        <f>LOG10(1.049343)</f>
        <v>2.0917469755790095E-2</v>
      </c>
      <c r="D222">
        <f>LOG10(3.416222)</f>
        <v>0.53354608515579882</v>
      </c>
    </row>
    <row r="223" spans="1:4">
      <c r="A223">
        <v>1.0467150000000001</v>
      </c>
      <c r="B223">
        <v>3.3750070000000001</v>
      </c>
      <c r="C223">
        <f>LOG10(1.046715)</f>
        <v>1.9828447890473933E-2</v>
      </c>
      <c r="D223">
        <f>LOG10(3.375007)</f>
        <v>0.52827467792503502</v>
      </c>
    </row>
    <row r="224" spans="1:4">
      <c r="A224">
        <v>1.0505519999999999</v>
      </c>
      <c r="B224">
        <v>3.2388789999999998</v>
      </c>
      <c r="C224">
        <f>LOG10(1.050552)</f>
        <v>2.141755389012721E-2</v>
      </c>
      <c r="D224">
        <f>LOG10(3.238879)</f>
        <v>0.51039472367739258</v>
      </c>
    </row>
    <row r="225" spans="1:4">
      <c r="A225">
        <v>1.0618289999999999</v>
      </c>
      <c r="B225">
        <v>3.3627829999999999</v>
      </c>
      <c r="C225">
        <f>LOG10(1.061829)</f>
        <v>2.6054582342477168E-2</v>
      </c>
      <c r="D225">
        <f>LOG10(3.362783)</f>
        <v>0.52669884324588234</v>
      </c>
    </row>
    <row r="226" spans="1:4">
      <c r="A226">
        <v>1.0603389999999999</v>
      </c>
      <c r="B226">
        <v>3.2030419999999999</v>
      </c>
      <c r="C226">
        <f>LOG10(1.060339)</f>
        <v>2.5444735351694656E-2</v>
      </c>
      <c r="D226">
        <f>LOG10(3.203042)</f>
        <v>0.50556263340270735</v>
      </c>
    </row>
    <row r="227" spans="1:4">
      <c r="A227">
        <v>1.0446409999999999</v>
      </c>
      <c r="B227">
        <v>3.5024510000000002</v>
      </c>
      <c r="C227">
        <f>LOG10(1.044641)</f>
        <v>1.8967066996214772E-2</v>
      </c>
      <c r="D227">
        <f>LOG10(3.502451)</f>
        <v>0.54437206813241001</v>
      </c>
    </row>
    <row r="228" spans="1:4">
      <c r="A228">
        <v>1.0482910000000001</v>
      </c>
      <c r="B228">
        <v>3.3550249999999999</v>
      </c>
      <c r="C228">
        <f>LOG10(1.048291)</f>
        <v>2.048185721969777E-2</v>
      </c>
      <c r="D228">
        <f>LOG10(3.355025)</f>
        <v>0.5256957606664403</v>
      </c>
    </row>
    <row r="229" spans="1:4">
      <c r="A229">
        <v>1.0503640000000001</v>
      </c>
      <c r="B229">
        <v>3.428245</v>
      </c>
      <c r="C229">
        <f>LOG10(1.050364)</f>
        <v>2.1339828400087933E-2</v>
      </c>
      <c r="D229">
        <f>LOG10(3.428245)</f>
        <v>0.53507185127506773</v>
      </c>
    </row>
    <row r="230" spans="1:4">
      <c r="A230">
        <v>1.058306</v>
      </c>
      <c r="B230">
        <v>3.320764</v>
      </c>
      <c r="C230">
        <f>LOG10(1.058306)</f>
        <v>2.4611258339073006E-2</v>
      </c>
      <c r="D230">
        <f>LOG10(3.320764)</f>
        <v>0.52123801226214739</v>
      </c>
    </row>
    <row r="231" spans="1:4">
      <c r="A231">
        <v>1.0535300000000001</v>
      </c>
      <c r="B231">
        <v>3.4417610000000001</v>
      </c>
      <c r="C231">
        <f>LOG10(1.05353)</f>
        <v>2.2646906957837842E-2</v>
      </c>
      <c r="D231">
        <f>LOG10(3.441761)</f>
        <v>0.53678070911037823</v>
      </c>
    </row>
    <row r="232" spans="1:4">
      <c r="A232">
        <v>1.0537179999999999</v>
      </c>
      <c r="B232">
        <v>3.4176600000000001</v>
      </c>
      <c r="C232">
        <f>LOG10(1.053718)</f>
        <v>2.2724398893114915E-2</v>
      </c>
      <c r="D232">
        <f>LOG10(3.41766)</f>
        <v>0.53372885549751514</v>
      </c>
    </row>
    <row r="233" spans="1:4">
      <c r="A233">
        <v>1.0370820000000001</v>
      </c>
      <c r="B233">
        <v>3.5029180000000002</v>
      </c>
      <c r="C233">
        <f>LOG10(1.037082)</f>
        <v>1.5813096542935213E-2</v>
      </c>
      <c r="D233">
        <f>LOG10(3.502918)</f>
        <v>0.54442997101328583</v>
      </c>
    </row>
    <row r="234" spans="1:4">
      <c r="A234">
        <v>1.048427</v>
      </c>
      <c r="B234">
        <v>3.5979730000000001</v>
      </c>
      <c r="C234">
        <f>LOG10(1.048427)</f>
        <v>2.0538196746159254E-2</v>
      </c>
      <c r="D234">
        <f>LOG10(3.597973)</f>
        <v>0.55605789997812394</v>
      </c>
    </row>
    <row r="235" spans="1:4">
      <c r="A235">
        <v>1.057512</v>
      </c>
      <c r="B235">
        <v>3.4615399999999998</v>
      </c>
      <c r="C235">
        <f>LOG10(1.057512)</f>
        <v>2.4285304183452601E-2</v>
      </c>
      <c r="D235">
        <f>LOG10(3.46154)</f>
        <v>0.53926935448823377</v>
      </c>
    </row>
    <row r="236" spans="1:4">
      <c r="A236">
        <v>1.04826</v>
      </c>
      <c r="B236">
        <v>3.4303720000000002</v>
      </c>
      <c r="C236">
        <f>LOG10(1.04826)</f>
        <v>2.0469014098838768E-2</v>
      </c>
      <c r="D236">
        <f>LOG10(3.430372)</f>
        <v>0.53534121881450658</v>
      </c>
    </row>
    <row r="237" spans="1:4">
      <c r="A237">
        <v>1.0591060000000001</v>
      </c>
      <c r="B237">
        <v>3.3621300000000001</v>
      </c>
      <c r="C237">
        <f>LOG10(1.059106)</f>
        <v>2.4939428390111294E-2</v>
      </c>
      <c r="D237">
        <f>LOG10(3.36213)</f>
        <v>0.526614501843228</v>
      </c>
    </row>
    <row r="238" spans="1:4">
      <c r="A238">
        <v>1.062492</v>
      </c>
      <c r="B238">
        <v>3.4208479999999999</v>
      </c>
      <c r="C238">
        <f>LOG10(1.062492)</f>
        <v>2.6325668728057174E-2</v>
      </c>
      <c r="D238">
        <f>LOG10(3.420848)</f>
        <v>0.5341337774215974</v>
      </c>
    </row>
    <row r="239" spans="1:4">
      <c r="A239">
        <v>1.06962</v>
      </c>
      <c r="B239">
        <v>3.3237839999999998</v>
      </c>
      <c r="C239">
        <f>LOG10(1.06962)</f>
        <v>2.9229514867645408E-2</v>
      </c>
      <c r="D239">
        <f>LOG10(3.323784)</f>
        <v>0.52163279289302289</v>
      </c>
    </row>
    <row r="240" spans="1:4">
      <c r="A240">
        <v>1.0689709999999999</v>
      </c>
      <c r="B240">
        <v>3.0476749999999999</v>
      </c>
      <c r="C240">
        <f>LOG10(1.068971)</f>
        <v>2.8965923440011265E-2</v>
      </c>
      <c r="D240">
        <f>LOG10(3.047675)</f>
        <v>0.48396865255202937</v>
      </c>
    </row>
    <row r="241" spans="1:4">
      <c r="A241">
        <v>1.065421</v>
      </c>
      <c r="B241">
        <v>3.2529219999999999</v>
      </c>
      <c r="C241">
        <f>LOG10(1.065421)</f>
        <v>2.7521252702459791E-2</v>
      </c>
      <c r="D241">
        <f>LOG10(3.252922)</f>
        <v>0.51227364970185985</v>
      </c>
    </row>
    <row r="242" spans="1:4">
      <c r="A242">
        <v>1.0607329999999999</v>
      </c>
      <c r="B242">
        <v>3.2025519999999998</v>
      </c>
      <c r="C242">
        <f>LOG10(1.060733)</f>
        <v>2.5606080207350619E-2</v>
      </c>
      <c r="D242">
        <f>LOG10(3.202552)</f>
        <v>0.50549619013560443</v>
      </c>
    </row>
    <row r="243" spans="1:4">
      <c r="A243">
        <v>1.038063</v>
      </c>
      <c r="B243">
        <v>3.1518160000000002</v>
      </c>
      <c r="C243">
        <f>LOG10(1.038063)</f>
        <v>1.6223711626203691E-2</v>
      </c>
      <c r="D243">
        <f>LOG10(3.151816)</f>
        <v>0.4985608558615644</v>
      </c>
    </row>
    <row r="244" spans="1:4">
      <c r="A244">
        <v>1.0312479999999999</v>
      </c>
      <c r="B244">
        <v>3.3464499999999999</v>
      </c>
      <c r="C244">
        <f>LOG10(1.031248)</f>
        <v>1.3363119289078617E-2</v>
      </c>
      <c r="D244">
        <f>LOG10(3.34645)</f>
        <v>0.5245843405045223</v>
      </c>
    </row>
    <row r="245" spans="1:4">
      <c r="A245">
        <v>1.0578270000000001</v>
      </c>
      <c r="B245">
        <v>3.3111320000000002</v>
      </c>
      <c r="C245">
        <f>LOG10(1.057827)</f>
        <v>2.4414647766500753E-2</v>
      </c>
      <c r="D245">
        <f>LOG10(3.311132)</f>
        <v>0.51997649447267047</v>
      </c>
    </row>
    <row r="246" spans="1:4">
      <c r="A246">
        <v>1.071831</v>
      </c>
      <c r="B246">
        <v>3.1457739999999998</v>
      </c>
      <c r="C246">
        <f>LOG10(1.071831)</f>
        <v>3.0126313758389502E-2</v>
      </c>
      <c r="D246">
        <f>LOG10(3.145774)</f>
        <v>0.49772751864374859</v>
      </c>
    </row>
    <row r="247" spans="1:4">
      <c r="A247">
        <v>1.0658190000000001</v>
      </c>
      <c r="B247">
        <v>3.3306930000000001</v>
      </c>
      <c r="C247">
        <f>LOG10(1.065819)</f>
        <v>2.7683457996848841E-2</v>
      </c>
      <c r="D247">
        <f>LOG10(3.330693)</f>
        <v>0.52253460430618859</v>
      </c>
    </row>
    <row r="248" spans="1:4">
      <c r="A248">
        <v>1.0618909999999999</v>
      </c>
      <c r="B248">
        <v>3.5265810000000002</v>
      </c>
      <c r="C248">
        <f>LOG10(1.061891)</f>
        <v>2.6079939977085922E-2</v>
      </c>
      <c r="D248">
        <f>LOG10(3.526581)</f>
        <v>0.54735386335403369</v>
      </c>
    </row>
    <row r="249" spans="1:4">
      <c r="A249">
        <v>1.057267</v>
      </c>
      <c r="B249">
        <v>3.3465319999999998</v>
      </c>
      <c r="C249">
        <f>LOG10(1.057267)</f>
        <v>2.4184676979813503E-2</v>
      </c>
      <c r="D249">
        <f>LOG10(3.346532)</f>
        <v>0.5245949821430379</v>
      </c>
    </row>
    <row r="250" spans="1:4">
      <c r="A250">
        <v>1.052632</v>
      </c>
      <c r="B250">
        <v>3.353151</v>
      </c>
      <c r="C250">
        <f>LOG10(1.052632)</f>
        <v>2.2276568428910258E-2</v>
      </c>
      <c r="D250">
        <f>LOG10(3.353151)</f>
        <v>0.52545311113540272</v>
      </c>
    </row>
    <row r="251" spans="1:4">
      <c r="A251">
        <v>1.0406070000000001</v>
      </c>
      <c r="B251">
        <v>3.2551190000000001</v>
      </c>
      <c r="C251">
        <f>LOG10(1.040607)</f>
        <v>1.7286743000675422E-2</v>
      </c>
      <c r="D251">
        <f>LOG10(3.255119)</f>
        <v>0.51256687004665691</v>
      </c>
    </row>
    <row r="252" spans="1:4">
      <c r="A252">
        <v>1.055696</v>
      </c>
      <c r="B252">
        <v>3.2688259999999998</v>
      </c>
      <c r="C252">
        <f>LOG10(1.055696)</f>
        <v>2.3538876029403064E-2</v>
      </c>
      <c r="D252">
        <f>LOG10(3.268826)</f>
        <v>0.51439180364826675</v>
      </c>
    </row>
    <row r="253" spans="1:4">
      <c r="A253">
        <v>1.0486580000000001</v>
      </c>
      <c r="B253">
        <v>3.2892579999999998</v>
      </c>
      <c r="C253">
        <f>LOG10(1.048658)</f>
        <v>2.0633874342179875E-2</v>
      </c>
      <c r="D253">
        <f>LOG10(3.289258)</f>
        <v>0.51709793963706474</v>
      </c>
    </row>
    <row r="254" spans="1:4">
      <c r="A254">
        <v>1.051741</v>
      </c>
      <c r="B254">
        <v>3.344319</v>
      </c>
      <c r="C254">
        <f>LOG10(1.051741)</f>
        <v>2.1908804342886404E-2</v>
      </c>
      <c r="D254">
        <f>LOG10(3.344319)</f>
        <v>0.52430769619884388</v>
      </c>
    </row>
    <row r="255" spans="1:4">
      <c r="A255">
        <v>1.0573060000000001</v>
      </c>
      <c r="B255">
        <v>3.4855520000000002</v>
      </c>
      <c r="C255">
        <f>LOG10(1.057306)</f>
        <v>2.4200696748150844E-2</v>
      </c>
      <c r="D255">
        <f>LOG10(3.485552)</f>
        <v>0.5422715662418276</v>
      </c>
    </row>
    <row r="256" spans="1:4">
      <c r="A256">
        <v>1.0430649999999999</v>
      </c>
      <c r="B256">
        <v>3.4474879999999999</v>
      </c>
      <c r="C256">
        <f>LOG10(1.043065)</f>
        <v>1.8311372915252751E-2</v>
      </c>
      <c r="D256">
        <f>LOG10(3.447488)</f>
        <v>0.5375027631603303</v>
      </c>
    </row>
    <row r="257" spans="1:4">
      <c r="A257">
        <v>1.0416829999999999</v>
      </c>
      <c r="B257">
        <v>3.5363560000000001</v>
      </c>
      <c r="C257">
        <f>LOG10(1.041683)</f>
        <v>1.773557664452001E-2</v>
      </c>
      <c r="D257">
        <f>LOG10(3.536356)</f>
        <v>0.54855597835833447</v>
      </c>
    </row>
    <row r="258" spans="1:4">
      <c r="A258">
        <v>1.0546549999999999</v>
      </c>
      <c r="B258">
        <v>3.3460540000000001</v>
      </c>
      <c r="C258">
        <f>LOG10(1.054655)</f>
        <v>2.3110415936905753E-2</v>
      </c>
      <c r="D258">
        <f>LOG10(3.346054)</f>
        <v>0.52453294550646645</v>
      </c>
    </row>
    <row r="259" spans="1:4">
      <c r="A259">
        <v>1.0696829999999999</v>
      </c>
      <c r="B259">
        <v>3.7042480000000002</v>
      </c>
      <c r="C259">
        <f>LOG10(1.069683)</f>
        <v>2.9255093808419837E-2</v>
      </c>
      <c r="D259">
        <f>LOG10(3.704248)</f>
        <v>0.56870005506875121</v>
      </c>
    </row>
    <row r="260" spans="1:4">
      <c r="A260">
        <v>1.0355019999999999</v>
      </c>
      <c r="B260">
        <v>3.3633690000000001</v>
      </c>
      <c r="C260">
        <f>LOG10(1.035502)</f>
        <v>1.5150942039828681E-2</v>
      </c>
      <c r="D260">
        <f>LOG10(3.363369)</f>
        <v>0.52677451699427202</v>
      </c>
    </row>
    <row r="261" spans="1:4">
      <c r="A261">
        <v>1.0524500000000001</v>
      </c>
      <c r="B261">
        <v>3.400172</v>
      </c>
      <c r="C261">
        <f>LOG10(1.05245)</f>
        <v>2.2201472450793212E-2</v>
      </c>
      <c r="D261">
        <f>LOG10(3.400172)</f>
        <v>0.53150088667799467</v>
      </c>
    </row>
    <row r="262" spans="1:4">
      <c r="A262">
        <v>1.057002</v>
      </c>
      <c r="B262">
        <v>3.1972390000000002</v>
      </c>
      <c r="C262">
        <f>LOG10(1.057002)</f>
        <v>2.4075809055905034E-2</v>
      </c>
      <c r="D262">
        <f>LOG10(3.197239)</f>
        <v>0.50477510186492691</v>
      </c>
    </row>
    <row r="263" spans="1:4">
      <c r="A263">
        <v>1.0611889999999999</v>
      </c>
      <c r="B263">
        <v>3.1470199999999999</v>
      </c>
      <c r="C263">
        <f>LOG10(1.061189)</f>
        <v>2.5792739553732322E-2</v>
      </c>
      <c r="D263">
        <f>LOG10(3.14702)</f>
        <v>0.49789950295835461</v>
      </c>
    </row>
    <row r="264" spans="1:4">
      <c r="A264">
        <v>1.0820639999999999</v>
      </c>
      <c r="B264">
        <v>3.0230139999999999</v>
      </c>
      <c r="C264">
        <f>LOG10(1.082064)</f>
        <v>3.4252948409039953E-2</v>
      </c>
      <c r="D264">
        <f>LOG10(3.023014)</f>
        <v>0.48044015846086957</v>
      </c>
    </row>
    <row r="265" spans="1:4">
      <c r="A265">
        <v>1.0511779999999999</v>
      </c>
      <c r="B265">
        <v>3.010618</v>
      </c>
      <c r="C265">
        <f>LOG10(1.051178)</f>
        <v>2.1676263004724236E-2</v>
      </c>
      <c r="D265">
        <f>LOG10(3.010618)</f>
        <v>0.47865565387983955</v>
      </c>
    </row>
    <row r="266" spans="1:4">
      <c r="A266">
        <v>1.073337</v>
      </c>
      <c r="B266">
        <v>3.037245</v>
      </c>
      <c r="C266">
        <f>LOG10(1.073337)</f>
        <v>3.0736100588324076E-2</v>
      </c>
      <c r="D266">
        <f>LOG10(3.037245)</f>
        <v>0.4824798257860542</v>
      </c>
    </row>
    <row r="267" spans="1:4">
      <c r="A267">
        <v>1.0836440000000001</v>
      </c>
      <c r="B267">
        <v>3.1430829999999998</v>
      </c>
      <c r="C267">
        <f>LOG10(1.083644)</f>
        <v>3.4886630699678928E-2</v>
      </c>
      <c r="D267">
        <f>LOG10(3.143083)</f>
        <v>0.49735584966729396</v>
      </c>
    </row>
    <row r="268" spans="1:4">
      <c r="A268">
        <v>1.048486</v>
      </c>
      <c r="B268">
        <v>3.0343040000000001</v>
      </c>
      <c r="C268">
        <f>LOG10(1.048486)</f>
        <v>2.0562635885445497E-2</v>
      </c>
      <c r="D268">
        <f>LOG10(3.034304)</f>
        <v>0.48205908960450528</v>
      </c>
    </row>
    <row r="269" spans="1:4">
      <c r="A269">
        <v>1.1241829999999999</v>
      </c>
      <c r="B269">
        <v>3.097737</v>
      </c>
      <c r="C269">
        <f>LOG10(1.124183)</f>
        <v>5.0837013564982166E-2</v>
      </c>
      <c r="D269">
        <f>LOG10(3.097737)</f>
        <v>0.49104454308837175</v>
      </c>
    </row>
    <row r="270" spans="1:4">
      <c r="A270">
        <v>1.137931</v>
      </c>
      <c r="B270">
        <v>2.9943909999999998</v>
      </c>
      <c r="C270">
        <f>LOG10(1.137931)</f>
        <v>5.6115928818492353E-2</v>
      </c>
      <c r="D270">
        <f>LOG10(2.994391)</f>
        <v>0.47630850878436065</v>
      </c>
    </row>
    <row r="271" spans="1:4">
      <c r="A271">
        <v>1.118441</v>
      </c>
      <c r="B271">
        <v>3.017096</v>
      </c>
      <c r="C271">
        <f>LOG10(1.118441)</f>
        <v>4.8613079134246583E-2</v>
      </c>
      <c r="D271">
        <f>LOG10(3.017096)</f>
        <v>0.4795891290702351</v>
      </c>
    </row>
    <row r="272" spans="1:4">
      <c r="A272">
        <v>1.1136520000000001</v>
      </c>
      <c r="B272">
        <v>2.9944329999999999</v>
      </c>
      <c r="C272">
        <f>LOG10(1.113652)</f>
        <v>4.6749501348569304E-2</v>
      </c>
      <c r="D272">
        <f>LOG10(2.994433)</f>
        <v>0.47631460025348393</v>
      </c>
    </row>
    <row r="273" spans="1:4">
      <c r="A273">
        <v>1.13262</v>
      </c>
      <c r="B273">
        <v>2.933033</v>
      </c>
      <c r="C273">
        <f>LOG10(1.13262)</f>
        <v>5.4084226205351513E-2</v>
      </c>
      <c r="D273">
        <f>LOG10(2.933033)</f>
        <v>0.46731694932125395</v>
      </c>
    </row>
    <row r="274" spans="1:4">
      <c r="A274">
        <v>1.136339</v>
      </c>
      <c r="B274">
        <v>3.0916999999999999</v>
      </c>
      <c r="C274">
        <f>LOG10(1.136339)</f>
        <v>5.5507912243398162E-2</v>
      </c>
      <c r="D274">
        <f>LOG10(3.0917)</f>
        <v>0.49019734596246911</v>
      </c>
    </row>
    <row r="275" spans="1:4">
      <c r="A275">
        <v>1.124058</v>
      </c>
      <c r="B275">
        <v>3.0475379999999999</v>
      </c>
      <c r="C275">
        <f>LOG10(1.124058)</f>
        <v>5.0788720868341707E-2</v>
      </c>
      <c r="D275">
        <f>LOG10(3.047538)</f>
        <v>0.48394912957751451</v>
      </c>
    </row>
    <row r="276" spans="1:4">
      <c r="A276">
        <v>1.1213379999999999</v>
      </c>
      <c r="B276">
        <v>2.8429280000000001</v>
      </c>
      <c r="C276">
        <f>LOG10(1.121338)</f>
        <v>4.9736539811115442E-2</v>
      </c>
      <c r="D276">
        <f>LOG10(2.842928)</f>
        <v>0.45376586088683485</v>
      </c>
    </row>
    <row r="277" spans="1:4">
      <c r="A277">
        <v>1.131365</v>
      </c>
      <c r="B277">
        <v>3.0345309999999999</v>
      </c>
      <c r="C277">
        <f>LOG10(1.131365)</f>
        <v>5.3602739242658771E-2</v>
      </c>
      <c r="D277">
        <f>LOG10(3.034531)</f>
        <v>0.48209157849156115</v>
      </c>
    </row>
    <row r="278" spans="1:4">
      <c r="A278">
        <v>1.1204590000000001</v>
      </c>
      <c r="B278">
        <v>3.0096349999999998</v>
      </c>
      <c r="C278">
        <f>LOG10(1.120459)</f>
        <v>4.9395969394475603E-2</v>
      </c>
      <c r="D278">
        <f>LOG10(3.009635)</f>
        <v>0.47851382878394905</v>
      </c>
    </row>
    <row r="279" spans="1:4">
      <c r="A279">
        <v>1.1287430000000001</v>
      </c>
      <c r="B279">
        <v>3.0164939999999998</v>
      </c>
      <c r="C279">
        <f>LOG10(1.128743)</f>
        <v>5.25950700140983E-2</v>
      </c>
      <c r="D279">
        <f>LOG10(3.016494)</f>
        <v>0.47950246581370842</v>
      </c>
    </row>
    <row r="280" spans="1:4">
      <c r="A280">
        <v>1.1125210000000001</v>
      </c>
      <c r="B280">
        <v>3.1764830000000002</v>
      </c>
      <c r="C280">
        <f>LOG10(1.112521)</f>
        <v>4.6308217493906685E-2</v>
      </c>
      <c r="D280">
        <f>LOG10(3.176483)</f>
        <v>0.50194653540685485</v>
      </c>
    </row>
    <row r="281" spans="1:4">
      <c r="A281">
        <v>1.1186339999999999</v>
      </c>
      <c r="B281">
        <v>3.266337</v>
      </c>
      <c r="C281">
        <f>LOG10(1.118634)</f>
        <v>4.8688015231798283E-2</v>
      </c>
      <c r="D281">
        <f>LOG10(3.266337)</f>
        <v>0.51406099047108245</v>
      </c>
    </row>
    <row r="282" spans="1:4">
      <c r="A282">
        <v>1.1281509999999999</v>
      </c>
      <c r="B282">
        <v>3.2820299999999998</v>
      </c>
      <c r="C282">
        <f>LOG10(1.128151)</f>
        <v>5.2367232695036396E-2</v>
      </c>
      <c r="D282">
        <f>LOG10(3.28203)</f>
        <v>0.51614254648395763</v>
      </c>
    </row>
    <row r="283" spans="1:4">
      <c r="A283">
        <v>1.1326339999999999</v>
      </c>
      <c r="B283">
        <v>3.3341569999999998</v>
      </c>
      <c r="C283">
        <f>LOG10(1.132634)</f>
        <v>5.4089594365166443E-2</v>
      </c>
      <c r="D283">
        <f>LOG10(3.334157)</f>
        <v>0.52298604619033429</v>
      </c>
    </row>
    <row r="284" spans="1:4">
      <c r="A284">
        <v>1.131931</v>
      </c>
      <c r="B284">
        <v>3.2889430000000002</v>
      </c>
      <c r="C284">
        <f>LOG10(1.131931)</f>
        <v>5.381995403195855E-2</v>
      </c>
      <c r="D284">
        <f>LOG10(3.288943)</f>
        <v>0.51705634687883062</v>
      </c>
    </row>
    <row r="285" spans="1:4">
      <c r="A285">
        <v>1.1122270000000001</v>
      </c>
      <c r="B285">
        <v>3.405405</v>
      </c>
      <c r="C285">
        <f>LOG10(1.112227)</f>
        <v>4.6193433636658288E-2</v>
      </c>
      <c r="D285">
        <f>LOG10(3.405405)</f>
        <v>0.53216876934884083</v>
      </c>
    </row>
    <row r="286" spans="1:4">
      <c r="A286">
        <v>1.105394</v>
      </c>
      <c r="B286">
        <v>3.4310520000000002</v>
      </c>
      <c r="C286">
        <f>LOG10(1.105394)</f>
        <v>4.3517102932599673E-2</v>
      </c>
      <c r="D286">
        <f>LOG10(3.431052)</f>
        <v>0.53542730014358964</v>
      </c>
    </row>
    <row r="287" spans="1:4">
      <c r="A287">
        <v>1.0843339999999999</v>
      </c>
      <c r="B287">
        <v>3.3081700000000001</v>
      </c>
      <c r="C287">
        <f>LOG10(1.084334)</f>
        <v>3.5163075573779422E-2</v>
      </c>
      <c r="D287">
        <f>LOG10(3.30817)</f>
        <v>0.51958781894728778</v>
      </c>
    </row>
    <row r="288" spans="1:4">
      <c r="A288">
        <v>1.116859</v>
      </c>
      <c r="B288">
        <v>3.3037619999999999</v>
      </c>
      <c r="C288">
        <f>LOG10(1.116859)</f>
        <v>4.7998348238990018E-2</v>
      </c>
      <c r="D288">
        <f>LOG10(3.303762)</f>
        <v>0.51900875359699505</v>
      </c>
    </row>
    <row r="289" spans="1:4">
      <c r="A289">
        <v>1.104678</v>
      </c>
      <c r="B289">
        <v>3.3239909999999999</v>
      </c>
      <c r="C289">
        <f>LOG10(1.104678)</f>
        <v>4.3235704987264222E-2</v>
      </c>
      <c r="D289">
        <f>LOG10(3.323991)</f>
        <v>0.52165983922289505</v>
      </c>
    </row>
    <row r="290" spans="1:4">
      <c r="A290">
        <v>1.096568</v>
      </c>
      <c r="B290">
        <v>3.2381920000000002</v>
      </c>
      <c r="C290">
        <f>LOG10(1.096568)</f>
        <v>4.003556816957049E-2</v>
      </c>
      <c r="D290">
        <f>LOG10(3.238192)</f>
        <v>0.51030259551940682</v>
      </c>
    </row>
    <row r="291" spans="1:4">
      <c r="A291">
        <v>1.103515</v>
      </c>
      <c r="B291">
        <v>3.3902800000000002</v>
      </c>
      <c r="C291">
        <f>LOG10(1.103515)</f>
        <v>4.2778240871442177E-2</v>
      </c>
      <c r="D291">
        <f>LOG10(3.39028)</f>
        <v>0.53023556765242708</v>
      </c>
    </row>
    <row r="292" spans="1:4">
      <c r="A292">
        <v>1.106649</v>
      </c>
      <c r="B292">
        <v>3.3753129999999998</v>
      </c>
      <c r="C292">
        <f>LOG10(1.106649)</f>
        <v>4.4009895914714908E-2</v>
      </c>
      <c r="D292">
        <f>LOG10(3.375313)</f>
        <v>0.52831405209146076</v>
      </c>
    </row>
    <row r="293" spans="1:4">
      <c r="A293">
        <v>1.1081080000000001</v>
      </c>
      <c r="B293">
        <v>3.4945879999999998</v>
      </c>
      <c r="C293">
        <f>LOG10(1.108108)</f>
        <v>4.458209028254511E-2</v>
      </c>
      <c r="D293">
        <f>LOG10(3.494588)</f>
        <v>0.54339598126232735</v>
      </c>
    </row>
    <row r="294" spans="1:4">
      <c r="A294">
        <v>1.104017</v>
      </c>
      <c r="B294">
        <v>3.3479559999999999</v>
      </c>
      <c r="C294">
        <f>LOG10(1.104017)</f>
        <v>4.2975760847300704E-2</v>
      </c>
      <c r="D294">
        <f>LOG10(3.347956)</f>
        <v>0.52477974170988084</v>
      </c>
    </row>
    <row r="295" spans="1:4">
      <c r="A295">
        <v>1.120125</v>
      </c>
      <c r="B295">
        <v>3.2745660000000001</v>
      </c>
      <c r="C295">
        <f>LOG10(1.120125)</f>
        <v>4.9266490331847157E-2</v>
      </c>
      <c r="D295">
        <f>LOG10(3.274566)</f>
        <v>0.51515374820716064</v>
      </c>
    </row>
    <row r="296" spans="1:4">
      <c r="A296">
        <v>1.121775</v>
      </c>
      <c r="B296">
        <v>3.1988539999999999</v>
      </c>
      <c r="C296">
        <f>LOG10(1.121775)</f>
        <v>4.9905757047155538E-2</v>
      </c>
      <c r="D296">
        <f>LOG10(3.198854)</f>
        <v>0.50499441875202633</v>
      </c>
    </row>
    <row r="297" spans="1:4">
      <c r="A297">
        <v>1.112584</v>
      </c>
      <c r="B297">
        <v>3.1387679999999998</v>
      </c>
      <c r="C297">
        <f>LOG10(1.112584)</f>
        <v>4.6332810088294075E-2</v>
      </c>
      <c r="D297">
        <f>LOG10(3.138768)</f>
        <v>0.49675921629151137</v>
      </c>
    </row>
    <row r="298" spans="1:4">
      <c r="A298">
        <v>1.141238</v>
      </c>
      <c r="B298">
        <v>3.279474</v>
      </c>
      <c r="C298">
        <f>LOG10(1.141238)</f>
        <v>5.7376224004627323E-2</v>
      </c>
      <c r="D298">
        <f>LOG10(3.279474)</f>
        <v>0.51580419212133177</v>
      </c>
    </row>
    <row r="299" spans="1:4">
      <c r="A299">
        <v>1.10517</v>
      </c>
      <c r="B299">
        <v>3.2502819999999999</v>
      </c>
      <c r="C299">
        <f>LOG10(1.10517)</f>
        <v>4.3429087417754329E-2</v>
      </c>
      <c r="D299">
        <f>LOG10(3.250282)</f>
        <v>0.51192104274221129</v>
      </c>
    </row>
    <row r="300" spans="1:4">
      <c r="A300">
        <v>1.10344</v>
      </c>
      <c r="B300">
        <v>3.3119900000000002</v>
      </c>
      <c r="C300">
        <f>LOG10(1.10344)</f>
        <v>4.2748723200121012E-2</v>
      </c>
      <c r="D300">
        <f>LOG10(3.31199)</f>
        <v>0.52008901683525333</v>
      </c>
    </row>
    <row r="301" spans="1:4">
      <c r="A301">
        <v>1.1045149999999999</v>
      </c>
      <c r="B301">
        <v>3.245225</v>
      </c>
      <c r="C301">
        <f>LOG10(1.104515)</f>
        <v>4.3171618236420135E-2</v>
      </c>
      <c r="D301">
        <f>LOG10(3.245225)</f>
        <v>0.51124481296100655</v>
      </c>
    </row>
    <row r="302" spans="1:4">
      <c r="A302">
        <v>1.097561</v>
      </c>
      <c r="B302">
        <v>3.325094</v>
      </c>
      <c r="C302">
        <f>LOG10(1.097561)</f>
        <v>4.0428666706596568E-2</v>
      </c>
      <c r="D302">
        <f>LOG10(3.325094)</f>
        <v>0.52180392726446267</v>
      </c>
    </row>
    <row r="303" spans="1:4">
      <c r="A303">
        <v>1.0918350000000001</v>
      </c>
      <c r="B303">
        <v>3.3317410000000001</v>
      </c>
      <c r="C303">
        <f>LOG10(1.091835)</f>
        <v>3.8157011991587969E-2</v>
      </c>
      <c r="D303">
        <f>LOG10(3.331741)</f>
        <v>0.52267123323813403</v>
      </c>
    </row>
    <row r="304" spans="1:4">
      <c r="A304">
        <v>1.1057090000000001</v>
      </c>
      <c r="B304">
        <v>3.406561</v>
      </c>
      <c r="C304">
        <f>LOG10(1.105709)</f>
        <v>4.3640844578940942E-2</v>
      </c>
      <c r="D304">
        <f>LOG10(3.406561)</f>
        <v>0.53231617009215026</v>
      </c>
    </row>
    <row r="305" spans="1:4">
      <c r="A305">
        <v>1.07541</v>
      </c>
      <c r="B305">
        <v>3.3689460000000002</v>
      </c>
      <c r="C305">
        <f>LOG10(1.07541)</f>
        <v>3.1574070568315307E-2</v>
      </c>
      <c r="D305">
        <f>LOG10(3.368946)</f>
        <v>0.52749404983835557</v>
      </c>
    </row>
    <row r="306" spans="1:4">
      <c r="A306">
        <v>1.075529</v>
      </c>
      <c r="B306">
        <v>3.397516</v>
      </c>
      <c r="C306">
        <f>LOG10(1.075529)</f>
        <v>3.1622124970043304E-2</v>
      </c>
      <c r="D306">
        <f>LOG10(3.397516)</f>
        <v>0.53116151064230932</v>
      </c>
    </row>
    <row r="307" spans="1:4">
      <c r="A307">
        <v>1.073501</v>
      </c>
      <c r="B307">
        <v>3.4598300000000002</v>
      </c>
      <c r="C307">
        <f>LOG10(1.073501)</f>
        <v>3.0802453331447405E-2</v>
      </c>
      <c r="D307">
        <f>LOG10(3.45983)</f>
        <v>0.5390547601003699</v>
      </c>
    </row>
    <row r="308" spans="1:4">
      <c r="A308">
        <v>1.0719320000000001</v>
      </c>
      <c r="B308">
        <v>3.2412809999999999</v>
      </c>
      <c r="C308">
        <f>LOG10(1.071932)</f>
        <v>3.016723595240511E-2</v>
      </c>
      <c r="D308">
        <f>LOG10(3.241281)</f>
        <v>0.51071668344175258</v>
      </c>
    </row>
    <row r="309" spans="1:4">
      <c r="A309">
        <v>1.1087089999999999</v>
      </c>
      <c r="B309">
        <v>3.1939069999999998</v>
      </c>
      <c r="C309">
        <f>LOG10(1.108709)</f>
        <v>4.4817572949827605E-2</v>
      </c>
      <c r="D309">
        <f>LOG10(3.193907)</f>
        <v>0.50432226622486886</v>
      </c>
    </row>
    <row r="310" spans="1:4">
      <c r="A310">
        <v>1.151154</v>
      </c>
      <c r="B310">
        <v>2.8006129999999998</v>
      </c>
      <c r="C310">
        <f>LOG10(1.151154)</f>
        <v>6.1133426910730322E-2</v>
      </c>
      <c r="D310">
        <f>LOG10(2.800613)</f>
        <v>0.44725310040643407</v>
      </c>
    </row>
    <row r="311" spans="1:4">
      <c r="A311">
        <v>1.13775</v>
      </c>
      <c r="B311">
        <v>3.0593629999999998</v>
      </c>
      <c r="C311">
        <f>LOG10(1.13775)</f>
        <v>5.6046844178430553E-2</v>
      </c>
      <c r="D311">
        <f>LOG10(3.059363)</f>
        <v>0.48563101001634607</v>
      </c>
    </row>
    <row r="312" spans="1:4">
      <c r="A312">
        <v>1.162291</v>
      </c>
      <c r="B312">
        <v>3.0193629999999998</v>
      </c>
      <c r="C312">
        <f>LOG10(1.162291)</f>
        <v>6.5314874932301092E-2</v>
      </c>
      <c r="D312">
        <f>LOG10(3.019363)</f>
        <v>0.47991532879651866</v>
      </c>
    </row>
    <row r="313" spans="1:4">
      <c r="A313">
        <v>1.1414880000000001</v>
      </c>
      <c r="B313">
        <v>3.0154269999999999</v>
      </c>
      <c r="C313">
        <f>LOG10(1.141488)</f>
        <v>5.7471350288649088E-2</v>
      </c>
      <c r="D313">
        <f>LOG10(3.015427)</f>
        <v>0.47934881916713462</v>
      </c>
    </row>
    <row r="314" spans="1:4">
      <c r="A314">
        <v>1.144666</v>
      </c>
      <c r="B314">
        <v>3.1907559999999999</v>
      </c>
      <c r="C314">
        <f>LOG10(1.144666)</f>
        <v>5.867878316719892E-2</v>
      </c>
      <c r="D314">
        <f>LOG10(3.190756)</f>
        <v>0.50389359457106919</v>
      </c>
    </row>
    <row r="315" spans="1:4">
      <c r="A315">
        <v>1.1503110000000001</v>
      </c>
      <c r="B315">
        <v>3.1874560000000001</v>
      </c>
      <c r="C315">
        <f>LOG10(1.150311)</f>
        <v>6.0815272809218682E-2</v>
      </c>
      <c r="D315">
        <f>LOG10(3.187456)</f>
        <v>0.50344419843366828</v>
      </c>
    </row>
    <row r="316" spans="1:4">
      <c r="A316">
        <v>1.082854</v>
      </c>
      <c r="B316">
        <v>3.2325889999999999</v>
      </c>
      <c r="C316">
        <f>LOG10(1.082854)</f>
        <v>3.4569905130663818E-2</v>
      </c>
      <c r="D316">
        <f>LOG10(3.232589)</f>
        <v>0.50955049076103054</v>
      </c>
    </row>
    <row r="317" spans="1:4">
      <c r="A317">
        <v>1.059196</v>
      </c>
      <c r="B317">
        <v>2.8776250000000001</v>
      </c>
      <c r="C317">
        <f>LOG10(1.059196)</f>
        <v>2.4976332007626435E-2</v>
      </c>
      <c r="D317">
        <f>LOG10(2.877625)</f>
        <v>0.45903419785566063</v>
      </c>
    </row>
    <row r="318" spans="1:4">
      <c r="A318">
        <v>1.0604340000000001</v>
      </c>
      <c r="B318">
        <v>2.7754660000000002</v>
      </c>
      <c r="C318">
        <f>LOG10(1.060434)</f>
        <v>2.5483643783486724E-2</v>
      </c>
      <c r="D318">
        <f>LOG10(2.775466)</f>
        <v>0.44333591150833068</v>
      </c>
    </row>
    <row r="319" spans="1:4">
      <c r="A319">
        <v>1.17848</v>
      </c>
      <c r="B319">
        <v>2.817596</v>
      </c>
      <c r="C319">
        <f>LOG10(1.17848)</f>
        <v>7.1322216505364341E-2</v>
      </c>
      <c r="D319">
        <f>LOG10(2.817596)</f>
        <v>0.44987872207750296</v>
      </c>
    </row>
    <row r="320" spans="1:4">
      <c r="A320">
        <v>1.186285</v>
      </c>
      <c r="B320">
        <v>3.1751320000000001</v>
      </c>
      <c r="C320">
        <f>LOG10(1.186285)</f>
        <v>7.4189038992887951E-2</v>
      </c>
      <c r="D320">
        <f>LOG10(3.175132)</f>
        <v>0.50176178496026769</v>
      </c>
    </row>
    <row r="321" spans="1:4">
      <c r="A321">
        <v>1.1494359999999999</v>
      </c>
      <c r="B321">
        <v>2.7654939999999999</v>
      </c>
      <c r="C321">
        <f>LOG10(1.149436)</f>
        <v>6.0484794987090966E-2</v>
      </c>
      <c r="D321">
        <f>LOG10(2.765494)</f>
        <v>0.44177272056337702</v>
      </c>
    </row>
    <row r="322" spans="1:4">
      <c r="A322">
        <v>1.167648</v>
      </c>
      <c r="B322">
        <v>2.9158770000000001</v>
      </c>
      <c r="C322">
        <f>LOG10(1.167648)</f>
        <v>6.7311939781762212E-2</v>
      </c>
      <c r="D322">
        <f>LOG10(2.915877)</f>
        <v>0.4647692002536446</v>
      </c>
    </row>
    <row r="323" spans="1:4">
      <c r="A323">
        <v>1.1479189999999999</v>
      </c>
      <c r="B323">
        <v>3.0314559999999999</v>
      </c>
      <c r="C323">
        <f>LOG10(1.147919)</f>
        <v>5.9911244251742948E-2</v>
      </c>
      <c r="D323">
        <f>LOG10(3.031456)</f>
        <v>0.4816512690592315</v>
      </c>
    </row>
    <row r="324" spans="1:4">
      <c r="A324">
        <v>1.147724</v>
      </c>
      <c r="B324">
        <v>3.159462</v>
      </c>
      <c r="C324">
        <f>LOG10(1.147724)</f>
        <v>5.9837463246443089E-2</v>
      </c>
      <c r="D324">
        <f>LOG10(3.159462)</f>
        <v>0.49961313631353532</v>
      </c>
    </row>
    <row r="325" spans="1:4">
      <c r="A325">
        <v>1.114106</v>
      </c>
      <c r="B325">
        <v>3.0928399999999998</v>
      </c>
      <c r="C325">
        <f>LOG10(1.114106)</f>
        <v>4.6926513122302026E-2</v>
      </c>
      <c r="D325">
        <f>LOG10(3.09284)</f>
        <v>0.4903574534934988</v>
      </c>
    </row>
    <row r="326" spans="1:4">
      <c r="A326">
        <v>1.1330629999999999</v>
      </c>
      <c r="B326">
        <v>2.694312</v>
      </c>
      <c r="C326">
        <f>LOG10(1.133063)</f>
        <v>5.4254057958456316E-2</v>
      </c>
      <c r="D326">
        <f>LOG10(2.694312)</f>
        <v>0.43044788538572015</v>
      </c>
    </row>
    <row r="327" spans="1:4">
      <c r="A327">
        <v>1.1487989999999999</v>
      </c>
      <c r="B327">
        <v>2.9405809999999999</v>
      </c>
      <c r="C327">
        <f>LOG10(1.148799)</f>
        <v>6.0244048856206524E-2</v>
      </c>
      <c r="D327">
        <f>LOG10(2.940581)</f>
        <v>0.46843314679486053</v>
      </c>
    </row>
    <row r="328" spans="1:4">
      <c r="A328">
        <v>1.1493899999999999</v>
      </c>
      <c r="B328">
        <v>3.4301840000000001</v>
      </c>
      <c r="C328">
        <f>LOG10(1.14939)</f>
        <v>6.0467414336123723E-2</v>
      </c>
      <c r="D328">
        <f>LOG10(3.430184)</f>
        <v>0.53531741684783851</v>
      </c>
    </row>
    <row r="329" spans="1:4">
      <c r="A329">
        <v>1.150352</v>
      </c>
      <c r="B329">
        <v>3.2943370000000001</v>
      </c>
      <c r="C329">
        <f>LOG10(1.150352)</f>
        <v>6.0830751889605419E-2</v>
      </c>
      <c r="D329">
        <f>LOG10(3.294337)</f>
        <v>0.5177680240244491</v>
      </c>
    </row>
    <row r="330" spans="1:4">
      <c r="A330">
        <v>1.159664</v>
      </c>
      <c r="B330">
        <v>3.4417930000000001</v>
      </c>
      <c r="C330">
        <f>LOG10(1.159664)</f>
        <v>6.4332175361686256E-2</v>
      </c>
      <c r="D330">
        <f>LOG10(3.441793)</f>
        <v>0.53678474697320921</v>
      </c>
    </row>
    <row r="331" spans="1:4">
      <c r="A331">
        <v>1.156487</v>
      </c>
      <c r="B331">
        <v>3.6157460000000001</v>
      </c>
      <c r="C331">
        <f>LOG10(1.156487)</f>
        <v>6.3140755256230252E-2</v>
      </c>
      <c r="D331">
        <f>LOG10(3.615746)</f>
        <v>0.55819791442697464</v>
      </c>
    </row>
    <row r="332" spans="1:4">
      <c r="A332">
        <v>1.1783840000000001</v>
      </c>
      <c r="B332">
        <v>3.5145019999999998</v>
      </c>
      <c r="C332">
        <f>LOG10(1.178384)</f>
        <v>7.1286837060232408E-2</v>
      </c>
      <c r="D332">
        <f>LOG10(3.514502)</f>
        <v>0.54586379479696512</v>
      </c>
    </row>
    <row r="333" spans="1:4">
      <c r="A333">
        <v>1.1745570000000001</v>
      </c>
      <c r="B333">
        <v>3.508016</v>
      </c>
      <c r="C333">
        <f>LOG10(1.174557)</f>
        <v>6.9874097473605151E-2</v>
      </c>
      <c r="D333">
        <f>LOG10(3.508016)</f>
        <v>0.54506156550810325</v>
      </c>
    </row>
    <row r="334" spans="1:4">
      <c r="A334">
        <v>1.171616</v>
      </c>
      <c r="B334">
        <v>3.3510680000000002</v>
      </c>
      <c r="C334">
        <f>LOG10(1.171616)</f>
        <v>6.8785293928187899E-2</v>
      </c>
      <c r="D334">
        <f>LOG10(3.351068)</f>
        <v>0.52518324064492083</v>
      </c>
    </row>
    <row r="335" spans="1:4">
      <c r="A335">
        <v>1.181487</v>
      </c>
      <c r="B335">
        <v>3.2499579999999999</v>
      </c>
      <c r="C335">
        <f>LOG10(1.181487)</f>
        <v>7.2428947416271511E-2</v>
      </c>
      <c r="D335">
        <f>LOG10(3.249958)</f>
        <v>0.51187774852161227</v>
      </c>
    </row>
    <row r="336" spans="1:4">
      <c r="A336">
        <v>1.174587</v>
      </c>
      <c r="B336">
        <v>3.1700430000000002</v>
      </c>
      <c r="C336">
        <f>LOG10(1.174587)</f>
        <v>6.9885189883825902E-2</v>
      </c>
      <c r="D336">
        <f>LOG10(3.170043)</f>
        <v>0.50106515323859224</v>
      </c>
    </row>
    <row r="337" spans="1:4">
      <c r="A337">
        <v>1.1492309999999999</v>
      </c>
      <c r="B337">
        <v>3.1928860000000001</v>
      </c>
      <c r="C337">
        <f>LOG10(1.149231)</f>
        <v>6.0407332380261698E-2</v>
      </c>
      <c r="D337">
        <f>LOG10(3.192886)</f>
        <v>0.50418341260309019</v>
      </c>
    </row>
    <row r="338" spans="1:4">
      <c r="A338">
        <v>1.11435</v>
      </c>
      <c r="B338">
        <v>3.1127060000000002</v>
      </c>
      <c r="C338">
        <f>LOG10(1.11435)</f>
        <v>4.7021617404376992E-2</v>
      </c>
      <c r="D338">
        <f>LOG10(3.112706)</f>
        <v>0.49313810281955345</v>
      </c>
    </row>
    <row r="339" spans="1:4">
      <c r="A339">
        <v>1.00976</v>
      </c>
      <c r="B339">
        <v>3.222375</v>
      </c>
      <c r="C339">
        <f>LOG10(1.00976)</f>
        <v>4.2181628307004122E-3</v>
      </c>
      <c r="D339">
        <f>LOG10(3.222375)</f>
        <v>0.50817607952019583</v>
      </c>
    </row>
    <row r="340" spans="1:4">
      <c r="A340">
        <v>1.0112950000000001</v>
      </c>
      <c r="B340">
        <v>3.207497</v>
      </c>
      <c r="C340">
        <f>LOG10(1.011295)</f>
        <v>4.8778600263779236E-3</v>
      </c>
      <c r="D340">
        <f>LOG10(3.207497)</f>
        <v>0.50616625884772837</v>
      </c>
    </row>
    <row r="341" spans="1:4">
      <c r="A341">
        <v>1.0136320000000001</v>
      </c>
      <c r="B341">
        <v>3.3363179999999999</v>
      </c>
      <c r="C341">
        <f>LOG10(1.013632)</f>
        <v>5.8803126133982345E-3</v>
      </c>
      <c r="D341">
        <f>LOG10(3.336318)</f>
        <v>0.52326743856740676</v>
      </c>
    </row>
    <row r="342" spans="1:4">
      <c r="A342">
        <v>1.006766</v>
      </c>
      <c r="B342">
        <v>3.339035</v>
      </c>
      <c r="C342">
        <f>LOG10(1.006766)</f>
        <v>2.9285403470073724E-3</v>
      </c>
      <c r="D342">
        <f>LOG10(3.339035)</f>
        <v>0.52362097138357144</v>
      </c>
    </row>
    <row r="343" spans="1:4">
      <c r="A343">
        <v>1.0095449999999999</v>
      </c>
      <c r="B343">
        <v>3.5176460000000001</v>
      </c>
      <c r="C343">
        <f>LOG10(1.009545)</f>
        <v>4.1256821861597719E-3</v>
      </c>
      <c r="D343">
        <f>LOG10(3.517646)</f>
        <v>0.54625213188602573</v>
      </c>
    </row>
    <row r="344" spans="1:4">
      <c r="A344">
        <v>1.0073780000000001</v>
      </c>
      <c r="B344">
        <v>3.061178</v>
      </c>
      <c r="C344">
        <f>LOG10(1.007378)</f>
        <v>3.1924621233098563E-3</v>
      </c>
      <c r="D344">
        <f>LOG10(3.061178)</f>
        <v>0.48588858349155351</v>
      </c>
    </row>
    <row r="345" spans="1:4">
      <c r="A345">
        <v>1.0056400000000001</v>
      </c>
      <c r="B345">
        <v>2.9453520000000002</v>
      </c>
      <c r="C345">
        <f>LOG10(1.00564)</f>
        <v>2.4425393733911393E-3</v>
      </c>
      <c r="D345">
        <f>LOG10(2.945352)</f>
        <v>0.46913720490322053</v>
      </c>
    </row>
    <row r="346" spans="1:4">
      <c r="A346">
        <v>1.008518</v>
      </c>
      <c r="B346">
        <v>2.9605640000000002</v>
      </c>
      <c r="C346">
        <f>LOG10(1.008518)</f>
        <v>3.6836538932685015E-3</v>
      </c>
      <c r="D346">
        <f>LOG10(2.960564)</f>
        <v>0.47137445388159349</v>
      </c>
    </row>
    <row r="347" spans="1:4">
      <c r="A347">
        <v>1.0157910000000001</v>
      </c>
      <c r="B347">
        <v>3.3375539999999999</v>
      </c>
      <c r="C347">
        <f>LOG10(1.015791)</f>
        <v>6.804360621292669E-3</v>
      </c>
      <c r="D347">
        <f>LOG10(3.337554)</f>
        <v>0.52342830110290928</v>
      </c>
    </row>
    <row r="348" spans="1:4">
      <c r="A348">
        <v>1.0131939999999999</v>
      </c>
      <c r="B348">
        <v>2.942739</v>
      </c>
      <c r="C348">
        <f>LOG10(1.013194)</f>
        <v>5.6926092920131822E-3</v>
      </c>
      <c r="D348">
        <f>LOG10(2.942739)</f>
        <v>0.46875174497887179</v>
      </c>
    </row>
    <row r="349" spans="1:4">
      <c r="A349">
        <v>1.0067839999999999</v>
      </c>
      <c r="B349">
        <v>3.0748180000000001</v>
      </c>
      <c r="C349">
        <f>LOG10(1.006784)</f>
        <v>2.936305041874053E-3</v>
      </c>
      <c r="D349">
        <f>LOG10(3.074818)</f>
        <v>0.48781941476674745</v>
      </c>
    </row>
    <row r="350" spans="1:4">
      <c r="A350">
        <v>1.0116210000000001</v>
      </c>
      <c r="B350">
        <v>3.209031</v>
      </c>
      <c r="C350">
        <f>LOG10(1.011621)</f>
        <v>5.0178361819139062E-3</v>
      </c>
      <c r="D350">
        <f>LOG10(3.209031)</f>
        <v>0.50637391250339137</v>
      </c>
    </row>
    <row r="351" spans="1:4">
      <c r="A351">
        <v>1.0135289999999999</v>
      </c>
      <c r="B351">
        <v>3.363937</v>
      </c>
      <c r="C351">
        <f>LOG10(1.013529)</f>
        <v>5.8361796297086207E-3</v>
      </c>
      <c r="D351">
        <f>LOG10(3.363937)</f>
        <v>0.52684785371072496</v>
      </c>
    </row>
    <row r="352" spans="1:4">
      <c r="A352">
        <v>1.0086550000000001</v>
      </c>
      <c r="B352">
        <v>3.208844</v>
      </c>
      <c r="C352">
        <f>LOG10(1.008655)</f>
        <v>3.7426457041962219E-3</v>
      </c>
      <c r="D352">
        <f>LOG10(3.208844)</f>
        <v>0.50634860410516336</v>
      </c>
    </row>
    <row r="353" spans="1:4">
      <c r="A353">
        <v>1.0077290000000001</v>
      </c>
      <c r="B353">
        <v>2.890463</v>
      </c>
      <c r="C353">
        <f>LOG10(1.007729)</f>
        <v>3.343756684531365E-3</v>
      </c>
      <c r="D353">
        <f>LOG10(2.890463)</f>
        <v>0.46096741446578682</v>
      </c>
    </row>
    <row r="354" spans="1:4">
      <c r="A354">
        <v>1.0126550000000001</v>
      </c>
      <c r="B354">
        <v>3.0818639999999999</v>
      </c>
      <c r="C354">
        <f>LOG10(1.012655)</f>
        <v>5.4615113856348717E-3</v>
      </c>
      <c r="D354">
        <f>LOG10(3.081864)</f>
        <v>0.48881346976437895</v>
      </c>
    </row>
    <row r="355" spans="1:4">
      <c r="A355">
        <v>1.0094270000000001</v>
      </c>
      <c r="B355">
        <v>3.7588330000000001</v>
      </c>
      <c r="C355">
        <f>LOG10(1.009427)</f>
        <v>4.074916995832352E-3</v>
      </c>
      <c r="D355">
        <f>LOG10(3.758833)</f>
        <v>0.57505303101054095</v>
      </c>
    </row>
    <row r="356" spans="1:4">
      <c r="A356">
        <v>1.012518</v>
      </c>
      <c r="B356">
        <v>3.6132520000000001</v>
      </c>
      <c r="C356">
        <f>LOG10(1.012518)</f>
        <v>5.4027526088671288E-3</v>
      </c>
      <c r="D356">
        <f>LOG10(3.613252)</f>
        <v>0.55789825174043361</v>
      </c>
    </row>
    <row r="357" spans="1:4">
      <c r="A357">
        <v>1.0065310000000001</v>
      </c>
      <c r="B357">
        <v>3.6165210000000001</v>
      </c>
      <c r="C357">
        <f>LOG10(1.006531)</f>
        <v>2.8271552024303338E-3</v>
      </c>
      <c r="D357">
        <f>LOG10(3.616521)</f>
        <v>0.55829099125192128</v>
      </c>
    </row>
    <row r="358" spans="1:4">
      <c r="A358">
        <v>1.0160530000000001</v>
      </c>
      <c r="B358">
        <v>3.805634</v>
      </c>
      <c r="C358">
        <f>LOG10(1.016053)</f>
        <v>6.9163624825470688E-3</v>
      </c>
      <c r="D358">
        <f>LOG10(3.805634)</f>
        <v>0.58042701846924072</v>
      </c>
    </row>
    <row r="359" spans="1:4">
      <c r="A359">
        <v>1.017712</v>
      </c>
      <c r="B359">
        <v>3.7472150000000002</v>
      </c>
      <c r="C359">
        <f>LOG10(1.017712)</f>
        <v>7.6248953811723181E-3</v>
      </c>
      <c r="D359">
        <f>LOG10(3.747215)</f>
        <v>0.57370861186477928</v>
      </c>
    </row>
    <row r="360" spans="1:4">
      <c r="A360">
        <v>1.0089079999999999</v>
      </c>
      <c r="B360">
        <v>3.839493</v>
      </c>
      <c r="C360">
        <f>LOG10(1.008908)</f>
        <v>3.8515657275088847E-3</v>
      </c>
      <c r="D360">
        <f>LOG10(3.839493)</f>
        <v>0.58427388013851855</v>
      </c>
    </row>
    <row r="361" spans="1:4">
      <c r="A361">
        <v>1.013161</v>
      </c>
      <c r="B361">
        <v>3.5425140000000002</v>
      </c>
      <c r="C361">
        <f>LOG10(1.013161)</f>
        <v>5.6784639740367635E-3</v>
      </c>
      <c r="D361">
        <f>LOG10(3.542514)</f>
        <v>0.54931157525280283</v>
      </c>
    </row>
    <row r="362" spans="1:4">
      <c r="A362">
        <v>1.013466</v>
      </c>
      <c r="B362">
        <v>3.3771680000000002</v>
      </c>
      <c r="C362">
        <f>LOG10(1.013466)</f>
        <v>5.8091834581653441E-3</v>
      </c>
      <c r="D362">
        <f>LOG10(3.377168)</f>
        <v>0.52855266550901692</v>
      </c>
    </row>
    <row r="363" spans="1:4">
      <c r="A363">
        <v>1.0129570000000001</v>
      </c>
      <c r="B363">
        <v>3.3133810000000001</v>
      </c>
      <c r="C363">
        <f>LOG10(1.012957)</f>
        <v>5.5910099613804545E-3</v>
      </c>
      <c r="D363">
        <f>LOG10(3.313381)</f>
        <v>0.52027137753119135</v>
      </c>
    </row>
    <row r="364" spans="1:4">
      <c r="A364">
        <v>1.531315</v>
      </c>
      <c r="B364">
        <v>3.3164090000000002</v>
      </c>
      <c r="C364">
        <f>LOG10(1.531315)</f>
        <v>0.18506453667493686</v>
      </c>
      <c r="D364">
        <f>LOG10(3.316409)</f>
        <v>0.52066808505364437</v>
      </c>
    </row>
    <row r="365" spans="1:4">
      <c r="A365">
        <v>1.0088889999999999</v>
      </c>
      <c r="B365">
        <v>3.2280709999999999</v>
      </c>
      <c r="C365">
        <f>LOG10(1.008889)</f>
        <v>3.8433869115463257E-3</v>
      </c>
      <c r="D365">
        <f>LOG10(3.228071)</f>
        <v>0.50894307827094742</v>
      </c>
    </row>
    <row r="366" spans="1:4">
      <c r="A366">
        <v>1.0083629999999999</v>
      </c>
      <c r="B366">
        <v>3.231201</v>
      </c>
      <c r="C366">
        <f>LOG10(1.008363)</f>
        <v>3.6169016705765488E-3</v>
      </c>
      <c r="D366">
        <f>LOG10(3.231201)</f>
        <v>0.50936397456847271</v>
      </c>
    </row>
    <row r="367" spans="1:4">
      <c r="A367">
        <v>1.0068600000000001</v>
      </c>
      <c r="B367">
        <v>3.5767519999999999</v>
      </c>
      <c r="C367">
        <f>LOG10(1.00686)</f>
        <v>2.9690877786839368E-3</v>
      </c>
      <c r="D367">
        <f>LOG10(3.576752)</f>
        <v>0.55348882866857296</v>
      </c>
    </row>
    <row r="368" spans="1:4">
      <c r="A368">
        <v>1.007139</v>
      </c>
      <c r="B368">
        <v>3.7431670000000001</v>
      </c>
      <c r="C368">
        <f>LOG10(1.007139)</f>
        <v>3.0894137184943049E-3</v>
      </c>
      <c r="D368">
        <f>LOG10(3.743167)</f>
        <v>0.57323920343303458</v>
      </c>
    </row>
    <row r="369" spans="1:4">
      <c r="A369">
        <v>1.0126459999999999</v>
      </c>
      <c r="B369">
        <v>3.6490580000000001</v>
      </c>
      <c r="C369">
        <f>LOG10(1.012646)</f>
        <v>5.4576515639716038E-3</v>
      </c>
      <c r="D369">
        <f>LOG10(3.649058)</f>
        <v>0.56218076631881797</v>
      </c>
    </row>
    <row r="370" spans="1:4">
      <c r="A370">
        <v>1.0078100000000001</v>
      </c>
      <c r="B370">
        <v>3.6671469999999999</v>
      </c>
      <c r="C370">
        <f>LOG10(1.00781)</f>
        <v>3.3786633303993941E-3</v>
      </c>
      <c r="D370">
        <f>LOG10(3.667147)</f>
        <v>0.56432831928955351</v>
      </c>
    </row>
    <row r="371" spans="1:4">
      <c r="A371">
        <v>1.0084500000000001</v>
      </c>
      <c r="B371">
        <v>3.4557920000000002</v>
      </c>
      <c r="C371">
        <f>LOG10(1.00845)</f>
        <v>3.6543703104049245E-3</v>
      </c>
      <c r="D371">
        <f>LOG10(3.455792)</f>
        <v>0.53854759492644289</v>
      </c>
    </row>
    <row r="372" spans="1:4">
      <c r="A372">
        <v>1.00976</v>
      </c>
      <c r="B372">
        <v>3.6914560000000001</v>
      </c>
      <c r="C372">
        <f>LOG10(1.00976)</f>
        <v>4.2181628307004122E-3</v>
      </c>
      <c r="D372">
        <f>LOG10(3.691456)</f>
        <v>0.56719769625270366</v>
      </c>
    </row>
    <row r="373" spans="1:4">
      <c r="A373">
        <v>1.0083869999999999</v>
      </c>
      <c r="B373">
        <v>3.3247949999999999</v>
      </c>
      <c r="C373">
        <f>LOG10(1.008387)</f>
        <v>3.6272381699603896E-3</v>
      </c>
      <c r="D373">
        <f>LOG10(3.324795)</f>
        <v>0.5217648727628984</v>
      </c>
    </row>
    <row r="374" spans="1:4">
      <c r="A374">
        <v>1.0092300000000001</v>
      </c>
      <c r="B374">
        <v>3.305806</v>
      </c>
      <c r="C374">
        <f>LOG10(1.00923)</f>
        <v>3.990151715542985E-3</v>
      </c>
      <c r="D374">
        <f>LOG10(3.305806)</f>
        <v>0.51927736357250587</v>
      </c>
    </row>
    <row r="375" spans="1:4">
      <c r="A375">
        <v>1.005603</v>
      </c>
      <c r="B375">
        <v>3.1321750000000002</v>
      </c>
      <c r="C375">
        <f>LOG10(1.005603)</f>
        <v>2.4265603038980338E-3</v>
      </c>
      <c r="D375">
        <f>LOG10(3.132175)</f>
        <v>0.49584601884284241</v>
      </c>
    </row>
    <row r="376" spans="1:4">
      <c r="A376">
        <v>1.009668</v>
      </c>
      <c r="B376">
        <v>3.2648609999999998</v>
      </c>
      <c r="C376">
        <f>LOG10(1.009668)</f>
        <v>4.1785921281423293E-3</v>
      </c>
      <c r="D376">
        <f>LOG10(3.264861)</f>
        <v>0.51386469611093533</v>
      </c>
    </row>
    <row r="377" spans="1:4">
      <c r="A377">
        <v>1.0088200000000001</v>
      </c>
      <c r="B377">
        <v>3.1992409999999998</v>
      </c>
      <c r="C377">
        <f>LOG10(1.00882)</f>
        <v>3.8136836002532191E-3</v>
      </c>
      <c r="D377">
        <f>LOG10(3.199241)</f>
        <v>0.50504695687929746</v>
      </c>
    </row>
    <row r="378" spans="1:4">
      <c r="A378">
        <v>1.0101180000000001</v>
      </c>
      <c r="B378">
        <v>3.5947789999999999</v>
      </c>
      <c r="C378">
        <f>LOG10(1.010118)</f>
        <v>4.3721101742027696E-3</v>
      </c>
      <c r="D378">
        <f>LOG10(3.594779)</f>
        <v>0.55567219596208817</v>
      </c>
    </row>
    <row r="379" spans="1:4">
      <c r="A379">
        <v>1.004345</v>
      </c>
      <c r="B379">
        <v>3.3689209999999998</v>
      </c>
      <c r="C379">
        <f>LOG10(1.004345)</f>
        <v>1.8829218320821797E-3</v>
      </c>
      <c r="D379">
        <f>LOG10(3.368921)</f>
        <v>0.52749082704928962</v>
      </c>
    </row>
    <row r="380" spans="1:4">
      <c r="A380">
        <v>1.01275</v>
      </c>
      <c r="B380">
        <v>3.2618390000000002</v>
      </c>
      <c r="C380">
        <f>LOG10(1.01275)</f>
        <v>5.5022518556258572E-3</v>
      </c>
      <c r="D380">
        <f>LOG10(3.261839)</f>
        <v>0.5134625210398881</v>
      </c>
    </row>
    <row r="381" spans="1:4">
      <c r="A381">
        <v>1.0065489999999999</v>
      </c>
      <c r="B381">
        <v>3.2833109999999999</v>
      </c>
      <c r="C381">
        <f>LOG10(1.006549)</f>
        <v>2.8349217101442869E-3</v>
      </c>
      <c r="D381">
        <f>LOG10(3.283311)</f>
        <v>0.51631202168360923</v>
      </c>
    </row>
    <row r="382" spans="1:4">
      <c r="A382">
        <v>1.009428</v>
      </c>
      <c r="B382">
        <v>3.0151870000000001</v>
      </c>
      <c r="C382">
        <f>LOG10(1.009428)</f>
        <v>4.0753472342416166E-3</v>
      </c>
      <c r="D382">
        <f>LOG10(3.015187)</f>
        <v>0.47931425198186572</v>
      </c>
    </row>
    <row r="383" spans="1:4">
      <c r="A383">
        <v>1.0087980000000001</v>
      </c>
      <c r="B383">
        <v>3.191732</v>
      </c>
      <c r="C383">
        <f>LOG10(1.008798)</f>
        <v>3.8042125521140415E-3</v>
      </c>
      <c r="D383">
        <f>LOG10(3.191732)</f>
        <v>0.50402641782671542</v>
      </c>
    </row>
    <row r="384" spans="1:4">
      <c r="A384">
        <v>1.008208</v>
      </c>
      <c r="B384">
        <v>2.9978720000000001</v>
      </c>
      <c r="C384">
        <f>LOG10(1.008208)</f>
        <v>3.5501391863123908E-3</v>
      </c>
      <c r="D384">
        <f>LOG10(2.997872)</f>
        <v>0.47681308585701654</v>
      </c>
    </row>
    <row r="385" spans="1:4">
      <c r="A385">
        <v>1.015366</v>
      </c>
      <c r="B385">
        <v>3.146474</v>
      </c>
      <c r="C385">
        <f>LOG10(1.015366)</f>
        <v>6.6226167605250436E-3</v>
      </c>
      <c r="D385">
        <f>LOG10(3.146474)</f>
        <v>0.49782414742843301</v>
      </c>
    </row>
    <row r="386" spans="1:4">
      <c r="A386">
        <v>1.0072000000000001</v>
      </c>
      <c r="B386">
        <v>3.1736810000000002</v>
      </c>
      <c r="C386">
        <f>LOG10(1.0072)</f>
        <v>3.1157170998062241E-3</v>
      </c>
      <c r="D386">
        <f>LOG10(3.173681)</f>
        <v>0.50156327185105709</v>
      </c>
    </row>
    <row r="387" spans="1:4">
      <c r="A387">
        <v>1.0075730000000001</v>
      </c>
      <c r="B387">
        <v>3.095761</v>
      </c>
      <c r="C387">
        <f>LOG10(1.007573)</f>
        <v>3.2765211641852879E-3</v>
      </c>
      <c r="D387">
        <f>LOG10(3.095761)</f>
        <v>0.49076742475383506</v>
      </c>
    </row>
    <row r="388" spans="1:4">
      <c r="A388">
        <v>1.012124</v>
      </c>
      <c r="B388">
        <v>3.0436749999999999</v>
      </c>
      <c r="C388">
        <f>LOG10(1.012124)</f>
        <v>5.23372319227902E-3</v>
      </c>
      <c r="D388">
        <f>LOG10(3.043675)</f>
        <v>0.48339827712546168</v>
      </c>
    </row>
    <row r="389" spans="1:4">
      <c r="A389">
        <v>1.023147</v>
      </c>
      <c r="B389">
        <v>3.1287250000000002</v>
      </c>
      <c r="C389">
        <f>LOG10(1.023147)</f>
        <v>9.9380351808226013E-3</v>
      </c>
      <c r="D389">
        <f>LOG10(3.128725)</f>
        <v>0.4953673924107902</v>
      </c>
    </row>
    <row r="390" spans="1:4">
      <c r="A390">
        <v>1.0673520000000001</v>
      </c>
      <c r="B390">
        <v>3.2306659999999998</v>
      </c>
      <c r="C390">
        <f>LOG10(1.067352)</f>
        <v>2.830766820350537E-2</v>
      </c>
      <c r="D390">
        <f>LOG10(3.230666)</f>
        <v>0.50929206112663017</v>
      </c>
    </row>
    <row r="391" spans="1:4">
      <c r="A391">
        <v>1.0465800000000001</v>
      </c>
      <c r="B391">
        <v>3.2667869999999999</v>
      </c>
      <c r="C391">
        <f>LOG10(1.04658)</f>
        <v>1.9772431175067627E-2</v>
      </c>
      <c r="D391">
        <f>LOG10(3.266787)</f>
        <v>0.51412081866879167</v>
      </c>
    </row>
    <row r="392" spans="1:4">
      <c r="A392">
        <v>1.020054</v>
      </c>
      <c r="B392">
        <v>3.2741259999999999</v>
      </c>
      <c r="C392">
        <f>LOG10(1.020054)</f>
        <v>8.6231632141323157E-3</v>
      </c>
      <c r="D392">
        <f>LOG10(3.274126)</f>
        <v>0.51509538859204207</v>
      </c>
    </row>
    <row r="393" spans="1:4">
      <c r="A393">
        <v>1.0433079999999999</v>
      </c>
      <c r="B393">
        <v>3.372493</v>
      </c>
      <c r="C393">
        <f>LOG10(1.043308)</f>
        <v>1.8412537529230871E-2</v>
      </c>
      <c r="D393">
        <f>LOG10(3.372493)</f>
        <v>0.52795105691635746</v>
      </c>
    </row>
    <row r="394" spans="1:4">
      <c r="A394">
        <v>1.034341</v>
      </c>
      <c r="B394">
        <v>3.4430689999999999</v>
      </c>
      <c r="C394">
        <f>LOG10(1.034341)</f>
        <v>1.4663739922210218E-2</v>
      </c>
      <c r="D394">
        <f>LOG10(3.443069)</f>
        <v>0.53694572616647507</v>
      </c>
    </row>
    <row r="395" spans="1:4">
      <c r="A395">
        <v>1.0200899999999999</v>
      </c>
      <c r="B395">
        <v>3.394215</v>
      </c>
      <c r="C395">
        <f>LOG10(1.02009)</f>
        <v>8.6384901727686748E-3</v>
      </c>
      <c r="D395">
        <f>LOG10(3.394215)</f>
        <v>0.53073934839894354</v>
      </c>
    </row>
    <row r="396" spans="1:4">
      <c r="A396">
        <v>1.0131559999999999</v>
      </c>
      <c r="B396">
        <v>3.2839710000000002</v>
      </c>
      <c r="C396">
        <f>LOG10(1.013156)</f>
        <v>5.676320703848008E-3</v>
      </c>
      <c r="D396">
        <f>LOG10(3.283971)</f>
        <v>0.51639931330867461</v>
      </c>
    </row>
    <row r="397" spans="1:4">
      <c r="A397">
        <v>1.012116</v>
      </c>
      <c r="B397">
        <v>3.3872949999999999</v>
      </c>
      <c r="C397">
        <f>LOG10(1.012116)</f>
        <v>5.2302904413648521E-3</v>
      </c>
      <c r="D397">
        <f>LOG10(3.387295)</f>
        <v>0.52985302105949339</v>
      </c>
    </row>
    <row r="398" spans="1:4">
      <c r="A398">
        <v>1.022159</v>
      </c>
      <c r="B398">
        <v>3.2229459999999999</v>
      </c>
      <c r="C398">
        <f>LOG10(1.022159)</f>
        <v>9.5184569059873353E-3</v>
      </c>
      <c r="D398">
        <f>LOG10(3.222946)</f>
        <v>0.50825302903126457</v>
      </c>
    </row>
    <row r="399" spans="1:4">
      <c r="A399">
        <v>1.021109</v>
      </c>
      <c r="B399">
        <v>3.5320079999999998</v>
      </c>
      <c r="C399">
        <f>LOG10(1.021109)</f>
        <v>9.072104057375515E-3</v>
      </c>
      <c r="D399">
        <f>LOG10(3.532008)</f>
        <v>0.54802167858387763</v>
      </c>
    </row>
    <row r="400" spans="1:4">
      <c r="A400">
        <v>1.0106980000000001</v>
      </c>
      <c r="B400">
        <v>3.378565</v>
      </c>
      <c r="C400">
        <f>LOG10(1.010698)</f>
        <v>4.6214063064785541E-3</v>
      </c>
      <c r="D400">
        <f>LOG10(3.378565)</f>
        <v>0.52873227870565054</v>
      </c>
    </row>
    <row r="401" spans="1:4">
      <c r="A401">
        <v>1.0132369999999999</v>
      </c>
      <c r="B401">
        <v>3.4666169999999998</v>
      </c>
      <c r="C401">
        <f>LOG10(1.013237)</f>
        <v>5.7110403787115687E-3</v>
      </c>
      <c r="D401">
        <f>LOG10(3.466617)</f>
        <v>0.53990586243091077</v>
      </c>
    </row>
    <row r="402" spans="1:4">
      <c r="A402">
        <v>1.0205249999999999</v>
      </c>
      <c r="B402">
        <v>3.3253080000000002</v>
      </c>
      <c r="C402">
        <f>LOG10(1.020525)</f>
        <v>8.8236481790457E-3</v>
      </c>
      <c r="D402">
        <f>LOG10(3.325308)</f>
        <v>0.52183187715956969</v>
      </c>
    </row>
    <row r="403" spans="1:4">
      <c r="A403">
        <v>1.0202180000000001</v>
      </c>
      <c r="B403">
        <v>3.4407540000000001</v>
      </c>
      <c r="C403">
        <f>LOG10(1.020218)</f>
        <v>8.6929816453861428E-3</v>
      </c>
      <c r="D403">
        <f>LOG10(3.440754)</f>
        <v>0.5366536234312631</v>
      </c>
    </row>
    <row r="404" spans="1:4">
      <c r="A404">
        <v>1.0106710000000001</v>
      </c>
      <c r="B404">
        <v>3.4348109999999998</v>
      </c>
      <c r="C404">
        <f>LOG10(1.010671)</f>
        <v>4.609804316923866E-3</v>
      </c>
      <c r="D404">
        <f>LOG10(3.434811)</f>
        <v>0.53590284505923613</v>
      </c>
    </row>
    <row r="405" spans="1:4">
      <c r="A405">
        <v>1.008435</v>
      </c>
      <c r="B405">
        <v>3.508159</v>
      </c>
      <c r="C405">
        <f>LOG10(1.008435)</f>
        <v>3.6479104307105331E-3</v>
      </c>
      <c r="D405">
        <f>LOG10(3.508159)</f>
        <v>0.54507926863293144</v>
      </c>
    </row>
    <row r="406" spans="1:4">
      <c r="A406">
        <v>1.0134069999999999</v>
      </c>
      <c r="B406">
        <v>3.5739969999999999</v>
      </c>
      <c r="C406">
        <f>LOG10(1.013407)</f>
        <v>5.7838998074979933E-3</v>
      </c>
      <c r="D406">
        <f>LOG10(3.573997)</f>
        <v>0.55315418362457991</v>
      </c>
    </row>
    <row r="407" spans="1:4">
      <c r="A407">
        <v>1.011395</v>
      </c>
      <c r="B407">
        <v>3.4578880000000001</v>
      </c>
      <c r="C407">
        <f>LOG10(1.011395)</f>
        <v>4.920802294570978E-3</v>
      </c>
      <c r="D407">
        <f>LOG10(3.457888)</f>
        <v>0.53881092249206852</v>
      </c>
    </row>
    <row r="408" spans="1:4">
      <c r="A408">
        <v>1.0091049999999999</v>
      </c>
      <c r="B408">
        <v>3.4205359999999998</v>
      </c>
      <c r="C408">
        <f>LOG10(1.009105)</f>
        <v>3.9363580585857604E-3</v>
      </c>
      <c r="D408">
        <f>LOG10(3.420536)</f>
        <v>0.53409416558912381</v>
      </c>
    </row>
    <row r="409" spans="1:4">
      <c r="A409">
        <v>1.0097860000000001</v>
      </c>
      <c r="B409">
        <v>3.3493019999999998</v>
      </c>
      <c r="C409">
        <f>LOG10(1.009786)</f>
        <v>4.2293452019166603E-3</v>
      </c>
      <c r="D409">
        <f>LOG10(3.349302)</f>
        <v>0.5249543087880828</v>
      </c>
    </row>
    <row r="410" spans="1:4">
      <c r="A410">
        <v>1.0273399999999999</v>
      </c>
      <c r="B410">
        <v>3.405014</v>
      </c>
      <c r="C410">
        <f>LOG10(1.02734)</f>
        <v>1.1714197917590582E-2</v>
      </c>
      <c r="D410">
        <f>LOG10(3.405014)</f>
        <v>0.53211890189057998</v>
      </c>
    </row>
    <row r="411" spans="1:4">
      <c r="A411">
        <v>1.009735</v>
      </c>
      <c r="B411">
        <v>3.3238650000000001</v>
      </c>
      <c r="C411">
        <f>LOG10(1.009735)</f>
        <v>4.2074102791485541E-3</v>
      </c>
      <c r="D411">
        <f>LOG10(3.323865)</f>
        <v>0.52164337644008918</v>
      </c>
    </row>
    <row r="412" spans="1:4">
      <c r="A412">
        <v>1.0184139999999999</v>
      </c>
      <c r="B412">
        <v>3.0439989999999999</v>
      </c>
      <c r="C412">
        <f>LOG10(1.018414)</f>
        <v>7.9243608743451606E-3</v>
      </c>
      <c r="D412">
        <f>LOG10(3.043999)</f>
        <v>0.48344450542621153</v>
      </c>
    </row>
    <row r="413" spans="1:4">
      <c r="A413">
        <v>1.017004</v>
      </c>
      <c r="B413">
        <v>3.2560389999999999</v>
      </c>
      <c r="C413">
        <f>LOG10(1.017004)</f>
        <v>7.3226610589406166E-3</v>
      </c>
      <c r="D413">
        <f>LOG10(3.256039)</f>
        <v>0.51268959811622916</v>
      </c>
    </row>
    <row r="414" spans="1:4">
      <c r="A414">
        <v>1.0109269999999999</v>
      </c>
      <c r="B414">
        <v>3.2154919999999998</v>
      </c>
      <c r="C414">
        <f>LOG10(1.010927)</f>
        <v>4.7197959057179127E-3</v>
      </c>
      <c r="D414">
        <f>LOG10(3.215492)</f>
        <v>0.50724743341492184</v>
      </c>
    </row>
    <row r="415" spans="1:4">
      <c r="A415">
        <v>1.0108900000000001</v>
      </c>
      <c r="B415">
        <v>3.1585299999999998</v>
      </c>
      <c r="C415">
        <f>LOG10(1.01089)</f>
        <v>4.7039004059450393E-3</v>
      </c>
      <c r="D415">
        <f>LOG10(3.15853)</f>
        <v>0.49948500621774861</v>
      </c>
    </row>
    <row r="416" spans="1:4">
      <c r="A416">
        <v>1.0104109999999999</v>
      </c>
      <c r="B416">
        <v>3.3618459999999999</v>
      </c>
      <c r="C416">
        <f>LOG10(1.010411)</f>
        <v>4.4980655889377621E-3</v>
      </c>
      <c r="D416">
        <f>LOG10(3.361846)</f>
        <v>0.52657781532533032</v>
      </c>
    </row>
    <row r="417" spans="1:4">
      <c r="A417">
        <v>1.0202659999999999</v>
      </c>
      <c r="B417">
        <v>3.3073450000000002</v>
      </c>
      <c r="C417">
        <f>LOG10(1.020266)</f>
        <v>8.713414185053326E-3</v>
      </c>
      <c r="D417">
        <f>LOG10(3.307345)</f>
        <v>0.51947949995793397</v>
      </c>
    </row>
    <row r="418" spans="1:4">
      <c r="A418">
        <v>1.0329950000000001</v>
      </c>
      <c r="B418">
        <v>3.167411</v>
      </c>
      <c r="C418">
        <f>LOG10(1.032995)</f>
        <v>1.4098219411523054E-2</v>
      </c>
      <c r="D418">
        <f>LOG10(3.167411)</f>
        <v>0.50070442063458809</v>
      </c>
    </row>
    <row r="419" spans="1:4">
      <c r="A419">
        <v>1.02471</v>
      </c>
      <c r="B419">
        <v>3.3338139999999998</v>
      </c>
      <c r="C419">
        <f>LOG10(1.02471)</f>
        <v>1.0600974445646762E-2</v>
      </c>
      <c r="D419">
        <f>LOG10(3.333814)</f>
        <v>0.52294136602978047</v>
      </c>
    </row>
    <row r="420" spans="1:4">
      <c r="A420">
        <v>1.0229889999999999</v>
      </c>
      <c r="B420">
        <v>3.5587490000000002</v>
      </c>
      <c r="C420">
        <f>LOG10(1.022989)</f>
        <v>9.8709638539145727E-3</v>
      </c>
      <c r="D420">
        <f>LOG10(3.558749)</f>
        <v>0.5512973581193128</v>
      </c>
    </row>
    <row r="421" spans="1:4">
      <c r="A421">
        <v>1.017539</v>
      </c>
      <c r="B421">
        <v>3.385656</v>
      </c>
      <c r="C421">
        <f>LOG10(1.017539)</f>
        <v>7.5510637549500922E-3</v>
      </c>
      <c r="D421">
        <f>LOG10(3.385656)</f>
        <v>0.52964282946952501</v>
      </c>
    </row>
    <row r="422" spans="1:4">
      <c r="A422">
        <v>1.023323</v>
      </c>
      <c r="B422">
        <v>3.4237000000000002</v>
      </c>
      <c r="C422">
        <f>LOG10(1.023323)</f>
        <v>1.0012735351363483E-2</v>
      </c>
      <c r="D422">
        <f>LOG10(3.4237)</f>
        <v>0.53449570283553915</v>
      </c>
    </row>
    <row r="423" spans="1:4">
      <c r="A423">
        <v>1.01258</v>
      </c>
      <c r="B423">
        <v>3.336697</v>
      </c>
      <c r="C423">
        <f>LOG10(1.01258)</f>
        <v>5.4293451568686747E-3</v>
      </c>
      <c r="D423">
        <f>LOG10(3.336697)</f>
        <v>0.52331677087336392</v>
      </c>
    </row>
    <row r="424" spans="1:4">
      <c r="A424">
        <v>1.036405</v>
      </c>
      <c r="B424">
        <v>3.3374579999999998</v>
      </c>
      <c r="C424">
        <f>LOG10(1.036405)</f>
        <v>1.5529499515612295E-2</v>
      </c>
      <c r="D424">
        <f>LOG10(3.337458)</f>
        <v>0.52341580905936969</v>
      </c>
    </row>
    <row r="425" spans="1:4">
      <c r="A425">
        <v>1.029245</v>
      </c>
      <c r="B425">
        <v>3.3599739999999998</v>
      </c>
      <c r="C425">
        <f>LOG10(1.029245)</f>
        <v>1.2518765902524433E-2</v>
      </c>
      <c r="D425">
        <f>LOG10(3.359974)</f>
        <v>0.5263359167647792</v>
      </c>
    </row>
    <row r="426" spans="1:4">
      <c r="A426">
        <v>1.022791</v>
      </c>
      <c r="B426">
        <v>3.3746070000000001</v>
      </c>
      <c r="C426">
        <f>LOG10(1.022791)</f>
        <v>9.7868978177960177E-3</v>
      </c>
      <c r="D426">
        <f>LOG10(3.374607)</f>
        <v>0.52822320304277814</v>
      </c>
    </row>
    <row r="427" spans="1:4">
      <c r="A427">
        <v>1.015422</v>
      </c>
      <c r="B427">
        <v>3.5283639999999998</v>
      </c>
      <c r="C427">
        <f>LOG10(1.015422)</f>
        <v>6.6465685378575574E-3</v>
      </c>
      <c r="D427">
        <f>LOG10(3.528364)</f>
        <v>0.54757338230924024</v>
      </c>
    </row>
    <row r="428" spans="1:4">
      <c r="A428">
        <v>1.019528</v>
      </c>
      <c r="B428">
        <v>3.522208</v>
      </c>
      <c r="C428">
        <f>LOG10(1.019528)</f>
        <v>8.3991576065660222E-3</v>
      </c>
      <c r="D428">
        <f>LOG10(3.522208)</f>
        <v>0.54681499915678888</v>
      </c>
    </row>
    <row r="429" spans="1:4">
      <c r="A429">
        <v>1.0276209999999999</v>
      </c>
      <c r="B429">
        <v>3.6142129999999999</v>
      </c>
      <c r="C429">
        <f>LOG10(1.027621)</f>
        <v>1.1832970731454628E-2</v>
      </c>
      <c r="D429">
        <f>LOG10(3.614213)</f>
        <v>0.55801374368666057</v>
      </c>
    </row>
    <row r="430" spans="1:4">
      <c r="A430">
        <v>1.028076</v>
      </c>
      <c r="B430">
        <v>3.4177279999999999</v>
      </c>
      <c r="C430">
        <f>LOG10(1.028076)</f>
        <v>1.2025220846615444E-2</v>
      </c>
      <c r="D430">
        <f>LOG10(3.417728)</f>
        <v>0.53373749641878254</v>
      </c>
    </row>
    <row r="431" spans="1:4">
      <c r="A431">
        <v>1.017725</v>
      </c>
      <c r="B431">
        <v>3.7842410000000002</v>
      </c>
      <c r="C431">
        <f>LOG10(1.017725)</f>
        <v>7.6304429154510382E-3</v>
      </c>
      <c r="D431">
        <f>LOG10(3.784241)</f>
        <v>0.57797878672480407</v>
      </c>
    </row>
    <row r="432" spans="1:4">
      <c r="A432">
        <v>1.0102249999999999</v>
      </c>
      <c r="B432">
        <v>3.4534720000000001</v>
      </c>
      <c r="C432">
        <f>LOG10(1.010225)</f>
        <v>4.4181117784917777E-3</v>
      </c>
      <c r="D432">
        <f>LOG10(3.453472)</f>
        <v>0.5382559391912205</v>
      </c>
    </row>
    <row r="433" spans="1:4">
      <c r="A433">
        <v>1.0101789999999999</v>
      </c>
      <c r="B433">
        <v>3.4451499999999999</v>
      </c>
      <c r="C433">
        <f>LOG10(1.010179)</f>
        <v>4.398335984966327E-3</v>
      </c>
      <c r="D433">
        <f>LOG10(3.44515)</f>
        <v>0.53720813560622616</v>
      </c>
    </row>
    <row r="434" spans="1:4">
      <c r="A434">
        <v>1.0071369999999999</v>
      </c>
      <c r="B434">
        <v>3.2424940000000002</v>
      </c>
      <c r="C434">
        <f>LOG10(1.007137)</f>
        <v>3.0885512855766393E-3</v>
      </c>
      <c r="D434">
        <f>LOG10(3.242494)</f>
        <v>0.51087918112641773</v>
      </c>
    </row>
    <row r="435" spans="1:4">
      <c r="A435">
        <v>1.0104059999999999</v>
      </c>
      <c r="B435">
        <v>3.1738469999999999</v>
      </c>
      <c r="C435">
        <f>LOG10(1.010406)</f>
        <v>4.4959164854716542E-3</v>
      </c>
      <c r="D435">
        <f>LOG10(3.173847)</f>
        <v>0.50158598711407354</v>
      </c>
    </row>
    <row r="436" spans="1:4">
      <c r="A436">
        <v>1.023371</v>
      </c>
      <c r="B436">
        <v>3.0280279999999999</v>
      </c>
      <c r="C436">
        <f>LOG10(1.023371)</f>
        <v>1.00331058954069E-2</v>
      </c>
      <c r="D436">
        <f>LOG10(3.028028)</f>
        <v>0.48115988674258947</v>
      </c>
    </row>
    <row r="437" spans="1:4">
      <c r="A437">
        <v>1.0058819999999999</v>
      </c>
      <c r="B437">
        <v>3.0260829999999999</v>
      </c>
      <c r="C437">
        <f>LOG10(1.005882)</f>
        <v>2.5470366298244109E-3</v>
      </c>
      <c r="D437">
        <f>LOG10(3.026083)</f>
        <v>0.48088083576504265</v>
      </c>
    </row>
    <row r="438" spans="1:4">
      <c r="A438">
        <v>1.006168</v>
      </c>
      <c r="B438">
        <v>3.0677180000000002</v>
      </c>
      <c r="C438">
        <f>LOG10(1.006168)</f>
        <v>2.6705009797768154E-3</v>
      </c>
      <c r="D438">
        <f>LOG10(3.067718)</f>
        <v>0.48681543458828624</v>
      </c>
    </row>
    <row r="439" spans="1:4">
      <c r="A439">
        <v>1.0116039999999999</v>
      </c>
      <c r="B439">
        <v>3.1360929999999998</v>
      </c>
      <c r="C439">
        <f>LOG10(1.011604)</f>
        <v>5.0105379267098666E-3</v>
      </c>
      <c r="D439">
        <f>LOG10(3.136093)</f>
        <v>0.49638893309018872</v>
      </c>
    </row>
    <row r="440" spans="1:4">
      <c r="A440">
        <v>1.0068109999999999</v>
      </c>
      <c r="B440">
        <v>3.0836100000000002</v>
      </c>
      <c r="C440">
        <f>LOG10(1.006811)</f>
        <v>2.9479518238854211E-3</v>
      </c>
      <c r="D440">
        <f>LOG10(3.08361)</f>
        <v>0.48905944539761448</v>
      </c>
    </row>
    <row r="441" spans="1:4">
      <c r="A441">
        <v>1.010054</v>
      </c>
      <c r="B441">
        <v>3.1194660000000001</v>
      </c>
      <c r="C441">
        <f>LOG10(1.010054)</f>
        <v>4.3445928669129602E-3</v>
      </c>
      <c r="D441">
        <f>LOG10(3.119466)</f>
        <v>0.49408025648574289</v>
      </c>
    </row>
    <row r="442" spans="1:4">
      <c r="A442">
        <v>1.012262</v>
      </c>
      <c r="B442">
        <v>3.0069629999999998</v>
      </c>
      <c r="C442">
        <f>LOG10(1.012262)</f>
        <v>5.2929338750198332E-3</v>
      </c>
      <c r="D442">
        <f>LOG10(3.006963)</f>
        <v>0.4781280842379661</v>
      </c>
    </row>
    <row r="443" spans="1:4">
      <c r="A443">
        <v>1.0131289999999999</v>
      </c>
      <c r="B443">
        <v>3.0559940000000001</v>
      </c>
      <c r="C443">
        <f>LOG10(1.013129)</f>
        <v>5.6647468620517338E-3</v>
      </c>
      <c r="D443">
        <f>LOG10(3.055994)</f>
        <v>0.48515249723040316</v>
      </c>
    </row>
    <row r="444" spans="1:4">
      <c r="A444">
        <v>1.008359</v>
      </c>
      <c r="B444">
        <v>3.0229840000000001</v>
      </c>
      <c r="C444">
        <f>LOG10(1.008359)</f>
        <v>3.6151788967608528E-3</v>
      </c>
      <c r="D444">
        <f>LOG10(3.022984)</f>
        <v>0.48043584855720867</v>
      </c>
    </row>
    <row r="445" spans="1:4">
      <c r="A445">
        <v>1.007784</v>
      </c>
      <c r="B445">
        <v>2.9317069999999998</v>
      </c>
      <c r="C445">
        <f>LOG10(1.007784)</f>
        <v>3.3674590337700668E-3</v>
      </c>
      <c r="D445">
        <f>LOG10(2.931707)</f>
        <v>0.4671205639766976</v>
      </c>
    </row>
    <row r="446" spans="1:4">
      <c r="A446">
        <v>1.0098780000000001</v>
      </c>
      <c r="B446">
        <v>3.1327229999999999</v>
      </c>
      <c r="C446">
        <f>LOG10(1.009878)</f>
        <v>4.2689112805938323E-3</v>
      </c>
      <c r="D446">
        <f>LOG10(3.132723)</f>
        <v>0.4959219956190612</v>
      </c>
    </row>
    <row r="447" spans="1:4">
      <c r="A447">
        <v>1.0158130000000001</v>
      </c>
      <c r="B447">
        <v>3.2003110000000001</v>
      </c>
      <c r="C447">
        <f>LOG10(1.015813)</f>
        <v>6.8137664686942602E-3</v>
      </c>
      <c r="D447">
        <f>LOG10(3.200311)</f>
        <v>0.50519218426395407</v>
      </c>
    </row>
    <row r="448" spans="1:4">
      <c r="A448">
        <v>1.0074019999999999</v>
      </c>
      <c r="B448">
        <v>2.95729</v>
      </c>
      <c r="C448">
        <f>LOG10(1.007402)</f>
        <v>3.2028087294565175E-3</v>
      </c>
      <c r="D448">
        <f>LOG10(2.95729)</f>
        <v>0.47089391472708947</v>
      </c>
    </row>
    <row r="449" spans="1:4">
      <c r="A449">
        <v>1.007706</v>
      </c>
      <c r="B449">
        <v>3.0962070000000002</v>
      </c>
      <c r="C449">
        <f>LOG10(1.007706)</f>
        <v>3.333844409430204E-3</v>
      </c>
      <c r="D449">
        <f>LOG10(3.096207)</f>
        <v>0.49082998817123774</v>
      </c>
    </row>
    <row r="450" spans="1:4">
      <c r="A450">
        <v>1.0137350000000001</v>
      </c>
      <c r="B450">
        <v>3.0931649999999999</v>
      </c>
      <c r="C450">
        <f>LOG10(1.013735)</f>
        <v>5.9244411127518356E-3</v>
      </c>
      <c r="D450">
        <f>LOG10(3.093165)</f>
        <v>0.49040308737408844</v>
      </c>
    </row>
    <row r="451" spans="1:4">
      <c r="A451">
        <v>1.0139659999999999</v>
      </c>
      <c r="B451">
        <v>3.1207669999999998</v>
      </c>
      <c r="C451">
        <f>LOG10(1.013966)</f>
        <v>6.0233926107819647E-3</v>
      </c>
      <c r="D451">
        <f>LOG10(3.120767)</f>
        <v>0.49426134495764523</v>
      </c>
    </row>
    <row r="452" spans="1:4">
      <c r="A452">
        <v>1.0096670000000001</v>
      </c>
      <c r="B452">
        <v>3.294143</v>
      </c>
      <c r="C452">
        <f>LOG10(1.009667)</f>
        <v>4.1781619920016021E-3</v>
      </c>
      <c r="D452">
        <f>LOG10(3.294143)</f>
        <v>0.51774244813152281</v>
      </c>
    </row>
    <row r="453" spans="1:4">
      <c r="A453">
        <v>1.021085</v>
      </c>
      <c r="B453">
        <v>3.3809990000000001</v>
      </c>
      <c r="C453">
        <f>LOG10(1.021085)</f>
        <v>9.0618963419810249E-3</v>
      </c>
      <c r="D453">
        <f>LOG10(3.380999)</f>
        <v>0.52904504231426175</v>
      </c>
    </row>
    <row r="454" spans="1:4">
      <c r="A454">
        <v>1.0113909999999999</v>
      </c>
      <c r="B454">
        <v>3.37385</v>
      </c>
      <c r="C454">
        <f>LOG10(1.011391)</f>
        <v>4.9190846853649963E-3</v>
      </c>
      <c r="D454">
        <f>LOG10(3.37385)</f>
        <v>0.52812577012613371</v>
      </c>
    </row>
    <row r="455" spans="1:4">
      <c r="A455">
        <v>1.01586</v>
      </c>
      <c r="B455">
        <v>3.4431699999999998</v>
      </c>
      <c r="C455">
        <f>LOG10(1.01586)</f>
        <v>6.8338600966088448E-3</v>
      </c>
      <c r="D455">
        <f>LOG10(3.44317)</f>
        <v>0.53695846570185146</v>
      </c>
    </row>
    <row r="456" spans="1:4">
      <c r="A456">
        <v>1.005898</v>
      </c>
      <c r="B456">
        <v>3.4428890000000001</v>
      </c>
      <c r="C456">
        <f>LOG10(1.005898)</f>
        <v>2.5539446532768812E-3</v>
      </c>
      <c r="D456">
        <f>LOG10(3.442889)</f>
        <v>0.536923021117516</v>
      </c>
    </row>
    <row r="457" spans="1:4">
      <c r="A457">
        <v>1.0067219999999999</v>
      </c>
      <c r="B457">
        <v>3.5833569999999999</v>
      </c>
      <c r="C457">
        <f>LOG10(1.006722)</f>
        <v>2.909559397325177E-3</v>
      </c>
      <c r="D457">
        <f>LOG10(3.583357)</f>
        <v>0.55429007788604434</v>
      </c>
    </row>
    <row r="458" spans="1:4">
      <c r="A458">
        <v>1.01912</v>
      </c>
      <c r="B458">
        <v>3.65543</v>
      </c>
      <c r="C458">
        <f>LOG10(1.01912)</f>
        <v>8.2253246045154403E-3</v>
      </c>
      <c r="D458">
        <f>LOG10(3.65543)</f>
        <v>0.56293847175707601</v>
      </c>
    </row>
    <row r="459" spans="1:4">
      <c r="A459">
        <v>1.01126</v>
      </c>
      <c r="B459">
        <v>3.4901450000000001</v>
      </c>
      <c r="C459">
        <f>LOG10(1.01126)</f>
        <v>4.8628292293235705E-3</v>
      </c>
      <c r="D459">
        <f>LOG10(3.490145)</f>
        <v>0.54284347033790203</v>
      </c>
    </row>
    <row r="460" spans="1:4">
      <c r="A460">
        <v>1.0102040000000001</v>
      </c>
      <c r="B460">
        <v>3.48508</v>
      </c>
      <c r="C460">
        <f>LOG10(1.010204)</f>
        <v>4.4090838105500961E-3</v>
      </c>
      <c r="D460">
        <f>LOG10(3.48508)</f>
        <v>0.54221275177686323</v>
      </c>
    </row>
    <row r="461" spans="1:4">
      <c r="A461">
        <v>1.0261169999999999</v>
      </c>
      <c r="B461">
        <v>3.5156450000000001</v>
      </c>
      <c r="C461">
        <f>LOG10(1.026117)</f>
        <v>1.1196882761568957E-2</v>
      </c>
      <c r="D461">
        <f>LOG10(3.515645)</f>
        <v>0.54600501477350027</v>
      </c>
    </row>
    <row r="462" spans="1:4">
      <c r="A462">
        <v>1.011342</v>
      </c>
      <c r="B462">
        <v>3.3976890000000002</v>
      </c>
      <c r="C462">
        <f>LOG10(1.011342)</f>
        <v>4.8980434212758583E-3</v>
      </c>
      <c r="D462">
        <f>LOG10(3.397689)</f>
        <v>0.53118362416070519</v>
      </c>
    </row>
    <row r="463" spans="1:4">
      <c r="A463">
        <v>1.005341</v>
      </c>
      <c r="B463">
        <v>3.534907</v>
      </c>
      <c r="C463">
        <f>LOG10(1.005341)</f>
        <v>2.3133943928607607E-3</v>
      </c>
      <c r="D463">
        <f>LOG10(3.534907)</f>
        <v>0.54837799241350793</v>
      </c>
    </row>
    <row r="464" spans="1:4">
      <c r="A464">
        <v>1.0187360000000001</v>
      </c>
      <c r="B464">
        <v>3.524556</v>
      </c>
      <c r="C464">
        <f>LOG10(1.018736)</f>
        <v>8.0616534883770543E-3</v>
      </c>
      <c r="D464">
        <f>LOG10(3.524556)</f>
        <v>0.54710441525792319</v>
      </c>
    </row>
    <row r="465" spans="1:4">
      <c r="A465">
        <v>1.0111190000000001</v>
      </c>
      <c r="B465">
        <v>3.506621</v>
      </c>
      <c r="C465">
        <f>LOG10(1.011119)</f>
        <v>4.8022713200023652E-3</v>
      </c>
      <c r="D465">
        <f>LOG10(3.506621)</f>
        <v>0.54488882932510707</v>
      </c>
    </row>
    <row r="466" spans="1:4">
      <c r="A466">
        <v>1.0163489999999999</v>
      </c>
      <c r="B466">
        <v>3.5151249999999998</v>
      </c>
      <c r="C466">
        <f>LOG10(1.016349)</f>
        <v>7.0428641958421787E-3</v>
      </c>
      <c r="D466">
        <f>LOG10(3.515125)</f>
        <v>0.54594077340847158</v>
      </c>
    </row>
    <row r="467" spans="1:4">
      <c r="A467">
        <v>1.0079309999999999</v>
      </c>
      <c r="B467">
        <v>3.394609</v>
      </c>
      <c r="C467">
        <f>LOG10(1.007931)</f>
        <v>3.4308026006462473E-3</v>
      </c>
      <c r="D467">
        <f>LOG10(3.394609)</f>
        <v>0.53078975831561304</v>
      </c>
    </row>
    <row r="468" spans="1:4">
      <c r="A468">
        <v>1.0091289999999999</v>
      </c>
      <c r="B468">
        <v>3.3972159999999998</v>
      </c>
      <c r="C468">
        <f>LOG10(1.009129)</f>
        <v>3.946686957579811E-3</v>
      </c>
      <c r="D468">
        <f>LOG10(3.397216)</f>
        <v>0.53112316083111566</v>
      </c>
    </row>
    <row r="469" spans="1:4">
      <c r="A469">
        <v>1.014696</v>
      </c>
      <c r="B469">
        <v>3.3356370000000002</v>
      </c>
      <c r="C469">
        <f>LOG10(1.014696)</f>
        <v>6.3359483598159601E-3</v>
      </c>
      <c r="D469">
        <f>LOG10(3.335637)</f>
        <v>0.52317878253084682</v>
      </c>
    </row>
    <row r="470" spans="1:4">
      <c r="A470">
        <v>1.0115730000000001</v>
      </c>
      <c r="B470">
        <v>3.5326909999999998</v>
      </c>
      <c r="C470">
        <f>LOG10(1.011573)</f>
        <v>4.9972290279432161E-3</v>
      </c>
      <c r="D470">
        <f>LOG10(3.532691)</f>
        <v>0.54810565190873239</v>
      </c>
    </row>
    <row r="471" spans="1:4">
      <c r="A471">
        <v>1.0068699999999999</v>
      </c>
      <c r="B471">
        <v>3.4544649999999999</v>
      </c>
      <c r="C471">
        <f>LOG10(1.00687)</f>
        <v>2.9734011124665197E-3</v>
      </c>
      <c r="D471">
        <f>LOG10(3.454465)</f>
        <v>0.53838079685089524</v>
      </c>
    </row>
    <row r="472" spans="1:4">
      <c r="A472">
        <v>1.0116579999999999</v>
      </c>
      <c r="B472">
        <v>3.5181170000000002</v>
      </c>
      <c r="C472">
        <f>LOG10(1.011658)</f>
        <v>5.0337201957668084E-3</v>
      </c>
      <c r="D472">
        <f>LOG10(3.518117)</f>
        <v>0.54631027844419777</v>
      </c>
    </row>
    <row r="473" spans="1:4">
      <c r="A473">
        <v>1.013142</v>
      </c>
      <c r="B473">
        <v>3.4459719999999998</v>
      </c>
      <c r="C473">
        <f>LOG10(1.013142)</f>
        <v>5.670319491048386E-3</v>
      </c>
      <c r="D473">
        <f>LOG10(3.445972)</f>
        <v>0.53731174429747197</v>
      </c>
    </row>
    <row r="474" spans="1:4">
      <c r="A474">
        <v>1.0287470000000001</v>
      </c>
      <c r="B474">
        <v>3.5752290000000002</v>
      </c>
      <c r="C474">
        <f>LOG10(1.028747)</f>
        <v>1.2308581746114456E-2</v>
      </c>
      <c r="D474">
        <f>LOG10(3.575229)</f>
        <v>0.55330386438918333</v>
      </c>
    </row>
    <row r="475" spans="1:4">
      <c r="A475">
        <v>1.006556</v>
      </c>
      <c r="B475">
        <v>3.6288840000000002</v>
      </c>
      <c r="C475">
        <f>LOG10(1.006556)</f>
        <v>2.8379419811916237E-3</v>
      </c>
      <c r="D475">
        <f>LOG10(3.628884)</f>
        <v>0.5597730858734471</v>
      </c>
    </row>
    <row r="476" spans="1:4">
      <c r="A476">
        <v>1.0095240000000001</v>
      </c>
      <c r="B476">
        <v>3.5864609999999999</v>
      </c>
      <c r="C476">
        <f>LOG10(1.009524)</f>
        <v>4.1166481371795512E-3</v>
      </c>
      <c r="D476">
        <f>LOG10(3.586461)</f>
        <v>0.55466611257926723</v>
      </c>
    </row>
    <row r="477" spans="1:4">
      <c r="A477">
        <v>1.008837</v>
      </c>
      <c r="B477">
        <v>3.569312</v>
      </c>
      <c r="C477">
        <f>LOG10(1.008837)</f>
        <v>3.8210019959889672E-3</v>
      </c>
      <c r="D477">
        <f>LOG10(3.569312)</f>
        <v>0.55258451207895465</v>
      </c>
    </row>
    <row r="478" spans="1:4">
      <c r="A478">
        <v>1.0060849999999999</v>
      </c>
      <c r="B478">
        <v>3.6114470000000001</v>
      </c>
      <c r="C478">
        <f>LOG10(1.006085)</f>
        <v>2.6346740315566501E-3</v>
      </c>
      <c r="D478">
        <f>LOG10(3.611447)</f>
        <v>0.55768124572920863</v>
      </c>
    </row>
    <row r="479" spans="1:4">
      <c r="A479">
        <v>1.007819</v>
      </c>
      <c r="B479">
        <v>3.6786829999999999</v>
      </c>
      <c r="C479">
        <f>LOG10(1.007819)</f>
        <v>3.382541673424944E-3</v>
      </c>
      <c r="D479">
        <f>LOG10(3.678683)</f>
        <v>0.56569236535700074</v>
      </c>
    </row>
    <row r="480" spans="1:4">
      <c r="A480">
        <v>1.0067269999999999</v>
      </c>
      <c r="B480">
        <v>3.3991730000000002</v>
      </c>
      <c r="C480">
        <f>LOG10(1.006727)</f>
        <v>2.9117163652042097E-3</v>
      </c>
      <c r="D480">
        <f>LOG10(3.399173)</f>
        <v>0.5313732684469612</v>
      </c>
    </row>
    <row r="481" spans="1:4">
      <c r="A481">
        <v>1.0083740000000001</v>
      </c>
      <c r="B481">
        <v>3.408156</v>
      </c>
      <c r="C481">
        <f>LOG10(1.008374)</f>
        <v>3.6216392633326416E-3</v>
      </c>
      <c r="D481">
        <f>LOG10(3.408156)</f>
        <v>0.53251946531667227</v>
      </c>
    </row>
    <row r="482" spans="1:4">
      <c r="A482">
        <v>1.1212340000000001</v>
      </c>
      <c r="B482">
        <v>3.3727230000000001</v>
      </c>
      <c r="C482">
        <f>LOG10(1.121234)</f>
        <v>4.9696258717665365E-2</v>
      </c>
      <c r="D482">
        <f>LOG10(3.372723)</f>
        <v>0.52798067427208828</v>
      </c>
    </row>
    <row r="483" spans="1:4">
      <c r="A483">
        <v>1.1295459999999999</v>
      </c>
      <c r="B483">
        <v>3.2524679999999999</v>
      </c>
      <c r="C483">
        <f>LOG10(1.129546)</f>
        <v>5.2903921966763356E-2</v>
      </c>
      <c r="D483">
        <f>LOG10(3.252468)</f>
        <v>0.51221303236912363</v>
      </c>
    </row>
    <row r="484" spans="1:4">
      <c r="A484">
        <v>1.1407590000000001</v>
      </c>
      <c r="B484">
        <v>3.350997</v>
      </c>
      <c r="C484">
        <f>LOG10(1.140759)</f>
        <v>5.7193903817627241E-2</v>
      </c>
      <c r="D484">
        <f>LOG10(3.350997)</f>
        <v>0.5251740390307269</v>
      </c>
    </row>
    <row r="485" spans="1:4">
      <c r="A485">
        <v>1.170177</v>
      </c>
      <c r="B485">
        <v>3.301304</v>
      </c>
      <c r="C485">
        <f>LOG10(1.170177)</f>
        <v>6.82515577370576E-2</v>
      </c>
      <c r="D485">
        <f>LOG10(3.301304)</f>
        <v>0.51868551810296781</v>
      </c>
    </row>
    <row r="486" spans="1:4">
      <c r="A486">
        <v>1.169915</v>
      </c>
      <c r="B486">
        <v>3.2854700000000001</v>
      </c>
      <c r="C486">
        <f>LOG10(1.169915)</f>
        <v>6.8154309291497267E-2</v>
      </c>
      <c r="D486">
        <f>LOG10(3.28547)</f>
        <v>0.51659750595236253</v>
      </c>
    </row>
    <row r="487" spans="1:4">
      <c r="A487">
        <v>1.1741630000000001</v>
      </c>
      <c r="B487">
        <v>3.4664039999999998</v>
      </c>
      <c r="C487">
        <f>LOG10(1.174163)</f>
        <v>6.9728390852573333E-2</v>
      </c>
      <c r="D487">
        <f>LOG10(3.466404)</f>
        <v>0.53987917717359657</v>
      </c>
    </row>
    <row r="488" spans="1:4">
      <c r="A488">
        <v>1.143643</v>
      </c>
      <c r="B488">
        <v>3.5086110000000001</v>
      </c>
      <c r="C488">
        <f>LOG10(1.143643)</f>
        <v>5.8290476094522189E-2</v>
      </c>
      <c r="D488">
        <f>LOG10(3.508611)</f>
        <v>0.5451352206182728</v>
      </c>
    </row>
    <row r="489" spans="1:4">
      <c r="A489">
        <v>1.1297550000000001</v>
      </c>
      <c r="B489">
        <v>3.1200450000000002</v>
      </c>
      <c r="C489">
        <f>LOG10(1.129755)</f>
        <v>5.2984272081225081E-2</v>
      </c>
      <c r="D489">
        <f>LOG10(3.120045)</f>
        <v>0.4941608578359909</v>
      </c>
    </row>
    <row r="490" spans="1:4">
      <c r="A490">
        <v>1.116123</v>
      </c>
      <c r="B490">
        <v>3.2874490000000001</v>
      </c>
      <c r="C490">
        <f>LOG10(1.116123)</f>
        <v>4.7712057753660574E-2</v>
      </c>
      <c r="D490">
        <f>LOG10(3.287449)</f>
        <v>0.51685902410150064</v>
      </c>
    </row>
    <row r="491" spans="1:4">
      <c r="A491">
        <v>1.143227</v>
      </c>
      <c r="B491">
        <v>3.3304710000000002</v>
      </c>
      <c r="C491">
        <f>LOG10(1.143227)</f>
        <v>5.8132472791785676E-2</v>
      </c>
      <c r="D491">
        <f>LOG10(3.330471)</f>
        <v>0.5225056564000814</v>
      </c>
    </row>
    <row r="492" spans="1:4">
      <c r="A492">
        <v>1.1470499999999999</v>
      </c>
      <c r="B492">
        <v>3.090849</v>
      </c>
      <c r="C492">
        <f>LOG10(1.14705)</f>
        <v>5.9582349244611157E-2</v>
      </c>
      <c r="D492">
        <f>LOG10(3.090849)</f>
        <v>0.49007778860629331</v>
      </c>
    </row>
    <row r="493" spans="1:4">
      <c r="A493">
        <v>1.156058</v>
      </c>
      <c r="B493">
        <v>3.333558</v>
      </c>
      <c r="C493">
        <f>LOG10(1.156058)</f>
        <v>6.297962339944585E-2</v>
      </c>
      <c r="D493">
        <f>LOG10(3.333558)</f>
        <v>0.5229080157420144</v>
      </c>
    </row>
    <row r="494" spans="1:4">
      <c r="A494">
        <v>1.1316619999999999</v>
      </c>
      <c r="B494">
        <v>3.3456450000000002</v>
      </c>
      <c r="C494">
        <f>LOG10(1.131662)</f>
        <v>5.3716732988085415E-2</v>
      </c>
      <c r="D494">
        <f>LOG10(3.345645)</f>
        <v>0.52447985691317511</v>
      </c>
    </row>
    <row r="495" spans="1:4">
      <c r="A495">
        <v>1.1388100000000001</v>
      </c>
      <c r="B495">
        <v>3.4843310000000001</v>
      </c>
      <c r="C495">
        <f>LOG10(1.13881)</f>
        <v>5.6451272073223709E-2</v>
      </c>
      <c r="D495">
        <f>LOG10(3.484331)</f>
        <v>0.54211940484461951</v>
      </c>
    </row>
    <row r="496" spans="1:4">
      <c r="A496">
        <v>1.148687</v>
      </c>
      <c r="B496">
        <v>3.224831</v>
      </c>
      <c r="C496">
        <f>LOG10(1.148687)</f>
        <v>6.0201706067600502E-2</v>
      </c>
      <c r="D496">
        <f>LOG10(3.224831)</f>
        <v>0.50850695999745965</v>
      </c>
    </row>
    <row r="497" spans="1:4">
      <c r="A497">
        <v>1.1412260000000001</v>
      </c>
      <c r="B497">
        <v>3.2155809999999998</v>
      </c>
      <c r="C497">
        <f>LOG10(1.141226)</f>
        <v>5.7371657418882401E-2</v>
      </c>
      <c r="D497">
        <f>LOG10(3.215581)</f>
        <v>0.50725945386901772</v>
      </c>
    </row>
    <row r="498" spans="1:4">
      <c r="A498">
        <v>1.1150679999999999</v>
      </c>
      <c r="B498">
        <v>3.4578509999999998</v>
      </c>
      <c r="C498">
        <f>LOG10(1.115068)</f>
        <v>4.7301352697433199E-2</v>
      </c>
      <c r="D498">
        <f>LOG10(3.457851)</f>
        <v>0.53880627544109372</v>
      </c>
    </row>
    <row r="499" spans="1:4">
      <c r="A499">
        <v>1.129224</v>
      </c>
      <c r="B499">
        <v>3.6687530000000002</v>
      </c>
      <c r="C499">
        <f>LOG10(1.129224)</f>
        <v>5.2780099865247829E-2</v>
      </c>
      <c r="D499">
        <f>LOG10(3.668753)</f>
        <v>0.5645184737216149</v>
      </c>
    </row>
    <row r="500" spans="1:4">
      <c r="A500">
        <v>1.1140749999999999</v>
      </c>
      <c r="B500">
        <v>3.2427079999999999</v>
      </c>
      <c r="C500">
        <f>LOG10(1.114075)</f>
        <v>4.6914428710003453E-2</v>
      </c>
      <c r="D500">
        <f>LOG10(3.242708)</f>
        <v>0.51090784299975978</v>
      </c>
    </row>
    <row r="501" spans="1:4">
      <c r="A501">
        <v>1.1369339999999999</v>
      </c>
      <c r="B501">
        <v>3.3789899999999999</v>
      </c>
      <c r="C501">
        <f>LOG10(1.136934)</f>
        <v>5.5735254249952758E-2</v>
      </c>
      <c r="D501">
        <f>LOG10(3.37899)</f>
        <v>0.52878690649781868</v>
      </c>
    </row>
    <row r="502" spans="1:4">
      <c r="A502">
        <v>1.160209</v>
      </c>
      <c r="B502">
        <v>3.3969480000000001</v>
      </c>
      <c r="C502">
        <f>LOG10(1.160209)</f>
        <v>6.4536230063811442E-2</v>
      </c>
      <c r="D502">
        <f>LOG10(3.396948)</f>
        <v>0.53108889880234789</v>
      </c>
    </row>
    <row r="503" spans="1:4">
      <c r="A503">
        <v>1.1310579999999999</v>
      </c>
      <c r="B503">
        <v>3.6921940000000002</v>
      </c>
      <c r="C503">
        <f>LOG10(1.131058)</f>
        <v>5.3484875866302843E-2</v>
      </c>
      <c r="D503">
        <f>LOG10(3.692194)</f>
        <v>0.56728451221194121</v>
      </c>
    </row>
    <row r="504" spans="1:4">
      <c r="A504">
        <v>1.118587</v>
      </c>
      <c r="B504">
        <v>3.3950209999999998</v>
      </c>
      <c r="C504">
        <f>LOG10(1.118587)</f>
        <v>4.866976773577316E-2</v>
      </c>
      <c r="D504">
        <f>LOG10(3.395021)</f>
        <v>0.53084246496583221</v>
      </c>
    </row>
    <row r="505" spans="1:4">
      <c r="A505">
        <v>1.125154</v>
      </c>
      <c r="B505">
        <v>3.563688</v>
      </c>
      <c r="C505">
        <f>LOG10(1.125154)</f>
        <v>5.1211968467802578E-2</v>
      </c>
      <c r="D505">
        <f>LOG10(3.563688)</f>
        <v>0.55189967465505296</v>
      </c>
    </row>
    <row r="506" spans="1:4">
      <c r="A506">
        <v>1.1356580000000001</v>
      </c>
      <c r="B506">
        <v>3.523285</v>
      </c>
      <c r="C506">
        <f>LOG10(1.135658)</f>
        <v>5.5247564583578955E-2</v>
      </c>
      <c r="D506">
        <f>LOG10(3.523285)</f>
        <v>0.54694777486479207</v>
      </c>
    </row>
    <row r="507" spans="1:4">
      <c r="A507">
        <v>1.1585399999999999</v>
      </c>
      <c r="B507">
        <v>3.5316740000000002</v>
      </c>
      <c r="C507">
        <f>LOG10(1.15854)</f>
        <v>6.3911032929086092E-2</v>
      </c>
      <c r="D507">
        <f>LOG10(3.531674)</f>
        <v>0.54798060811749383</v>
      </c>
    </row>
    <row r="508" spans="1:4">
      <c r="A508">
        <v>1.139645</v>
      </c>
      <c r="B508">
        <v>3.4362270000000001</v>
      </c>
      <c r="C508">
        <f>LOG10(1.139645)</f>
        <v>5.6769589449361293E-2</v>
      </c>
      <c r="D508">
        <f>LOG10(3.436227)</f>
        <v>0.53608184595985142</v>
      </c>
    </row>
    <row r="509" spans="1:4">
      <c r="A509">
        <v>1.116792</v>
      </c>
      <c r="B509">
        <v>3.7110699999999999</v>
      </c>
      <c r="C509">
        <f>LOG10(1.116792)</f>
        <v>4.7972294275952593E-2</v>
      </c>
      <c r="D509">
        <f>LOG10(3.71107)</f>
        <v>0.56949914629893561</v>
      </c>
    </row>
    <row r="510" spans="1:4">
      <c r="A510">
        <v>1.1037250000000001</v>
      </c>
      <c r="B510">
        <v>3.5826730000000002</v>
      </c>
      <c r="C510">
        <f>LOG10(1.103725)</f>
        <v>4.2860879679614272E-2</v>
      </c>
      <c r="D510">
        <f>LOG10(3.582673)</f>
        <v>0.55420717077387105</v>
      </c>
    </row>
    <row r="511" spans="1:4">
      <c r="A511">
        <v>1.1089850000000001</v>
      </c>
      <c r="B511">
        <v>3.3410099999999998</v>
      </c>
      <c r="C511">
        <f>LOG10(1.108985)</f>
        <v>4.4925671973069063E-2</v>
      </c>
      <c r="D511">
        <f>LOG10(3.34101)</f>
        <v>0.52387777552987613</v>
      </c>
    </row>
    <row r="512" spans="1:4">
      <c r="A512">
        <v>1.148739</v>
      </c>
      <c r="B512">
        <v>3.5539800000000001</v>
      </c>
      <c r="C512">
        <f>LOG10(1.148739)</f>
        <v>6.0221365732863102E-2</v>
      </c>
      <c r="D512">
        <f>LOG10(3.55398)</f>
        <v>0.550714979486706</v>
      </c>
    </row>
    <row r="513" spans="1:4">
      <c r="A513">
        <v>1.116735</v>
      </c>
      <c r="B513">
        <v>3.5206170000000001</v>
      </c>
      <c r="C513">
        <f>LOG10(1.116735)</f>
        <v>4.7950127733552297E-2</v>
      </c>
      <c r="D513">
        <f>LOG10(3.520617)</f>
        <v>0.54661878172061473</v>
      </c>
    </row>
    <row r="514" spans="1:4">
      <c r="A514">
        <v>1.1327689999999999</v>
      </c>
      <c r="B514">
        <v>3.48725</v>
      </c>
      <c r="C514">
        <f>LOG10(1.132769)</f>
        <v>5.4141355358796578E-2</v>
      </c>
      <c r="D514">
        <f>LOG10(3.48725)</f>
        <v>0.5424830829448255</v>
      </c>
    </row>
    <row r="515" spans="1:4">
      <c r="A515">
        <v>1.1475040000000001</v>
      </c>
      <c r="B515">
        <v>3.394107</v>
      </c>
      <c r="C515">
        <f>LOG10(1.147504)</f>
        <v>5.9754208087207251E-2</v>
      </c>
      <c r="D515">
        <f>LOG10(3.394107)</f>
        <v>0.53072552943041218</v>
      </c>
    </row>
    <row r="516" spans="1:4">
      <c r="A516">
        <v>1.120266</v>
      </c>
      <c r="B516">
        <v>3.5825269999999998</v>
      </c>
      <c r="C516">
        <f>LOG10(1.120266)</f>
        <v>4.9321155363111061E-2</v>
      </c>
      <c r="D516">
        <f>LOG10(3.582527)</f>
        <v>0.55418947217666037</v>
      </c>
    </row>
    <row r="517" spans="1:4">
      <c r="A517">
        <v>1.124968</v>
      </c>
      <c r="B517">
        <v>3.5133779999999999</v>
      </c>
      <c r="C517">
        <f>LOG10(1.124968)</f>
        <v>5.1140169006424034E-2</v>
      </c>
      <c r="D517">
        <f>LOG10(3.513378)</f>
        <v>0.54572487751271403</v>
      </c>
    </row>
    <row r="518" spans="1:4">
      <c r="A518">
        <v>1.188841</v>
      </c>
      <c r="B518">
        <v>3.5705480000000001</v>
      </c>
      <c r="C518">
        <f>LOG10(1.188841)</f>
        <v>7.5123774349467931E-2</v>
      </c>
      <c r="D518">
        <f>LOG10(3.570548)</f>
        <v>0.55273487580737357</v>
      </c>
    </row>
    <row r="519" spans="1:4">
      <c r="A519">
        <v>1.1295059999999999</v>
      </c>
      <c r="B519">
        <v>3.302289</v>
      </c>
      <c r="C519">
        <f>LOG10(1.129506)</f>
        <v>5.2888542259454302E-2</v>
      </c>
      <c r="D519">
        <f>LOG10(3.302289)</f>
        <v>0.51881507789499237</v>
      </c>
    </row>
    <row r="520" spans="1:4">
      <c r="A520">
        <v>1.1325080000000001</v>
      </c>
      <c r="B520">
        <v>3.2577240000000001</v>
      </c>
      <c r="C520">
        <f>LOG10(1.132508)</f>
        <v>5.4041278537923662E-2</v>
      </c>
      <c r="D520">
        <f>LOG10(3.257724)</f>
        <v>0.51291428735295141</v>
      </c>
    </row>
    <row r="521" spans="1:4">
      <c r="A521">
        <v>1.0956900000000001</v>
      </c>
      <c r="B521">
        <v>3.575285</v>
      </c>
      <c r="C521">
        <f>LOG10(1.09569)</f>
        <v>3.9687698005111294E-2</v>
      </c>
      <c r="D521">
        <f>LOG10(3.575285)</f>
        <v>0.5533106668347102</v>
      </c>
    </row>
    <row r="522" spans="1:4">
      <c r="A522">
        <v>1.1171230000000001</v>
      </c>
      <c r="B522">
        <v>3.3665690000000001</v>
      </c>
      <c r="C522">
        <f>LOG10(1.117123)</f>
        <v>4.8100993420335442E-2</v>
      </c>
      <c r="D522">
        <f>LOG10(3.366569)</f>
        <v>0.52718752004031055</v>
      </c>
    </row>
    <row r="523" spans="1:4">
      <c r="A523">
        <v>1.149478</v>
      </c>
      <c r="B523">
        <v>3.2607659999999998</v>
      </c>
      <c r="C523">
        <f>LOG10(1.149478)</f>
        <v>6.0500663669644558E-2</v>
      </c>
      <c r="D523">
        <f>LOG10(3.260766)</f>
        <v>0.51331963396232139</v>
      </c>
    </row>
    <row r="524" spans="1:4">
      <c r="A524">
        <v>1.136215</v>
      </c>
      <c r="B524">
        <v>3.109286</v>
      </c>
      <c r="C524">
        <f>LOG10(1.136215)</f>
        <v>5.5460518416180458E-2</v>
      </c>
      <c r="D524">
        <f>LOG10(3.109286)</f>
        <v>0.49266067138676073</v>
      </c>
    </row>
    <row r="525" spans="1:4">
      <c r="A525">
        <v>1.1078570000000001</v>
      </c>
      <c r="B525">
        <v>3.051542</v>
      </c>
      <c r="C525">
        <f>LOG10(1.107857)</f>
        <v>4.4483706133495914E-2</v>
      </c>
      <c r="D525">
        <f>LOG10(3.051542)</f>
        <v>0.48451935176032068</v>
      </c>
    </row>
    <row r="526" spans="1:4">
      <c r="A526">
        <v>1.117955</v>
      </c>
      <c r="B526">
        <v>3.1610469999999999</v>
      </c>
      <c r="C526">
        <f>LOG10(1.117955)</f>
        <v>4.8424322651470238E-2</v>
      </c>
      <c r="D526">
        <f>LOG10(3.161047)</f>
        <v>0.49983095319133614</v>
      </c>
    </row>
    <row r="527" spans="1:4">
      <c r="A527">
        <v>1.1319189999999999</v>
      </c>
      <c r="B527">
        <v>3.1393140000000002</v>
      </c>
      <c r="C527">
        <f>LOG10(1.131919)</f>
        <v>5.3815349898484209E-2</v>
      </c>
      <c r="D527">
        <f>LOG10(3.139314)</f>
        <v>0.49683475681096212</v>
      </c>
    </row>
    <row r="528" spans="1:4">
      <c r="A528">
        <v>1.0921419999999999</v>
      </c>
      <c r="B528">
        <v>2.9834930000000002</v>
      </c>
      <c r="C528">
        <f>LOG10(1.092142)</f>
        <v>3.827910888805016E-2</v>
      </c>
      <c r="D528">
        <f>LOG10(2.983493)</f>
        <v>0.47472502322086102</v>
      </c>
    </row>
    <row r="529" spans="1:4">
      <c r="A529">
        <v>1.0675349999999999</v>
      </c>
      <c r="B529">
        <v>2.9775149999999999</v>
      </c>
      <c r="C529">
        <f>LOG10(1.067535)</f>
        <v>2.8382122626978718E-2</v>
      </c>
      <c r="D529">
        <f>LOG10(2.977515)</f>
        <v>0.47385395803082503</v>
      </c>
    </row>
    <row r="530" spans="1:4">
      <c r="A530">
        <v>1.1049439999999999</v>
      </c>
      <c r="B530">
        <v>3.1298050000000002</v>
      </c>
      <c r="C530">
        <f>LOG10(1.104944)</f>
        <v>4.334026796929849E-2</v>
      </c>
      <c r="D530">
        <f>LOG10(3.129805)</f>
        <v>0.49551728001861867</v>
      </c>
    </row>
    <row r="531" spans="1:4">
      <c r="A531">
        <v>1.084201</v>
      </c>
      <c r="B531">
        <v>3.1419410000000001</v>
      </c>
      <c r="C531">
        <f>LOG10(1.084201)</f>
        <v>3.5109803511151394E-2</v>
      </c>
      <c r="D531">
        <f>LOG10(3.141941)</f>
        <v>0.49719802551139847</v>
      </c>
    </row>
    <row r="532" spans="1:4">
      <c r="A532">
        <v>1.070279</v>
      </c>
      <c r="B532">
        <v>3.215751</v>
      </c>
      <c r="C532">
        <f>LOG10(1.070279)</f>
        <v>2.9497004195526595E-2</v>
      </c>
      <c r="D532">
        <f>LOG10(3.215751)</f>
        <v>0.50728241336230484</v>
      </c>
    </row>
    <row r="533" spans="1:4">
      <c r="A533">
        <v>1.067477</v>
      </c>
      <c r="B533">
        <v>3.1983799999999998</v>
      </c>
      <c r="C533">
        <f>LOG10(1.067477)</f>
        <v>2.8358526431775565E-2</v>
      </c>
      <c r="D533">
        <f>LOG10(3.19838)</f>
        <v>0.50493006106718974</v>
      </c>
    </row>
    <row r="534" spans="1:4">
      <c r="A534">
        <v>1.0635250000000001</v>
      </c>
      <c r="B534">
        <v>3.331712</v>
      </c>
      <c r="C534">
        <f>LOG10(1.063525)</f>
        <v>2.6747703203896859E-2</v>
      </c>
      <c r="D534">
        <f>LOG10(3.331712)</f>
        <v>0.52266745305390361</v>
      </c>
    </row>
    <row r="535" spans="1:4">
      <c r="A535">
        <v>1.059601</v>
      </c>
      <c r="B535">
        <v>3.337545</v>
      </c>
      <c r="C535">
        <f>LOG10(1.059601)</f>
        <v>2.5142359491441977E-2</v>
      </c>
      <c r="D535">
        <f>LOG10(3.337545)</f>
        <v>0.52342712998909147</v>
      </c>
    </row>
    <row r="536" spans="1:4">
      <c r="A536">
        <v>1.0470299999999999</v>
      </c>
      <c r="B536">
        <v>3.3136079999999999</v>
      </c>
      <c r="C536">
        <f>LOG10(1.04703)</f>
        <v>1.99591254685282E-2</v>
      </c>
      <c r="D536">
        <f>LOG10(3.313608)</f>
        <v>0.5203011300620709</v>
      </c>
    </row>
    <row r="537" spans="1:4">
      <c r="A537">
        <v>1.0403629999999999</v>
      </c>
      <c r="B537">
        <v>3.233225</v>
      </c>
      <c r="C537">
        <f>LOG10(1.040363)</f>
        <v>1.7184898328171661E-2</v>
      </c>
      <c r="D537">
        <f>LOG10(3.233225)</f>
        <v>0.50963592819903336</v>
      </c>
    </row>
    <row r="538" spans="1:4">
      <c r="A538">
        <v>1.034097</v>
      </c>
      <c r="B538">
        <v>3.3201930000000002</v>
      </c>
      <c r="C538">
        <f>LOG10(1.034097)</f>
        <v>1.4561278205614526E-2</v>
      </c>
      <c r="D538">
        <f>LOG10(3.320193)</f>
        <v>0.52116332960728973</v>
      </c>
    </row>
    <row r="539" spans="1:4">
      <c r="A539">
        <v>1.043175</v>
      </c>
      <c r="B539">
        <v>3.398234</v>
      </c>
      <c r="C539">
        <f>LOG10(1.043175)</f>
        <v>1.8357170515772014E-2</v>
      </c>
      <c r="D539">
        <f>LOG10(3.398234)</f>
        <v>0.53125328077486766</v>
      </c>
    </row>
    <row r="540" spans="1:4">
      <c r="A540">
        <v>1.050327</v>
      </c>
      <c r="B540">
        <v>3.318578</v>
      </c>
      <c r="C540">
        <f>LOG10(1.050327)</f>
        <v>2.1324529723764658E-2</v>
      </c>
      <c r="D540">
        <f>LOG10(3.318578)</f>
        <v>0.52095202977420019</v>
      </c>
    </row>
    <row r="541" spans="1:4">
      <c r="A541">
        <v>1.0508310000000001</v>
      </c>
      <c r="B541">
        <v>3.3392659999999998</v>
      </c>
      <c r="C541">
        <f>LOG10(1.050831)</f>
        <v>2.1532876190881567E-2</v>
      </c>
      <c r="D541">
        <f>LOG10(3.339266)</f>
        <v>0.52365101555958549</v>
      </c>
    </row>
    <row r="542" spans="1:4">
      <c r="A542">
        <v>1.0564990000000001</v>
      </c>
      <c r="B542">
        <v>3.2251629999999998</v>
      </c>
      <c r="C542">
        <f>LOG10(1.056499)</f>
        <v>2.3869090319058719E-2</v>
      </c>
      <c r="D542">
        <f>LOG10(3.225163)</f>
        <v>0.50855166880435754</v>
      </c>
    </row>
    <row r="543" spans="1:4">
      <c r="A543">
        <v>1.061601</v>
      </c>
      <c r="B543">
        <v>3.3270420000000001</v>
      </c>
      <c r="C543">
        <f>LOG10(1.061601)</f>
        <v>2.5961318950461016E-2</v>
      </c>
      <c r="D543">
        <f>LOG10(3.327042)</f>
        <v>0.52205828336149096</v>
      </c>
    </row>
    <row r="544" spans="1:4">
      <c r="A544">
        <v>1.054897</v>
      </c>
      <c r="B544">
        <v>3.3386279999999999</v>
      </c>
      <c r="C544">
        <f>LOG10(1.054897)</f>
        <v>2.3210057249451403E-2</v>
      </c>
      <c r="D544">
        <f>LOG10(3.338628)</f>
        <v>0.52356803134920504</v>
      </c>
    </row>
    <row r="545" spans="1:4">
      <c r="A545">
        <v>1.0581849999999999</v>
      </c>
      <c r="B545">
        <v>3.2255750000000001</v>
      </c>
      <c r="C545">
        <f>LOG10(1.058185)</f>
        <v>2.4561601021968835E-2</v>
      </c>
      <c r="D545">
        <f>LOG10(3.225575)</f>
        <v>0.50860714441870969</v>
      </c>
    </row>
    <row r="546" spans="1:4">
      <c r="A546">
        <v>1.048805</v>
      </c>
      <c r="B546">
        <v>3.274073</v>
      </c>
      <c r="C546">
        <f>LOG10(1.048805)</f>
        <v>2.0694749112265695E-2</v>
      </c>
      <c r="D546">
        <f>LOG10(3.274073)</f>
        <v>0.51508835838189071</v>
      </c>
    </row>
    <row r="547" spans="1:4">
      <c r="A547">
        <v>1.0546009999999999</v>
      </c>
      <c r="B547">
        <v>3.5778349999999999</v>
      </c>
      <c r="C547">
        <f>LOG10(1.054601)</f>
        <v>2.3088178804923767E-2</v>
      </c>
      <c r="D547">
        <f>LOG10(3.577835)</f>
        <v>0.55362030821518926</v>
      </c>
    </row>
    <row r="548" spans="1:4">
      <c r="A548">
        <v>1.041917</v>
      </c>
      <c r="B548">
        <v>3.3615279999999998</v>
      </c>
      <c r="C548">
        <f>LOG10(1.041917)</f>
        <v>1.7833124071274319E-2</v>
      </c>
      <c r="D548">
        <f>LOG10(3.361528)</f>
        <v>0.52653673308140092</v>
      </c>
    </row>
    <row r="549" spans="1:4">
      <c r="A549">
        <v>1.037469</v>
      </c>
      <c r="B549">
        <v>3.3576959999999998</v>
      </c>
      <c r="C549">
        <f>LOG10(1.037469)</f>
        <v>1.5975128680439793E-2</v>
      </c>
      <c r="D549">
        <f>LOG10(3.357696)</f>
        <v>0.52604137330917711</v>
      </c>
    </row>
    <row r="550" spans="1:4">
      <c r="A550">
        <v>1.044848</v>
      </c>
      <c r="B550">
        <v>3.5234760000000001</v>
      </c>
      <c r="C550">
        <f>LOG10(1.044848)</f>
        <v>1.9053115745979045E-2</v>
      </c>
      <c r="D550">
        <f>LOG10(3.523476)</f>
        <v>0.54697131766582185</v>
      </c>
    </row>
    <row r="551" spans="1:4">
      <c r="A551">
        <v>1.0379750000000001</v>
      </c>
      <c r="B551">
        <v>3.7402160000000002</v>
      </c>
      <c r="C551">
        <f>LOG10(1.037975)</f>
        <v>1.6186893500109354E-2</v>
      </c>
      <c r="D551">
        <f>LOG10(3.740216)</f>
        <v>0.57289668372436053</v>
      </c>
    </row>
    <row r="552" spans="1:4">
      <c r="A552">
        <v>1.064602</v>
      </c>
      <c r="B552">
        <v>3.5484580000000001</v>
      </c>
      <c r="C552">
        <f>LOG10(1.064602)</f>
        <v>2.7187277718896438E-2</v>
      </c>
      <c r="D552">
        <f>LOG10(3.548458)</f>
        <v>0.55003966923062719</v>
      </c>
    </row>
    <row r="553" spans="1:4">
      <c r="A553">
        <v>1.074608</v>
      </c>
      <c r="B553">
        <v>3.392452</v>
      </c>
      <c r="C553">
        <f>LOG10(1.074608)</f>
        <v>3.1250069382612482E-2</v>
      </c>
      <c r="D553">
        <f>LOG10(3.392452)</f>
        <v>0.53051371151744686</v>
      </c>
    </row>
    <row r="554" spans="1:4">
      <c r="A554">
        <v>1.0765309999999999</v>
      </c>
      <c r="B554">
        <v>3.5422530000000001</v>
      </c>
      <c r="C554">
        <f>LOG10(1.076531)</f>
        <v>3.2026540369532598E-2</v>
      </c>
      <c r="D554">
        <f>LOG10(3.542253)</f>
        <v>0.54927957678063632</v>
      </c>
    </row>
    <row r="555" spans="1:4">
      <c r="A555">
        <v>1.099596</v>
      </c>
      <c r="B555">
        <v>3.2963939999999998</v>
      </c>
      <c r="C555">
        <f>LOG10(1.099596)</f>
        <v>4.1233151341413338E-2</v>
      </c>
      <c r="D555">
        <f>LOG10(3.296394)</f>
        <v>0.5180391149787853</v>
      </c>
    </row>
    <row r="556" spans="1:4">
      <c r="A556">
        <v>1.060387</v>
      </c>
      <c r="B556">
        <v>3.4560330000000001</v>
      </c>
      <c r="C556">
        <f>LOG10(1.060387)</f>
        <v>2.5464394784487893E-2</v>
      </c>
      <c r="D556">
        <f>LOG10(3.456033)</f>
        <v>0.53857788069617263</v>
      </c>
    </row>
    <row r="557" spans="1:4">
      <c r="A557">
        <v>1.0759799999999999</v>
      </c>
      <c r="B557">
        <v>3.3608910000000001</v>
      </c>
      <c r="C557">
        <f>LOG10(1.07598)</f>
        <v>3.1804198867207756E-2</v>
      </c>
      <c r="D557">
        <f>LOG10(3.360891)</f>
        <v>0.52645442771311002</v>
      </c>
    </row>
    <row r="558" spans="1:4">
      <c r="A558">
        <v>1.0659510000000001</v>
      </c>
      <c r="B558">
        <v>3.3608359999999999</v>
      </c>
      <c r="C558">
        <f>LOG10(1.065951)</f>
        <v>2.7737241352168134E-2</v>
      </c>
      <c r="D558">
        <f>LOG10(3.360836)</f>
        <v>0.52644732055255283</v>
      </c>
    </row>
    <row r="559" spans="1:4">
      <c r="A559">
        <v>1.0413760000000001</v>
      </c>
      <c r="B559">
        <v>3.4643989999999998</v>
      </c>
      <c r="C559">
        <f>LOG10(1.041376)</f>
        <v>1.7607564517249919E-2</v>
      </c>
      <c r="D559">
        <f>LOG10(3.464399)</f>
        <v>0.53962790456910714</v>
      </c>
    </row>
    <row r="560" spans="1:4">
      <c r="A560">
        <v>1.0407869999999999</v>
      </c>
      <c r="B560">
        <v>3.4171469999999999</v>
      </c>
      <c r="C560">
        <f>LOG10(1.040787)</f>
        <v>1.7361859011327321E-2</v>
      </c>
      <c r="D560">
        <f>LOG10(3.417147)</f>
        <v>0.53366366182938818</v>
      </c>
    </row>
    <row r="561" spans="1:4">
      <c r="A561">
        <v>1.0416319999999999</v>
      </c>
      <c r="B561">
        <v>3.345024</v>
      </c>
      <c r="C561">
        <f>LOG10(1.041632)</f>
        <v>1.7714313399565213E-2</v>
      </c>
      <c r="D561">
        <f>LOG10(3.345024)</f>
        <v>0.52439923810688338</v>
      </c>
    </row>
    <row r="562" spans="1:4">
      <c r="A562">
        <v>1.048754</v>
      </c>
      <c r="B562">
        <v>3.5217209999999999</v>
      </c>
      <c r="C562">
        <f>LOG10(1.048754)</f>
        <v>2.0673630260704009E-2</v>
      </c>
      <c r="D562">
        <f>LOG10(3.521721)</f>
        <v>0.5467549470429689</v>
      </c>
    </row>
    <row r="563" spans="1:4">
      <c r="A563">
        <v>1.04918</v>
      </c>
      <c r="B563">
        <v>3.4572609999999999</v>
      </c>
      <c r="C563">
        <f>LOG10(1.04918)</f>
        <v>2.0850003256073339E-2</v>
      </c>
      <c r="D563">
        <f>LOG10(3.457261)</f>
        <v>0.538732167098396</v>
      </c>
    </row>
    <row r="564" spans="1:4">
      <c r="A564">
        <v>1.0582130000000001</v>
      </c>
      <c r="B564">
        <v>3.472175</v>
      </c>
      <c r="C564">
        <f>LOG10(1.058213)</f>
        <v>2.4573092476311599E-2</v>
      </c>
      <c r="D564">
        <f>LOG10(3.472175)</f>
        <v>0.54060160579565131</v>
      </c>
    </row>
    <row r="565" spans="1:4">
      <c r="A565">
        <v>1.0622609999999999</v>
      </c>
      <c r="B565">
        <v>3.4567389999999998</v>
      </c>
      <c r="C565">
        <f>LOG10(1.062261)</f>
        <v>2.623123702167535E-2</v>
      </c>
      <c r="D565">
        <f>LOG10(3.456739)</f>
        <v>0.53866658951089685</v>
      </c>
    </row>
    <row r="566" spans="1:4">
      <c r="A566">
        <v>1.056173</v>
      </c>
      <c r="B566">
        <v>3.4064670000000001</v>
      </c>
      <c r="C566">
        <f>LOG10(1.056173)</f>
        <v>2.3735060992950183E-2</v>
      </c>
      <c r="D566">
        <f>LOG10(3.406467)</f>
        <v>0.53230418608700558</v>
      </c>
    </row>
    <row r="567" spans="1:4">
      <c r="A567">
        <v>1.053194</v>
      </c>
      <c r="B567">
        <v>3.3745989999999999</v>
      </c>
      <c r="C567">
        <f>LOG10(1.053194)</f>
        <v>2.2508376284473112E-2</v>
      </c>
      <c r="D567">
        <f>LOG10(3.374599)</f>
        <v>0.52822217348289946</v>
      </c>
    </row>
    <row r="568" spans="1:4">
      <c r="A568">
        <v>1.058824</v>
      </c>
      <c r="B568">
        <v>3.3771550000000001</v>
      </c>
      <c r="C568">
        <f>LOG10(1.058824)</f>
        <v>2.4823776744758979E-2</v>
      </c>
      <c r="D568">
        <f>LOG10(3.377155)</f>
        <v>0.52855099374168668</v>
      </c>
    </row>
    <row r="569" spans="1:4">
      <c r="A569">
        <v>1.04172</v>
      </c>
      <c r="B569">
        <v>3.2528239999999999</v>
      </c>
      <c r="C569">
        <f>LOG10(1.04172)</f>
        <v>1.7751002268685992E-2</v>
      </c>
      <c r="D569">
        <f>LOG10(3.252824)</f>
        <v>0.51226056561919509</v>
      </c>
    </row>
    <row r="570" spans="1:4">
      <c r="A570">
        <v>1.0383880000000001</v>
      </c>
      <c r="B570">
        <v>3.3680080000000001</v>
      </c>
      <c r="C570">
        <f>LOG10(1.038388)</f>
        <v>1.6359660615870377E-2</v>
      </c>
      <c r="D570">
        <f>LOG10(3.368008)</f>
        <v>0.52737311440472856</v>
      </c>
    </row>
    <row r="571" spans="1:4">
      <c r="A571">
        <v>1.0368820000000001</v>
      </c>
      <c r="B571">
        <v>3.3696950000000001</v>
      </c>
      <c r="C571">
        <f>LOG10(1.036882)</f>
        <v>1.572933530440852E-2</v>
      </c>
      <c r="D571">
        <f>LOG10(3.369695)</f>
        <v>0.52759059350889248</v>
      </c>
    </row>
    <row r="572" spans="1:4">
      <c r="A572">
        <v>1.044438</v>
      </c>
      <c r="B572">
        <v>3.428731</v>
      </c>
      <c r="C572">
        <f>LOG10(1.044438)</f>
        <v>1.8882664462750189E-2</v>
      </c>
      <c r="D572">
        <f>LOG10(3.428731)</f>
        <v>0.53513341401600723</v>
      </c>
    </row>
    <row r="573" spans="1:4">
      <c r="A573">
        <v>1.044851</v>
      </c>
      <c r="B573">
        <v>3.473735</v>
      </c>
      <c r="C573">
        <f>LOG10(1.044851)</f>
        <v>1.9054362703981802E-2</v>
      </c>
      <c r="D573">
        <f>LOG10(3.473735)</f>
        <v>0.54079668445436146</v>
      </c>
    </row>
    <row r="574" spans="1:4">
      <c r="A574">
        <v>1.0517799999999999</v>
      </c>
      <c r="B574">
        <v>3.3663979999999998</v>
      </c>
      <c r="C574">
        <f>LOG10(1.05178)</f>
        <v>2.1924908279853158E-2</v>
      </c>
      <c r="D574">
        <f>LOG10(3.366398)</f>
        <v>0.52716546012039067</v>
      </c>
    </row>
    <row r="575" spans="1:4">
      <c r="A575">
        <v>1.0455159999999999</v>
      </c>
      <c r="B575">
        <v>3.5718930000000002</v>
      </c>
      <c r="C575">
        <f>LOG10(1.045516)</f>
        <v>1.9330683407674892E-2</v>
      </c>
      <c r="D575">
        <f>LOG10(3.571893)</f>
        <v>0.55289844064047877</v>
      </c>
    </row>
    <row r="576" spans="1:4">
      <c r="A576">
        <v>1.0574950000000001</v>
      </c>
      <c r="B576">
        <v>3.350285</v>
      </c>
      <c r="C576">
        <f>LOG10(1.057495)</f>
        <v>2.4278322640419896E-2</v>
      </c>
      <c r="D576">
        <f>LOG10(3.350285)</f>
        <v>0.52508175290628722</v>
      </c>
    </row>
    <row r="577" spans="1:4">
      <c r="A577">
        <v>1.061407</v>
      </c>
      <c r="B577">
        <v>3.3814310000000001</v>
      </c>
      <c r="C577">
        <f>LOG10(1.061407)</f>
        <v>2.5881947483444637E-2</v>
      </c>
      <c r="D577">
        <f>LOG10(3.381431)</f>
        <v>0.52910052982879052</v>
      </c>
    </row>
    <row r="578" spans="1:4">
      <c r="A578">
        <v>1.0820160000000001</v>
      </c>
      <c r="B578">
        <v>3.1894100000000001</v>
      </c>
      <c r="C578">
        <f>LOG10(1.082016)</f>
        <v>3.4233682822615512E-2</v>
      </c>
      <c r="D578">
        <f>LOG10(3.18941)</f>
        <v>0.50371035157039679</v>
      </c>
    </row>
    <row r="579" spans="1:4">
      <c r="A579">
        <v>1.072783</v>
      </c>
      <c r="B579">
        <v>3.2673139999999998</v>
      </c>
      <c r="C579">
        <f>LOG10(1.072783)</f>
        <v>3.0511882792190963E-2</v>
      </c>
      <c r="D579">
        <f>LOG10(3.267314)</f>
        <v>0.51419087365951166</v>
      </c>
    </row>
    <row r="580" spans="1:4">
      <c r="A580">
        <v>1.067008</v>
      </c>
      <c r="B580">
        <v>3.3708870000000002</v>
      </c>
      <c r="C580">
        <f>LOG10(1.067008)</f>
        <v>2.8167675603317604E-2</v>
      </c>
      <c r="D580">
        <f>LOG10(3.370887)</f>
        <v>0.52774419420029417</v>
      </c>
    </row>
    <row r="581" spans="1:4">
      <c r="A581">
        <v>1.0544610000000001</v>
      </c>
      <c r="B581">
        <v>3.3294199999999998</v>
      </c>
      <c r="C581">
        <f>LOG10(1.054461)</f>
        <v>2.3030521678148286E-2</v>
      </c>
      <c r="D581">
        <f>LOG10(3.32942)</f>
        <v>0.52236858403530262</v>
      </c>
    </row>
    <row r="582" spans="1:4">
      <c r="A582">
        <v>1.0588599999999999</v>
      </c>
      <c r="B582">
        <v>3.242378</v>
      </c>
      <c r="C582">
        <f>LOG10(1.05886)</f>
        <v>2.483854249956469E-2</v>
      </c>
      <c r="D582">
        <f>LOG10(3.242378)</f>
        <v>0.51086364399325412</v>
      </c>
    </row>
    <row r="583" spans="1:4">
      <c r="A583">
        <v>1.068182</v>
      </c>
      <c r="B583">
        <v>3.4237760000000002</v>
      </c>
      <c r="C583">
        <f>LOG10(1.068182)</f>
        <v>2.8645255371988733E-2</v>
      </c>
      <c r="D583">
        <f>LOG10(3.423776)</f>
        <v>0.5345053432871818</v>
      </c>
    </row>
    <row r="584" spans="1:4">
      <c r="A584">
        <v>1.0949660000000001</v>
      </c>
      <c r="B584">
        <v>3.250874</v>
      </c>
      <c r="C584">
        <f>LOG10(1.094966)</f>
        <v>3.940063402396049E-2</v>
      </c>
      <c r="D584">
        <f>LOG10(3.250874)</f>
        <v>0.51200013708604719</v>
      </c>
    </row>
    <row r="585" spans="1:4">
      <c r="A585">
        <v>1.1062639999999999</v>
      </c>
      <c r="B585">
        <v>3.3243420000000001</v>
      </c>
      <c r="C585">
        <f>LOG10(1.106264)</f>
        <v>4.3858779827259331E-2</v>
      </c>
      <c r="D585">
        <f>LOG10(3.324342)</f>
        <v>0.52170569654180188</v>
      </c>
    </row>
    <row r="586" spans="1:4">
      <c r="A586">
        <v>1.1147100000000001</v>
      </c>
      <c r="B586">
        <v>3.354301</v>
      </c>
      <c r="C586">
        <f>LOG10(1.11471)</f>
        <v>4.7161897176877118E-2</v>
      </c>
      <c r="D586">
        <f>LOG10(3.354301)</f>
        <v>0.52560203166709862</v>
      </c>
    </row>
    <row r="587" spans="1:4">
      <c r="A587">
        <v>1.0951200000000001</v>
      </c>
      <c r="B587">
        <v>3.2654130000000001</v>
      </c>
      <c r="C587">
        <f>LOG10(1.09512)</f>
        <v>3.9461710484266908E-2</v>
      </c>
      <c r="D587">
        <f>LOG10(3.265413)</f>
        <v>0.51393811739603967</v>
      </c>
    </row>
    <row r="588" spans="1:4">
      <c r="A588">
        <v>1.0889770000000001</v>
      </c>
      <c r="B588">
        <v>3.3299159999999999</v>
      </c>
      <c r="C588">
        <f>LOG10(1.088977)</f>
        <v>3.7018707231837276E-2</v>
      </c>
      <c r="D588">
        <f>LOG10(3.329916)</f>
        <v>0.52243327819202401</v>
      </c>
    </row>
    <row r="589" spans="1:4">
      <c r="A589">
        <v>1.0662609999999999</v>
      </c>
      <c r="B589">
        <v>3.4108550000000002</v>
      </c>
      <c r="C589">
        <f>LOG10(1.066261)</f>
        <v>2.7863524564473979E-2</v>
      </c>
      <c r="D589">
        <f>LOG10(3.410855)</f>
        <v>0.53286325736155038</v>
      </c>
    </row>
    <row r="590" spans="1:4">
      <c r="A590">
        <v>1.049269</v>
      </c>
      <c r="B590">
        <v>3.4808910000000002</v>
      </c>
      <c r="C590">
        <f>LOG10(1.049269)</f>
        <v>2.0886842091720589E-2</v>
      </c>
      <c r="D590">
        <f>LOG10(3.480891)</f>
        <v>0.54169042407725365</v>
      </c>
    </row>
    <row r="591" spans="1:4">
      <c r="A591">
        <v>1.0788150000000001</v>
      </c>
      <c r="B591">
        <v>3.3042539999999998</v>
      </c>
      <c r="C591">
        <f>LOG10(1.078815)</f>
        <v>3.2946976316207389E-2</v>
      </c>
      <c r="D591">
        <f>LOG10(3.304254)</f>
        <v>0.51907342441059212</v>
      </c>
    </row>
    <row r="592" spans="1:4">
      <c r="A592">
        <v>1.0648930000000001</v>
      </c>
      <c r="B592">
        <v>3.4091960000000001</v>
      </c>
      <c r="C592">
        <f>LOG10(1.064893)</f>
        <v>2.7305972240386771E-2</v>
      </c>
      <c r="D592">
        <f>LOG10(3.409196)</f>
        <v>0.53265197021437549</v>
      </c>
    </row>
    <row r="593" spans="1:4">
      <c r="A593">
        <v>1.089653</v>
      </c>
      <c r="B593">
        <v>3.8650180000000001</v>
      </c>
      <c r="C593">
        <f>LOG10(1.089653)</f>
        <v>3.7288218878320067E-2</v>
      </c>
      <c r="D593">
        <f>LOG10(3.865018)</f>
        <v>0.58715152083713051</v>
      </c>
    </row>
    <row r="594" spans="1:4">
      <c r="A594">
        <v>1.0779860000000001</v>
      </c>
      <c r="B594">
        <v>3.7026620000000001</v>
      </c>
      <c r="C594">
        <f>LOG10(1.077986)</f>
        <v>3.2613120626018365E-2</v>
      </c>
      <c r="D594">
        <f>LOG10(3.702662)</f>
        <v>0.56851406899390344</v>
      </c>
    </row>
    <row r="595" spans="1:4">
      <c r="A595">
        <v>1.0773349999999999</v>
      </c>
      <c r="B595">
        <v>3.7803849999999999</v>
      </c>
      <c r="C595">
        <f>LOG10(1.077335)</f>
        <v>3.2350769248829729E-2</v>
      </c>
      <c r="D595">
        <f>LOG10(3.780385)</f>
        <v>0.57753603128196718</v>
      </c>
    </row>
    <row r="596" spans="1:4">
      <c r="A596">
        <v>1.0598620000000001</v>
      </c>
      <c r="B596">
        <v>3.7157800000000001</v>
      </c>
      <c r="C596">
        <f>LOG10(1.059862)</f>
        <v>2.52493213589997E-2</v>
      </c>
      <c r="D596">
        <f>LOG10(3.71578)</f>
        <v>0.57004999283117885</v>
      </c>
    </row>
    <row r="597" spans="1:4">
      <c r="A597">
        <v>1.0784929999999999</v>
      </c>
      <c r="B597">
        <v>3.390933</v>
      </c>
      <c r="C597">
        <f>LOG10(1.078493)</f>
        <v>3.2817330642792734E-2</v>
      </c>
      <c r="D597">
        <f>LOG10(3.390933)</f>
        <v>0.53031920882327932</v>
      </c>
    </row>
    <row r="598" spans="1:4">
      <c r="A598">
        <v>1.079555</v>
      </c>
      <c r="B598">
        <v>3.6589469999999999</v>
      </c>
      <c r="C598">
        <f>LOG10(1.079555)</f>
        <v>3.3244773199226273E-2</v>
      </c>
      <c r="D598">
        <f>LOG10(3.658947)</f>
        <v>0.56335611875847258</v>
      </c>
    </row>
    <row r="599" spans="1:4">
      <c r="A599">
        <v>1.0987260000000001</v>
      </c>
      <c r="B599">
        <v>3.5619160000000001</v>
      </c>
      <c r="C599">
        <f>LOG10(1.098726)</f>
        <v>4.088940168237179E-2</v>
      </c>
      <c r="D599">
        <f>LOG10(3.561916)</f>
        <v>0.55168367336230739</v>
      </c>
    </row>
    <row r="600" spans="1:4">
      <c r="A600">
        <v>1.0781430000000001</v>
      </c>
      <c r="B600">
        <v>3.6779540000000002</v>
      </c>
      <c r="C600">
        <f>LOG10(1.078143)</f>
        <v>3.2676367522451087E-2</v>
      </c>
      <c r="D600">
        <f>LOG10(3.677954)</f>
        <v>0.56560629323509404</v>
      </c>
    </row>
    <row r="601" spans="1:4">
      <c r="A601">
        <v>1.1022000000000001</v>
      </c>
      <c r="B601">
        <v>3.7893509999999999</v>
      </c>
      <c r="C601">
        <f>LOG10(1.1022)</f>
        <v>4.2260406689451982E-2</v>
      </c>
      <c r="D601">
        <f>LOG10(3.789351)</f>
        <v>0.57856483496698208</v>
      </c>
    </row>
    <row r="602" spans="1:4">
      <c r="A602">
        <v>1.0848690000000001</v>
      </c>
      <c r="B602">
        <v>3.6914880000000001</v>
      </c>
      <c r="C602">
        <f>LOG10(1.084869)</f>
        <v>3.5377299463871248E-2</v>
      </c>
      <c r="D602">
        <f>LOG10(3.691488)</f>
        <v>0.56720146099029922</v>
      </c>
    </row>
    <row r="603" spans="1:4">
      <c r="A603">
        <v>1.080713</v>
      </c>
      <c r="B603">
        <v>3.8166859999999998</v>
      </c>
      <c r="C603">
        <f>LOG10(1.080713)</f>
        <v>3.3710375669117616E-2</v>
      </c>
      <c r="D603">
        <f>LOG10(3.816686)</f>
        <v>0.58168643187031888</v>
      </c>
    </row>
    <row r="604" spans="1:4">
      <c r="A604">
        <v>1.0571729999999999</v>
      </c>
      <c r="B604">
        <v>3.748739</v>
      </c>
      <c r="C604">
        <f>LOG10(1.057173)</f>
        <v>2.414606280175613E-2</v>
      </c>
      <c r="D604">
        <f>LOG10(3.748739)</f>
        <v>0.57388520441044855</v>
      </c>
    </row>
    <row r="605" spans="1:4">
      <c r="A605">
        <v>1.0808450000000001</v>
      </c>
      <c r="B605">
        <v>3.706197</v>
      </c>
      <c r="C605">
        <f>LOG10(1.080845)</f>
        <v>3.3763417846734409E-2</v>
      </c>
      <c r="D605">
        <f>LOG10(3.706197)</f>
        <v>0.56892850017960384</v>
      </c>
    </row>
    <row r="606" spans="1:4">
      <c r="A606">
        <v>1.0998300000000001</v>
      </c>
      <c r="B606">
        <v>3.7158850000000001</v>
      </c>
      <c r="C606">
        <f>LOG10(1.09983)</f>
        <v>4.1325561733169029E-2</v>
      </c>
      <c r="D606">
        <f>LOG10(3.715885)</f>
        <v>0.57006226489150524</v>
      </c>
    </row>
    <row r="607" spans="1:4">
      <c r="A607">
        <v>1.085545</v>
      </c>
      <c r="B607">
        <v>3.7502309999999999</v>
      </c>
      <c r="C607">
        <f>LOG10(1.085545)</f>
        <v>3.5647831334067327E-2</v>
      </c>
      <c r="D607">
        <f>LOG10(3.750231)</f>
        <v>0.5740580194438597</v>
      </c>
    </row>
    <row r="608" spans="1:4">
      <c r="A608">
        <v>1.082311</v>
      </c>
      <c r="B608">
        <v>3.7975859999999999</v>
      </c>
      <c r="C608">
        <f>LOG10(1.082311)</f>
        <v>3.4352072394020217E-2</v>
      </c>
      <c r="D608">
        <f>LOG10(3.797586)</f>
        <v>0.57950761766386538</v>
      </c>
    </row>
    <row r="609" spans="1:4">
      <c r="A609">
        <v>1.1020479999999999</v>
      </c>
      <c r="B609">
        <v>3.675351</v>
      </c>
      <c r="C609">
        <f>LOG10(1.102048)</f>
        <v>4.2200510741850807E-2</v>
      </c>
      <c r="D609">
        <f>LOG10(3.675351)</f>
        <v>0.56529882099407758</v>
      </c>
    </row>
    <row r="610" spans="1:4">
      <c r="A610">
        <v>1.085634</v>
      </c>
      <c r="B610">
        <v>3.69442</v>
      </c>
      <c r="C610">
        <f>LOG10(1.085634)</f>
        <v>3.5683436145012015E-2</v>
      </c>
      <c r="D610">
        <f>LOG10(3.69442)</f>
        <v>0.56754626666289298</v>
      </c>
    </row>
    <row r="611" spans="1:4">
      <c r="A611">
        <v>1.056408</v>
      </c>
      <c r="B611">
        <v>3.7466889999999999</v>
      </c>
      <c r="C611">
        <f>LOG10(1.056408)</f>
        <v>2.3831681386362998E-2</v>
      </c>
      <c r="D611">
        <f>LOG10(3.746689)</f>
        <v>0.57364764527170409</v>
      </c>
    </row>
    <row r="612" spans="1:4">
      <c r="A612">
        <v>1.054162</v>
      </c>
      <c r="B612">
        <v>3.9389859999999999</v>
      </c>
      <c r="C612">
        <f>LOG10(1.054162)</f>
        <v>2.2907356891498976E-2</v>
      </c>
      <c r="D612">
        <f>LOG10(3.938986)</f>
        <v>0.59538443723626755</v>
      </c>
    </row>
    <row r="613" spans="1:4">
      <c r="A613">
        <v>1.0988439999999999</v>
      </c>
      <c r="B613">
        <v>3.8459270000000001</v>
      </c>
      <c r="C613">
        <f>LOG10(1.098844)</f>
        <v>4.0936041151343215E-2</v>
      </c>
      <c r="D613">
        <f>LOG10(3.845927)</f>
        <v>0.5850010365852325</v>
      </c>
    </row>
    <row r="614" spans="1:4">
      <c r="A614">
        <v>1.1111979999999999</v>
      </c>
      <c r="B614">
        <v>3.8192370000000002</v>
      </c>
      <c r="C614">
        <f>LOG10(1.111198)</f>
        <v>4.5791451061321653E-2</v>
      </c>
      <c r="D614">
        <f>LOG10(3.819237)</f>
        <v>0.58197660904066273</v>
      </c>
    </row>
    <row r="615" spans="1:4">
      <c r="A615">
        <v>1.0905670000000001</v>
      </c>
      <c r="B615">
        <v>3.7167400000000002</v>
      </c>
      <c r="C615">
        <f>LOG10(1.090567)</f>
        <v>3.7652352020584416E-2</v>
      </c>
      <c r="D615">
        <f>LOG10(3.71674)</f>
        <v>0.57016218161908538</v>
      </c>
    </row>
    <row r="616" spans="1:4">
      <c r="A616">
        <v>1.0987199999999999</v>
      </c>
      <c r="B616">
        <v>3.729085</v>
      </c>
      <c r="C616">
        <f>LOG10(1.09872)</f>
        <v>4.0887030050130092E-2</v>
      </c>
      <c r="D616">
        <f>LOG10(3.729085)</f>
        <v>0.57160228269363267</v>
      </c>
    </row>
    <row r="617" spans="1:4">
      <c r="A617">
        <v>1.1132340000000001</v>
      </c>
      <c r="B617">
        <v>3.804414</v>
      </c>
      <c r="C617">
        <f>LOG10(1.113234)</f>
        <v>4.6586461933379113E-2</v>
      </c>
      <c r="D617">
        <f>LOG10(3.804414)</f>
        <v>0.58028777118132313</v>
      </c>
    </row>
    <row r="618" spans="1:4">
      <c r="A618">
        <v>1.094562</v>
      </c>
      <c r="B618">
        <v>3.7258469999999999</v>
      </c>
      <c r="C618">
        <f>LOG10(1.094562)</f>
        <v>3.9240366630549577E-2</v>
      </c>
      <c r="D618">
        <f>LOG10(3.725847)</f>
        <v>0.57122501684577942</v>
      </c>
    </row>
    <row r="619" spans="1:4">
      <c r="A619">
        <v>1.1050660000000001</v>
      </c>
      <c r="B619">
        <v>3.7489089999999998</v>
      </c>
      <c r="C619">
        <f>LOG10(1.105066)</f>
        <v>4.3388217007398852E-2</v>
      </c>
      <c r="D619">
        <f>LOG10(3.748909)</f>
        <v>0.5739048986030636</v>
      </c>
    </row>
    <row r="620" spans="1:4">
      <c r="A620">
        <v>1.0662020000000001</v>
      </c>
      <c r="B620">
        <v>3.7211319999999999</v>
      </c>
      <c r="C620">
        <f>LOG10(1.066202)</f>
        <v>2.7839492846747811E-2</v>
      </c>
      <c r="D620">
        <f>LOG10(3.721132)</f>
        <v>0.57067507605615353</v>
      </c>
    </row>
    <row r="621" spans="1:4">
      <c r="A621">
        <v>1.084865</v>
      </c>
      <c r="B621">
        <v>3.6046469999999999</v>
      </c>
      <c r="C621">
        <f>LOG10(1.084865)</f>
        <v>3.5375698181937462E-2</v>
      </c>
      <c r="D621">
        <f>LOG10(3.604647)</f>
        <v>0.55686274105033629</v>
      </c>
    </row>
    <row r="622" spans="1:4">
      <c r="A622">
        <v>1.0870599999999999</v>
      </c>
      <c r="B622">
        <v>3.9479769999999998</v>
      </c>
      <c r="C622">
        <f>LOG10(1.08706)</f>
        <v>3.6253515521232647E-2</v>
      </c>
      <c r="D622">
        <f>LOG10(3.947977)</f>
        <v>0.59637461390586155</v>
      </c>
    </row>
    <row r="623" spans="1:4">
      <c r="A623">
        <v>1.0970519999999999</v>
      </c>
      <c r="B623">
        <v>4.0091950000000001</v>
      </c>
      <c r="C623">
        <f>LOG10(1.097052)</f>
        <v>4.0227213516214035E-2</v>
      </c>
      <c r="D623">
        <f>LOG10(4.009195)</f>
        <v>0.60305718006304743</v>
      </c>
    </row>
    <row r="624" spans="1:4">
      <c r="A624">
        <v>1.0958209999999999</v>
      </c>
      <c r="B624">
        <v>3.914501</v>
      </c>
      <c r="C624">
        <f>LOG10(1.095821)</f>
        <v>3.9739618873587006E-2</v>
      </c>
      <c r="D624">
        <f>LOG10(3.914501)</f>
        <v>0.5926764083457895</v>
      </c>
    </row>
    <row r="625" spans="1:4">
      <c r="A625">
        <v>1.0947370000000001</v>
      </c>
      <c r="B625">
        <v>2.9423080000000001</v>
      </c>
      <c r="C625">
        <f>LOG10(1.094737)</f>
        <v>3.9309796648555294E-2</v>
      </c>
      <c r="D625">
        <f>LOG10(2.942308)</f>
        <v>0.46868813259921371</v>
      </c>
    </row>
    <row r="626" spans="1:4">
      <c r="A626">
        <v>1.012597</v>
      </c>
      <c r="B626">
        <v>3.614347</v>
      </c>
      <c r="C626">
        <f>LOG10(1.012597)</f>
        <v>5.4366363775298814E-3</v>
      </c>
      <c r="D626">
        <f>LOG10(3.614347)</f>
        <v>0.5580298452229504</v>
      </c>
    </row>
    <row r="627" spans="1:4">
      <c r="A627">
        <v>1.0143800000000001</v>
      </c>
      <c r="B627">
        <v>3.3780000000000001</v>
      </c>
      <c r="C627">
        <f>LOG10(1.01438)</f>
        <v>6.200677864880412E-3</v>
      </c>
      <c r="D627">
        <f>LOG10(3.378)</f>
        <v>0.52865964523498987</v>
      </c>
    </row>
    <row r="628" spans="1:4">
      <c r="A628">
        <v>1.0138469999999999</v>
      </c>
      <c r="B628">
        <v>3.5209959999999998</v>
      </c>
      <c r="C628">
        <f>LOG10(1.013847)</f>
        <v>5.9724204122549758E-3</v>
      </c>
      <c r="D628">
        <f>LOG10(3.520996)</f>
        <v>0.54666553169361098</v>
      </c>
    </row>
    <row r="629" spans="1:4">
      <c r="A629">
        <v>1.012354</v>
      </c>
      <c r="B629">
        <v>3.559148</v>
      </c>
      <c r="C629">
        <f>LOG10(1.012354)</f>
        <v>5.3324031791867387E-3</v>
      </c>
      <c r="D629">
        <f>LOG10(3.559148)</f>
        <v>0.55134604764051853</v>
      </c>
    </row>
    <row r="630" spans="1:4">
      <c r="A630">
        <v>1.0225519999999999</v>
      </c>
      <c r="B630">
        <v>3.6245880000000001</v>
      </c>
      <c r="C630">
        <f>LOG10(1.022552)</f>
        <v>9.6854024875288342E-3</v>
      </c>
      <c r="D630">
        <f>LOG10(3.624588)</f>
        <v>0.55925864828758176</v>
      </c>
    </row>
    <row r="631" spans="1:4">
      <c r="A631">
        <v>1.015614</v>
      </c>
      <c r="B631">
        <v>3.6529750000000001</v>
      </c>
      <c r="C631">
        <f>LOG10(1.015614)</f>
        <v>6.7286788901839562E-3</v>
      </c>
      <c r="D631">
        <f>LOG10(3.652975)</f>
        <v>0.56264670002489237</v>
      </c>
    </row>
    <row r="632" spans="1:4">
      <c r="A632">
        <v>1.0099769999999999</v>
      </c>
      <c r="B632">
        <v>3.6028699999999998</v>
      </c>
      <c r="C632">
        <f>LOG10(1.009977)</f>
        <v>4.3114837956929712E-3</v>
      </c>
      <c r="D632">
        <f>LOG10(3.60287)</f>
        <v>0.55664859204174444</v>
      </c>
    </row>
    <row r="633" spans="1:4">
      <c r="A633">
        <v>1.009233</v>
      </c>
      <c r="B633">
        <v>3.333199</v>
      </c>
      <c r="C633">
        <f>LOG10(1.009233)</f>
        <v>3.991442681437034E-3</v>
      </c>
      <c r="D633">
        <f>LOG10(3.333199)</f>
        <v>0.52286124286004076</v>
      </c>
    </row>
    <row r="634" spans="1:4">
      <c r="A634">
        <v>1.0198050000000001</v>
      </c>
      <c r="B634">
        <v>3.5936360000000001</v>
      </c>
      <c r="C634">
        <f>LOG10(1.019805)</f>
        <v>8.5171369382661972E-3</v>
      </c>
      <c r="D634">
        <f>LOG10(3.593636)</f>
        <v>0.55553408523893189</v>
      </c>
    </row>
    <row r="635" spans="1:4">
      <c r="A635">
        <v>1.0103839999999999</v>
      </c>
      <c r="B635">
        <v>3.3836240000000002</v>
      </c>
      <c r="C635">
        <f>LOG10(1.010384)</f>
        <v>4.4864603038770948E-3</v>
      </c>
      <c r="D635">
        <f>LOG10(3.383624)</f>
        <v>0.52938209674352354</v>
      </c>
    </row>
    <row r="636" spans="1:4">
      <c r="A636">
        <v>1.010561</v>
      </c>
      <c r="B636">
        <v>3.5711539999999999</v>
      </c>
      <c r="C636">
        <f>LOG10(1.010561)</f>
        <v>4.5625337482246321E-3</v>
      </c>
      <c r="D636">
        <f>LOG10(3.571154)</f>
        <v>0.55280857881449008</v>
      </c>
    </row>
    <row r="637" spans="1:4">
      <c r="A637">
        <v>1.014138</v>
      </c>
      <c r="B637">
        <v>3.4754499999999999</v>
      </c>
      <c r="C637">
        <f>LOG10(1.014138)</f>
        <v>6.0970561419090418E-3</v>
      </c>
      <c r="D637">
        <f>LOG10(3.47545)</f>
        <v>0.54101104485823193</v>
      </c>
    </row>
    <row r="638" spans="1:4">
      <c r="A638">
        <v>1.0137860000000001</v>
      </c>
      <c r="B638">
        <v>3.7194379999999998</v>
      </c>
      <c r="C638">
        <f>LOG10(1.013786)</f>
        <v>5.94628948678273E-3</v>
      </c>
      <c r="D638">
        <f>LOG10(3.719438)</f>
        <v>0.57047732376968741</v>
      </c>
    </row>
    <row r="639" spans="1:4">
      <c r="A639">
        <v>1.0190650000000001</v>
      </c>
      <c r="B639">
        <v>3.6414029999999999</v>
      </c>
      <c r="C639">
        <f>LOG10(1.019065)</f>
        <v>8.201885911256054E-3</v>
      </c>
      <c r="D639">
        <f>LOG10(3.641403)</f>
        <v>0.56126874567136154</v>
      </c>
    </row>
    <row r="640" spans="1:4">
      <c r="A640">
        <v>1.0099100000000001</v>
      </c>
      <c r="B640">
        <v>3.5300180000000001</v>
      </c>
      <c r="C640">
        <f>LOG10(1.00991)</f>
        <v>4.2826725500162482E-3</v>
      </c>
      <c r="D640">
        <f>LOG10(3.530018)</f>
        <v>0.54777691991494537</v>
      </c>
    </row>
    <row r="641" spans="1:4">
      <c r="A641">
        <v>1.01162</v>
      </c>
      <c r="B641">
        <v>3.6478259999999998</v>
      </c>
      <c r="C641">
        <f>LOG10(1.01162)</f>
        <v>5.0174068761792319E-3</v>
      </c>
      <c r="D641">
        <f>LOG10(3.647826)</f>
        <v>0.56203411445843787</v>
      </c>
    </row>
    <row r="642" spans="1:4">
      <c r="A642">
        <v>1.009836</v>
      </c>
      <c r="B642">
        <v>3.7734610000000002</v>
      </c>
      <c r="C642">
        <f>LOG10(1.009836)</f>
        <v>4.2508489527171055E-3</v>
      </c>
      <c r="D642">
        <f>LOG10(3.773461)</f>
        <v>0.57673986576975922</v>
      </c>
    </row>
    <row r="643" spans="1:4">
      <c r="A643">
        <v>1.5234639999999999</v>
      </c>
      <c r="B643">
        <v>4.2873029999999996</v>
      </c>
      <c r="C643">
        <f>LOG10(1.523464)</f>
        <v>0.18283219614577956</v>
      </c>
      <c r="D643">
        <f>LOG10(4.287303)</f>
        <v>0.63218417783717362</v>
      </c>
    </row>
    <row r="644" spans="1:4">
      <c r="A644">
        <v>1.0148600000000001</v>
      </c>
      <c r="B644">
        <v>3.4892810000000001</v>
      </c>
      <c r="C644">
        <f>LOG10(1.01486)</f>
        <v>6.4061354304729683E-3</v>
      </c>
      <c r="D644">
        <f>LOG10(3.489281)</f>
        <v>0.54273594561186256</v>
      </c>
    </row>
    <row r="645" spans="1:4">
      <c r="A645">
        <v>1.011889</v>
      </c>
      <c r="B645">
        <v>3.7274430000000001</v>
      </c>
      <c r="C645">
        <f>LOG10(1.011889)</f>
        <v>5.1328748245008842E-3</v>
      </c>
      <c r="D645">
        <f>LOG10(3.727443)</f>
        <v>0.57141101095139235</v>
      </c>
    </row>
    <row r="646" spans="1:4">
      <c r="A646">
        <v>1.0090349999999999</v>
      </c>
      <c r="B646">
        <v>3.7177289999999998</v>
      </c>
      <c r="C646">
        <f>LOG10(1.009035)</f>
        <v>3.906230699982863E-3</v>
      </c>
      <c r="D646">
        <f>LOG10(3.717729)</f>
        <v>0.57027772914376695</v>
      </c>
    </row>
    <row r="647" spans="1:4">
      <c r="A647">
        <v>1.010448</v>
      </c>
      <c r="B647">
        <v>4.0807089999999997</v>
      </c>
      <c r="C647">
        <f>LOG10(1.010448)</f>
        <v>4.5139686240651452E-3</v>
      </c>
      <c r="D647">
        <f>LOG10(4.080709)</f>
        <v>0.61073562584402152</v>
      </c>
    </row>
    <row r="648" spans="1:4">
      <c r="A648">
        <v>1.007959</v>
      </c>
      <c r="B648">
        <v>3.581874</v>
      </c>
      <c r="C648">
        <f>LOG10(1.007959)</f>
        <v>3.4428669945309664E-3</v>
      </c>
      <c r="D648">
        <f>LOG10(3.581874)</f>
        <v>0.55411030455400268</v>
      </c>
    </row>
    <row r="649" spans="1:4">
      <c r="A649">
        <v>1.009617</v>
      </c>
      <c r="B649">
        <v>3.7342430000000002</v>
      </c>
      <c r="C649">
        <f>LOG10(1.009617)</f>
        <v>4.1566546417728615E-3</v>
      </c>
      <c r="D649">
        <f>LOG10(3.734243)</f>
        <v>0.57220257556413412</v>
      </c>
    </row>
    <row r="650" spans="1:4">
      <c r="A650">
        <v>1.009679</v>
      </c>
      <c r="B650">
        <v>3.805803</v>
      </c>
      <c r="C650">
        <f>LOG10(1.009679)</f>
        <v>4.1833235975737596E-3</v>
      </c>
      <c r="D650">
        <f>LOG10(3.805803)</f>
        <v>0.58044630412251585</v>
      </c>
    </row>
    <row r="651" spans="1:4">
      <c r="A651">
        <v>1.017504</v>
      </c>
      <c r="B651">
        <v>3.6170279999999999</v>
      </c>
      <c r="C651">
        <f>LOG10(1.017504)</f>
        <v>7.5361251940763265E-3</v>
      </c>
      <c r="D651">
        <f>LOG10(3.617028)</f>
        <v>0.55835187071860781</v>
      </c>
    </row>
    <row r="652" spans="1:4">
      <c r="A652">
        <v>1.0160039999999999</v>
      </c>
      <c r="B652">
        <v>3.7465290000000002</v>
      </c>
      <c r="C652">
        <f>LOG10(1.016004)</f>
        <v>6.8954177653295246E-3</v>
      </c>
      <c r="D652">
        <f>LOG10(3.746529)</f>
        <v>0.57362909860267219</v>
      </c>
    </row>
    <row r="653" spans="1:4">
      <c r="A653">
        <v>1.009287</v>
      </c>
      <c r="B653">
        <v>3.9418250000000001</v>
      </c>
      <c r="C653">
        <f>LOG10(1.009287)</f>
        <v>4.0146794113464432E-3</v>
      </c>
      <c r="D653">
        <f>LOG10(3.941825)</f>
        <v>0.59569733957270443</v>
      </c>
    </row>
    <row r="654" spans="1:4">
      <c r="A654">
        <v>1.008804</v>
      </c>
      <c r="B654">
        <v>3.7412830000000001</v>
      </c>
      <c r="C654">
        <f>LOG10(1.008804)</f>
        <v>3.806795585726623E-3</v>
      </c>
      <c r="D654">
        <f>LOG10(3.741283)</f>
        <v>0.57302056056116357</v>
      </c>
    </row>
    <row r="655" spans="1:4">
      <c r="A655">
        <v>1.008335</v>
      </c>
      <c r="B655">
        <v>3.5787079999999998</v>
      </c>
      <c r="C655">
        <f>LOG10(1.008335)</f>
        <v>3.6048421103508366E-3</v>
      </c>
      <c r="D655">
        <f>LOG10(3.578708)</f>
        <v>0.55372626414519122</v>
      </c>
    </row>
    <row r="656" spans="1:4">
      <c r="A656">
        <v>1.0121519999999999</v>
      </c>
      <c r="B656">
        <v>3.7313170000000002</v>
      </c>
      <c r="C656">
        <f>LOG10(1.012152)</f>
        <v>5.2457376068094797E-3</v>
      </c>
      <c r="D656">
        <f>LOG10(3.731317)</f>
        <v>0.57186214679010627</v>
      </c>
    </row>
    <row r="657" spans="1:4">
      <c r="A657">
        <v>1.030324</v>
      </c>
      <c r="B657">
        <v>3.693708</v>
      </c>
      <c r="C657">
        <f>LOG10(1.030324)</f>
        <v>1.2973816244460762E-2</v>
      </c>
      <c r="D657">
        <f>LOG10(3.693708)</f>
        <v>0.56746256002649675</v>
      </c>
    </row>
    <row r="658" spans="1:4">
      <c r="A658">
        <v>1.013074</v>
      </c>
      <c r="B658">
        <v>3.6165910000000001</v>
      </c>
      <c r="C658">
        <f>LOG10(1.013074)</f>
        <v>5.6411695635179646E-3</v>
      </c>
      <c r="D658">
        <f>LOG10(3.616591)</f>
        <v>0.55829939720878585</v>
      </c>
    </row>
    <row r="659" spans="1:4">
      <c r="A659">
        <v>1.0121150000000001</v>
      </c>
      <c r="B659">
        <v>3.4020830000000002</v>
      </c>
      <c r="C659">
        <f>LOG10(1.012115)</f>
        <v>5.229861345592811E-3</v>
      </c>
      <c r="D659">
        <f>LOG10(3.402083)</f>
        <v>0.53174490480926195</v>
      </c>
    </row>
    <row r="660" spans="1:4">
      <c r="A660">
        <v>1.004561</v>
      </c>
      <c r="B660">
        <v>3.7649520000000001</v>
      </c>
      <c r="C660">
        <f>LOG10(1.004561)</f>
        <v>1.9763135671385709E-3</v>
      </c>
      <c r="D660">
        <f>LOG10(3.764952)</f>
        <v>0.57575944367934462</v>
      </c>
    </row>
    <row r="661" spans="1:4">
      <c r="A661">
        <v>1.0073799999999999</v>
      </c>
      <c r="B661">
        <v>3.6085609999999999</v>
      </c>
      <c r="C661">
        <f>LOG10(1.00738)</f>
        <v>3.1933243499035566E-3</v>
      </c>
      <c r="D661">
        <f>LOG10(3.608561)</f>
        <v>0.557334051116259</v>
      </c>
    </row>
    <row r="662" spans="1:4">
      <c r="A662">
        <v>1.026017</v>
      </c>
      <c r="B662">
        <v>3.4620690000000001</v>
      </c>
      <c r="C662">
        <f>LOG10(1.026017)</f>
        <v>1.1154556628651032E-2</v>
      </c>
      <c r="D662">
        <f>LOG10(3.462069)</f>
        <v>0.53933571923568668</v>
      </c>
    </row>
    <row r="663" spans="1:4">
      <c r="A663">
        <v>1.007971</v>
      </c>
      <c r="B663">
        <v>3.4984869999999999</v>
      </c>
      <c r="C663">
        <f>LOG10(1.007971)</f>
        <v>3.4480373464607036E-3</v>
      </c>
      <c r="D663">
        <f>LOG10(3.498487)</f>
        <v>0.5438802644597488</v>
      </c>
    </row>
    <row r="664" spans="1:4">
      <c r="A664">
        <v>1.0059100000000001</v>
      </c>
      <c r="B664">
        <v>3.4733529999999999</v>
      </c>
      <c r="C664">
        <f>LOG10(1.00591)</f>
        <v>2.5591255987577168E-3</v>
      </c>
      <c r="D664">
        <f>LOG10(3.473353)</f>
        <v>0.54074892329392865</v>
      </c>
    </row>
    <row r="665" spans="1:4">
      <c r="A665">
        <v>1.0065679999999999</v>
      </c>
      <c r="B665">
        <v>3.5723150000000001</v>
      </c>
      <c r="C665">
        <f>LOG10(1.006568)</f>
        <v>2.8431195398346655E-3</v>
      </c>
      <c r="D665">
        <f>LOG10(3.572315)</f>
        <v>0.5529497471734286</v>
      </c>
    </row>
    <row r="666" spans="1:4">
      <c r="A666">
        <v>1.0182770000000001</v>
      </c>
      <c r="B666">
        <v>3.462996</v>
      </c>
      <c r="C666">
        <f>LOG10(1.018277)</f>
        <v>7.8659343932437967E-3</v>
      </c>
      <c r="D666">
        <f>LOG10(3.462996)</f>
        <v>0.53945198990957322</v>
      </c>
    </row>
    <row r="667" spans="1:4">
      <c r="A667">
        <v>1.00993</v>
      </c>
      <c r="B667">
        <v>3.3278720000000002</v>
      </c>
      <c r="C667">
        <f>LOG10(1.00993)</f>
        <v>4.2912731219806703E-3</v>
      </c>
      <c r="D667">
        <f>LOG10(3.327872)</f>
        <v>0.52216661366353501</v>
      </c>
    </row>
    <row r="668" spans="1:4">
      <c r="A668">
        <v>1.006974</v>
      </c>
      <c r="B668">
        <v>3.0356130000000001</v>
      </c>
      <c r="C668">
        <f>LOG10(1.006974)</f>
        <v>3.0182572444788659E-3</v>
      </c>
      <c r="D668">
        <f>LOG10(3.035613)</f>
        <v>0.48224640402268404</v>
      </c>
    </row>
    <row r="669" spans="1:4">
      <c r="A669">
        <v>1.010065</v>
      </c>
      <c r="B669">
        <v>3.295194</v>
      </c>
      <c r="C669">
        <f>LOG10(1.010065)</f>
        <v>4.3493225281863558E-3</v>
      </c>
      <c r="D669">
        <f>LOG10(3.295194)</f>
        <v>0.51788098817109007</v>
      </c>
    </row>
    <row r="670" spans="1:4">
      <c r="A670">
        <v>1.01616</v>
      </c>
      <c r="B670">
        <v>3.2174239999999998</v>
      </c>
      <c r="C670">
        <f>LOG10(1.01616)</f>
        <v>6.9620953949991859E-3</v>
      </c>
      <c r="D670">
        <f>LOG10(3.217424)</f>
        <v>0.50750829706191003</v>
      </c>
    </row>
    <row r="671" spans="1:4">
      <c r="A671">
        <v>1.006359</v>
      </c>
      <c r="B671">
        <v>3.1588660000000002</v>
      </c>
      <c r="C671">
        <f>LOG10(1.006359)</f>
        <v>2.7529349012025551E-3</v>
      </c>
      <c r="D671">
        <f>LOG10(3.158866)</f>
        <v>0.49953120339964358</v>
      </c>
    </row>
    <row r="672" spans="1:4">
      <c r="A672">
        <v>1.005973</v>
      </c>
      <c r="B672">
        <v>3.0866189999999998</v>
      </c>
      <c r="C672">
        <f>LOG10(1.005973)</f>
        <v>2.5863245485662442E-3</v>
      </c>
      <c r="D672">
        <f>LOG10(3.086619)</f>
        <v>0.48948302520304438</v>
      </c>
    </row>
    <row r="673" spans="1:4">
      <c r="A673">
        <v>1.0118849999999999</v>
      </c>
      <c r="B673">
        <v>3.0830160000000002</v>
      </c>
      <c r="C673">
        <f>LOG10(1.011885)</f>
        <v>5.1311580538262284E-3</v>
      </c>
      <c r="D673">
        <f>LOG10(3.083016)</f>
        <v>0.48897577860055286</v>
      </c>
    </row>
    <row r="674" spans="1:4">
      <c r="A674">
        <v>1.0247390000000001</v>
      </c>
      <c r="B674">
        <v>3.2646099999999998</v>
      </c>
      <c r="C674">
        <f>LOG10(1.024739)</f>
        <v>1.061326510521044E-2</v>
      </c>
      <c r="D674">
        <f>LOG10(3.26461)</f>
        <v>0.51383130660204202</v>
      </c>
    </row>
    <row r="675" spans="1:4">
      <c r="A675">
        <v>1.0044839999999999</v>
      </c>
      <c r="B675">
        <v>3.1988129999999999</v>
      </c>
      <c r="C675">
        <f>LOG10(1.004484)</f>
        <v>1.9430234465858008E-3</v>
      </c>
      <c r="D675">
        <f>LOG10(3.198813)</f>
        <v>0.50498885232484025</v>
      </c>
    </row>
    <row r="676" spans="1:4">
      <c r="A676">
        <v>1.0142990000000001</v>
      </c>
      <c r="B676">
        <v>3.3498139999999998</v>
      </c>
      <c r="C676">
        <f>LOG10(1.014299)</f>
        <v>6.1659973135927458E-3</v>
      </c>
      <c r="D676">
        <f>LOG10(3.349814)</f>
        <v>0.52502069330065648</v>
      </c>
    </row>
    <row r="677" spans="1:4">
      <c r="A677">
        <v>1.060513</v>
      </c>
      <c r="B677">
        <v>3.3408950000000002</v>
      </c>
      <c r="C677">
        <f>LOG10(1.060513)</f>
        <v>2.5515996561831681E-2</v>
      </c>
      <c r="D677">
        <f>LOG10(3.340895)</f>
        <v>0.5238628265399029</v>
      </c>
    </row>
    <row r="678" spans="1:4">
      <c r="A678">
        <v>1.0832759999999999</v>
      </c>
      <c r="B678">
        <v>3.4525329999999999</v>
      </c>
      <c r="C678">
        <f>LOG10(1.083276)</f>
        <v>3.4739121450720112E-2</v>
      </c>
      <c r="D678">
        <f>LOG10(3.452533)</f>
        <v>0.53813783834390849</v>
      </c>
    </row>
    <row r="679" spans="1:4">
      <c r="A679">
        <v>1.0394319999999999</v>
      </c>
      <c r="B679">
        <v>3.2863440000000002</v>
      </c>
      <c r="C679">
        <f>LOG10(1.039432)</f>
        <v>1.6796082901979554E-2</v>
      </c>
      <c r="D679">
        <f>LOG10(3.286344)</f>
        <v>0.51671302150999132</v>
      </c>
    </row>
    <row r="680" spans="1:4">
      <c r="A680">
        <v>1.038716</v>
      </c>
      <c r="B680">
        <v>3.3567650000000002</v>
      </c>
      <c r="C680">
        <f>LOG10(1.038716)</f>
        <v>1.6496821385141691E-2</v>
      </c>
      <c r="D680">
        <f>LOG10(3.356765)</f>
        <v>0.52592093827641939</v>
      </c>
    </row>
    <row r="681" spans="1:4">
      <c r="A681">
        <v>1.0358689999999999</v>
      </c>
      <c r="B681">
        <v>3.2638389999999999</v>
      </c>
      <c r="C681">
        <f>LOG10(1.035869)</f>
        <v>1.5304836321950331E-2</v>
      </c>
      <c r="D681">
        <f>LOG10(3.263839)</f>
        <v>0.51372872755237675</v>
      </c>
    </row>
    <row r="682" spans="1:4">
      <c r="A682">
        <v>1.025792</v>
      </c>
      <c r="B682">
        <v>3.469141</v>
      </c>
      <c r="C682">
        <f>LOG10(1.025792)</f>
        <v>1.1059307744549362E-2</v>
      </c>
      <c r="D682">
        <f>LOG10(3.469141)</f>
        <v>0.54022195169489962</v>
      </c>
    </row>
    <row r="683" spans="1:4">
      <c r="A683">
        <v>1.0256670000000001</v>
      </c>
      <c r="B683">
        <v>3.3886250000000002</v>
      </c>
      <c r="C683">
        <f>LOG10(1.025667)</f>
        <v>1.1006382669951176E-2</v>
      </c>
      <c r="D683">
        <f>LOG10(3.388625)</f>
        <v>0.53002351057777264</v>
      </c>
    </row>
    <row r="684" spans="1:4">
      <c r="A684">
        <v>1.0404119999999999</v>
      </c>
      <c r="B684">
        <v>3.324586</v>
      </c>
      <c r="C684">
        <f>LOG10(1.040412)</f>
        <v>1.7205352658521821E-2</v>
      </c>
      <c r="D684">
        <f>LOG10(3.324586)</f>
        <v>0.52173757171134261</v>
      </c>
    </row>
    <row r="685" spans="1:4">
      <c r="A685">
        <v>1.023776</v>
      </c>
      <c r="B685">
        <v>3.3892519999999999</v>
      </c>
      <c r="C685">
        <f>LOG10(1.023776)</f>
        <v>1.0204944329545274E-2</v>
      </c>
      <c r="D685">
        <f>LOG10(3.389252)</f>
        <v>0.53010386100045803</v>
      </c>
    </row>
    <row r="686" spans="1:4">
      <c r="A686">
        <v>1.0302739999999999</v>
      </c>
      <c r="B686">
        <v>3.2701690000000001</v>
      </c>
      <c r="C686">
        <f>LOG10(1.030274)</f>
        <v>1.2952740106272266E-2</v>
      </c>
      <c r="D686">
        <f>LOG10(3.270169)</f>
        <v>0.51457019726912046</v>
      </c>
    </row>
    <row r="687" spans="1:4">
      <c r="A687">
        <v>1.032702</v>
      </c>
      <c r="B687">
        <v>3.3446120000000001</v>
      </c>
      <c r="C687">
        <f>LOG10(1.032702)</f>
        <v>1.3975018105570577E-2</v>
      </c>
      <c r="D687">
        <f>LOG10(3.344612)</f>
        <v>0.52434574361876163</v>
      </c>
    </row>
    <row r="688" spans="1:4">
      <c r="A688">
        <v>1.0274719999999999</v>
      </c>
      <c r="B688">
        <v>3.2832430000000001</v>
      </c>
      <c r="C688">
        <f>LOG10(1.027472)</f>
        <v>1.1769995598050007E-2</v>
      </c>
      <c r="D688">
        <f>LOG10(3.283243)</f>
        <v>0.51630302700397346</v>
      </c>
    </row>
    <row r="689" spans="1:4">
      <c r="A689">
        <v>1.0207250000000001</v>
      </c>
      <c r="B689">
        <v>3.3489339999999999</v>
      </c>
      <c r="C689">
        <f>LOG10(1.020725)</f>
        <v>8.9087518132489416E-3</v>
      </c>
      <c r="D689">
        <f>LOG10(3.348934)</f>
        <v>0.52490658865116879</v>
      </c>
    </row>
    <row r="690" spans="1:4">
      <c r="A690">
        <v>1.0152779999999999</v>
      </c>
      <c r="B690">
        <v>3.354295</v>
      </c>
      <c r="C690">
        <f>LOG10(1.015278)</f>
        <v>6.5849755841972885E-3</v>
      </c>
      <c r="D690">
        <f>LOG10(3.354295)</f>
        <v>0.52560125482291498</v>
      </c>
    </row>
    <row r="691" spans="1:4">
      <c r="A691">
        <v>1.020607</v>
      </c>
      <c r="B691">
        <v>3.5528400000000002</v>
      </c>
      <c r="C691">
        <f>LOG10(1.020607)</f>
        <v>8.858542686147922E-3</v>
      </c>
      <c r="D691">
        <f>LOG10(3.55284)</f>
        <v>0.5505756497404577</v>
      </c>
    </row>
    <row r="692" spans="1:4">
      <c r="A692">
        <v>1.0302150000000001</v>
      </c>
      <c r="B692">
        <v>3.3432919999999999</v>
      </c>
      <c r="C692">
        <f>LOG10(1.030215)</f>
        <v>1.2927868947591766E-2</v>
      </c>
      <c r="D692">
        <f>LOG10(3.343292)</f>
        <v>0.52417430912342311</v>
      </c>
    </row>
    <row r="693" spans="1:4">
      <c r="A693">
        <v>1.014308</v>
      </c>
      <c r="B693">
        <v>3.449316</v>
      </c>
      <c r="C693">
        <f>LOG10(1.014308)</f>
        <v>6.1698508449441825E-3</v>
      </c>
      <c r="D693">
        <f>LOG10(3.449316)</f>
        <v>0.5377329829350288</v>
      </c>
    </row>
    <row r="694" spans="1:4">
      <c r="A694">
        <v>1.014826</v>
      </c>
      <c r="B694">
        <v>3.6801919999999999</v>
      </c>
      <c r="C694">
        <f>LOG10(1.014826)</f>
        <v>6.3915853844203965E-3</v>
      </c>
      <c r="D694">
        <f>LOG10(3.680192)</f>
        <v>0.56587047692497205</v>
      </c>
    </row>
    <row r="695" spans="1:4">
      <c r="A695">
        <v>1.0200309999999999</v>
      </c>
      <c r="B695">
        <v>3.6504110000000001</v>
      </c>
      <c r="C695">
        <f>LOG10(1.020031)</f>
        <v>8.6133707073649569E-3</v>
      </c>
      <c r="D695">
        <f>LOG10(3.650411)</f>
        <v>0.56234176445189987</v>
      </c>
    </row>
    <row r="696" spans="1:4">
      <c r="A696">
        <v>1.0169239999999999</v>
      </c>
      <c r="B696">
        <v>3.514694</v>
      </c>
      <c r="C696">
        <f>LOG10(1.016924)</f>
        <v>7.2884970584743145E-3</v>
      </c>
      <c r="D696">
        <f>LOG10(3.514694)</f>
        <v>0.54588751999698693</v>
      </c>
    </row>
    <row r="697" spans="1:4">
      <c r="A697">
        <v>1.0130030000000001</v>
      </c>
      <c r="B697">
        <v>3.4402400000000002</v>
      </c>
      <c r="C697">
        <f>LOG10(1.013003)</f>
        <v>5.6107315216985046E-3</v>
      </c>
      <c r="D697">
        <f>LOG10(3.44024)</f>
        <v>0.53658874112963251</v>
      </c>
    </row>
    <row r="698" spans="1:4">
      <c r="A698">
        <v>1.017452</v>
      </c>
      <c r="B698">
        <v>3.4986169999999999</v>
      </c>
      <c r="C698">
        <f>LOG10(1.017452)</f>
        <v>7.513929811902108E-3</v>
      </c>
      <c r="D698">
        <f>LOG10(3.498617)</f>
        <v>0.54389640207401146</v>
      </c>
    </row>
    <row r="699" spans="1:4">
      <c r="A699">
        <v>1.0135970000000001</v>
      </c>
      <c r="B699">
        <v>3.3812030000000002</v>
      </c>
      <c r="C699">
        <f>LOG10(1.013597)</f>
        <v>5.8653164715039268E-3</v>
      </c>
      <c r="D699">
        <f>LOG10(3.381203)</f>
        <v>0.52907124563511343</v>
      </c>
    </row>
    <row r="700" spans="1:4">
      <c r="A700">
        <v>1.009843</v>
      </c>
      <c r="B700">
        <v>3.4543599999999999</v>
      </c>
      <c r="C700">
        <f>LOG10(1.009843)</f>
        <v>4.2538593928646475E-3</v>
      </c>
      <c r="D700">
        <f>LOG10(3.45436)</f>
        <v>0.53836759607634865</v>
      </c>
    </row>
    <row r="701" spans="1:4">
      <c r="A701">
        <v>1.0282009999999999</v>
      </c>
      <c r="B701">
        <v>3.404128</v>
      </c>
      <c r="C701">
        <f>LOG10(1.028201)</f>
        <v>1.2078021914083248E-2</v>
      </c>
      <c r="D701">
        <f>LOG10(3.404128)</f>
        <v>0.5320058818028397</v>
      </c>
    </row>
    <row r="702" spans="1:4">
      <c r="A702">
        <v>1.0071159999999999</v>
      </c>
      <c r="B702">
        <v>3.4065249999999998</v>
      </c>
      <c r="C702">
        <f>LOG10(1.007116)</f>
        <v>3.0794956365391849E-3</v>
      </c>
      <c r="D702">
        <f>LOG10(3.406525)</f>
        <v>0.53231158051223049</v>
      </c>
    </row>
    <row r="703" spans="1:4">
      <c r="A703">
        <v>1.0149109999999999</v>
      </c>
      <c r="B703">
        <v>3.475028</v>
      </c>
      <c r="C703">
        <f>LOG10(1.014911)</f>
        <v>6.4279595855935619E-3</v>
      </c>
      <c r="D703">
        <f>LOG10(3.475028)</f>
        <v>0.54095830826325575</v>
      </c>
    </row>
    <row r="704" spans="1:4">
      <c r="A704">
        <v>1.017908</v>
      </c>
      <c r="B704">
        <v>3.3964850000000002</v>
      </c>
      <c r="C704">
        <f>LOG10(1.017908)</f>
        <v>7.7085276098948939E-3</v>
      </c>
      <c r="D704">
        <f>LOG10(3.396485)</f>
        <v>0.5310297009430528</v>
      </c>
    </row>
    <row r="705" spans="1:4">
      <c r="A705">
        <v>1.019301</v>
      </c>
      <c r="B705">
        <v>3.4443959999999998</v>
      </c>
      <c r="C705">
        <f>LOG10(1.019301)</f>
        <v>8.3024502830981017E-3</v>
      </c>
      <c r="D705">
        <f>LOG10(3.444396)</f>
        <v>0.53711307621024784</v>
      </c>
    </row>
    <row r="706" spans="1:4">
      <c r="A706">
        <v>1.0173369999999999</v>
      </c>
      <c r="B706">
        <v>3.504092</v>
      </c>
      <c r="C706">
        <f>LOG10(1.017337)</f>
        <v>7.4648398419129959E-3</v>
      </c>
      <c r="D706">
        <f>LOG10(3.504092)</f>
        <v>0.54457550005535238</v>
      </c>
    </row>
    <row r="707" spans="1:4">
      <c r="A707">
        <v>1.0391330000000001</v>
      </c>
      <c r="B707">
        <v>3.4172340000000001</v>
      </c>
      <c r="C707">
        <f>LOG10(1.039133)</f>
        <v>1.6671137036938365E-2</v>
      </c>
      <c r="D707">
        <f>LOG10(3.417234)</f>
        <v>0.53367471875463934</v>
      </c>
    </row>
    <row r="708" spans="1:4">
      <c r="A708">
        <v>1.0263850000000001</v>
      </c>
      <c r="B708">
        <v>3.5424250000000002</v>
      </c>
      <c r="C708">
        <f>LOG10(1.026385)</f>
        <v>1.131029646037324E-2</v>
      </c>
      <c r="D708">
        <f>LOG10(3.542425)</f>
        <v>0.54930066416129131</v>
      </c>
    </row>
    <row r="709" spans="1:4">
      <c r="A709">
        <v>1.02979</v>
      </c>
      <c r="B709">
        <v>3.4282469999999998</v>
      </c>
      <c r="C709">
        <f>LOG10(1.02979)</f>
        <v>1.274867020057156E-2</v>
      </c>
      <c r="D709">
        <f>LOG10(3.428247)</f>
        <v>0.53507210463756372</v>
      </c>
    </row>
    <row r="710" spans="1:4">
      <c r="A710">
        <v>1.0119819999999999</v>
      </c>
      <c r="B710">
        <v>3.3944670000000001</v>
      </c>
      <c r="C710">
        <f>LOG10(1.011982)</f>
        <v>5.1727878296730385E-3</v>
      </c>
      <c r="D710">
        <f>LOG10(3.394467)</f>
        <v>0.5307715909489672</v>
      </c>
    </row>
    <row r="711" spans="1:4">
      <c r="A711">
        <v>1.0329889999999999</v>
      </c>
      <c r="B711">
        <v>3.3963220000000001</v>
      </c>
      <c r="C711">
        <f>LOG10(1.032989)</f>
        <v>1.4095696868375088E-2</v>
      </c>
      <c r="D711">
        <f>LOG10(3.396322)</f>
        <v>0.53100885830743427</v>
      </c>
    </row>
    <row r="712" spans="1:4">
      <c r="A712">
        <v>1.013342</v>
      </c>
      <c r="B712">
        <v>3.317974</v>
      </c>
      <c r="C712">
        <f>LOG10(1.013342)</f>
        <v>5.7560432339080897E-3</v>
      </c>
      <c r="D712">
        <f>LOG10(3.317974)</f>
        <v>0.52087297852355263</v>
      </c>
    </row>
    <row r="713" spans="1:4">
      <c r="A713">
        <v>1.0087839999999999</v>
      </c>
      <c r="B713">
        <v>3.332017</v>
      </c>
      <c r="C713">
        <f>LOG10(1.008784)</f>
        <v>3.7981854139389174E-3</v>
      </c>
      <c r="D713">
        <f>LOG10(3.332017)</f>
        <v>0.52270720851727048</v>
      </c>
    </row>
    <row r="714" spans="1:4">
      <c r="A714">
        <v>1.0145059999999999</v>
      </c>
      <c r="B714">
        <v>3.542872</v>
      </c>
      <c r="C714">
        <f>LOG10(1.014506)</f>
        <v>6.2546198850728651E-3</v>
      </c>
      <c r="D714">
        <f>LOG10(3.542872)</f>
        <v>0.54935546204306485</v>
      </c>
    </row>
    <row r="715" spans="1:4">
      <c r="A715">
        <v>1.016543</v>
      </c>
      <c r="B715">
        <v>3.4352179999999999</v>
      </c>
      <c r="C715">
        <f>LOG10(1.016543)</f>
        <v>7.125754117928553E-3</v>
      </c>
      <c r="D715">
        <f>LOG10(3.435218)</f>
        <v>0.53595430273265832</v>
      </c>
    </row>
    <row r="716" spans="1:4">
      <c r="A716">
        <v>1.0230330000000001</v>
      </c>
      <c r="B716">
        <v>3.5168409999999999</v>
      </c>
      <c r="C716">
        <f>LOG10(1.023033)</f>
        <v>9.8896429856216179E-3</v>
      </c>
      <c r="D716">
        <f>LOG10(3.516841)</f>
        <v>0.54615273386042462</v>
      </c>
    </row>
    <row r="717" spans="1:4">
      <c r="A717">
        <v>1.0111060000000001</v>
      </c>
      <c r="B717">
        <v>3.523612</v>
      </c>
      <c r="C717">
        <f>LOG10(1.011106)</f>
        <v>4.7966875414763976E-3</v>
      </c>
      <c r="D717">
        <f>LOG10(3.523612)</f>
        <v>0.54698808034837842</v>
      </c>
    </row>
    <row r="718" spans="1:4">
      <c r="A718">
        <v>1.009755</v>
      </c>
      <c r="B718">
        <v>3.608441</v>
      </c>
      <c r="C718">
        <f>LOG10(1.009755)</f>
        <v>4.2160123416874222E-3</v>
      </c>
      <c r="D718">
        <f>LOG10(3.608441)</f>
        <v>0.5573196087376</v>
      </c>
    </row>
    <row r="719" spans="1:4">
      <c r="A719">
        <v>1.0181910000000001</v>
      </c>
      <c r="B719">
        <v>3.4807160000000001</v>
      </c>
      <c r="C719">
        <f>LOG10(1.018191)</f>
        <v>7.829253899893647E-3</v>
      </c>
      <c r="D719">
        <f>LOG10(3.480716)</f>
        <v>0.5416685895972696</v>
      </c>
    </row>
    <row r="720" spans="1:4">
      <c r="A720">
        <v>1.021849</v>
      </c>
      <c r="B720">
        <v>3.4249999999999998</v>
      </c>
      <c r="C720">
        <f>LOG10(1.021849)</f>
        <v>9.386724260692144E-3</v>
      </c>
      <c r="D720">
        <f>LOG10(3.425)</f>
        <v>0.5346605758284444</v>
      </c>
    </row>
    <row r="721" spans="1:4">
      <c r="A721">
        <v>1.0239819999999999</v>
      </c>
      <c r="B721">
        <v>3.3708610000000001</v>
      </c>
      <c r="C721">
        <f>LOG10(1.023982)</f>
        <v>1.0292322490025008E-2</v>
      </c>
      <c r="D721">
        <f>LOG10(3.370861)</f>
        <v>0.52774084442912816</v>
      </c>
    </row>
    <row r="722" spans="1:4">
      <c r="A722">
        <v>1.0389299999999999</v>
      </c>
      <c r="B722">
        <v>3.1593010000000001</v>
      </c>
      <c r="C722">
        <f>LOG10(1.03893)</f>
        <v>1.658628707800365E-2</v>
      </c>
      <c r="D722">
        <f>LOG10(3.159301)</f>
        <v>0.49959100495282388</v>
      </c>
    </row>
    <row r="723" spans="1:4">
      <c r="A723">
        <v>1.015727</v>
      </c>
      <c r="B723">
        <v>3.4483570000000001</v>
      </c>
      <c r="C723">
        <f>LOG10(1.015727)</f>
        <v>6.776996997784503E-3</v>
      </c>
      <c r="D723">
        <f>LOG10(3.448357)</f>
        <v>0.53761222092997907</v>
      </c>
    </row>
    <row r="724" spans="1:4">
      <c r="A724">
        <v>1.0075590000000001</v>
      </c>
      <c r="B724">
        <v>3.503136</v>
      </c>
      <c r="C724">
        <f>LOG10(1.007559)</f>
        <v>3.2704866982081458E-3</v>
      </c>
      <c r="D724">
        <f>LOG10(3.503136)</f>
        <v>0.54445699798084435</v>
      </c>
    </row>
    <row r="725" spans="1:4">
      <c r="A725">
        <v>1.0064660000000001</v>
      </c>
      <c r="B725">
        <v>3.2571620000000001</v>
      </c>
      <c r="C725">
        <f>LOG10(1.006466)</f>
        <v>2.7991083237380015E-3</v>
      </c>
      <c r="D725">
        <f>LOG10(3.257162)</f>
        <v>0.51283935941117775</v>
      </c>
    </row>
    <row r="726" spans="1:4">
      <c r="A726">
        <v>1.009199</v>
      </c>
      <c r="B726">
        <v>3.4194749999999998</v>
      </c>
      <c r="C726">
        <f>LOG10(1.009199)</f>
        <v>3.9768115099275197E-3</v>
      </c>
      <c r="D726">
        <f>LOG10(3.419475)</f>
        <v>0.53395943292597603</v>
      </c>
    </row>
    <row r="727" spans="1:4">
      <c r="A727">
        <v>1.0101549999999999</v>
      </c>
      <c r="B727">
        <v>3.3176960000000002</v>
      </c>
      <c r="C727">
        <f>LOG10(1.010155)</f>
        <v>4.388017822161386E-3</v>
      </c>
      <c r="D727">
        <f>LOG10(3.317696)</f>
        <v>0.52083658917144815</v>
      </c>
    </row>
    <row r="728" spans="1:4">
      <c r="A728">
        <v>1.008292</v>
      </c>
      <c r="B728">
        <v>3.3346239999999998</v>
      </c>
      <c r="C728">
        <f>LOG10(1.008292)</f>
        <v>3.5863214193904594E-3</v>
      </c>
      <c r="D728">
        <f>LOG10(3.334624)</f>
        <v>0.52304687155658347</v>
      </c>
    </row>
    <row r="729" spans="1:4">
      <c r="A729">
        <v>1.016049</v>
      </c>
      <c r="B729">
        <v>3.373256</v>
      </c>
      <c r="C729">
        <f>LOG10(1.016049)</f>
        <v>6.9146527475754333E-3</v>
      </c>
      <c r="D729">
        <f>LOG10(3.373256)</f>
        <v>0.52804930151191098</v>
      </c>
    </row>
    <row r="730" spans="1:4">
      <c r="A730">
        <v>1.014513</v>
      </c>
      <c r="B730">
        <v>3.3807879999999999</v>
      </c>
      <c r="C730">
        <f>LOG10(1.014513)</f>
        <v>6.2576164675330337E-3</v>
      </c>
      <c r="D730">
        <f>LOG10(3.380788)</f>
        <v>0.52901793819645637</v>
      </c>
    </row>
    <row r="731" spans="1:4">
      <c r="A731">
        <v>1.0139560000000001</v>
      </c>
      <c r="B731">
        <v>3.2864939999999998</v>
      </c>
      <c r="C731">
        <f>LOG10(1.013956)</f>
        <v>6.0191094629892987E-3</v>
      </c>
      <c r="D731">
        <f>LOG10(3.286494)</f>
        <v>0.51673284374577344</v>
      </c>
    </row>
    <row r="732" spans="1:4">
      <c r="A732">
        <v>1.0096849999999999</v>
      </c>
      <c r="B732">
        <v>3.3421069999999999</v>
      </c>
      <c r="C732">
        <f>LOG10(1.009685)</f>
        <v>4.1859043773553204E-3</v>
      </c>
      <c r="D732">
        <f>LOG10(3.342107)</f>
        <v>0.52402035003543301</v>
      </c>
    </row>
    <row r="733" spans="1:4">
      <c r="A733">
        <v>1.006894</v>
      </c>
      <c r="B733">
        <v>3.4549829999999999</v>
      </c>
      <c r="C733">
        <f>LOG10(1.006894)</f>
        <v>2.9837529387641217E-3</v>
      </c>
      <c r="D733">
        <f>LOG10(3.454983)</f>
        <v>0.5384459148001286</v>
      </c>
    </row>
    <row r="734" spans="1:4">
      <c r="A734">
        <v>1.006812</v>
      </c>
      <c r="B734">
        <v>3.4543720000000002</v>
      </c>
      <c r="C734">
        <f>LOG10(1.006812)</f>
        <v>2.9483831801839578E-3</v>
      </c>
      <c r="D734">
        <f>LOG10(3.454372)</f>
        <v>0.53836910475660515</v>
      </c>
    </row>
    <row r="735" spans="1:4">
      <c r="A735">
        <v>1.006885</v>
      </c>
      <c r="B735">
        <v>3.3780399999999999</v>
      </c>
      <c r="C735">
        <f>LOG10(1.006885)</f>
        <v>2.9798710328180142E-3</v>
      </c>
      <c r="D735">
        <f>LOG10(3.37804)</f>
        <v>0.52866478782718185</v>
      </c>
    </row>
    <row r="736" spans="1:4">
      <c r="A736">
        <v>1.012059</v>
      </c>
      <c r="B736">
        <v>3.8357839999999999</v>
      </c>
      <c r="C736">
        <f>LOG10(1.012059)</f>
        <v>5.2058313056922772E-3</v>
      </c>
      <c r="D736">
        <f>LOG10(3.835784)</f>
        <v>0.58385414327201479</v>
      </c>
    </row>
    <row r="737" spans="1:4">
      <c r="A737">
        <v>1.0119119999999999</v>
      </c>
      <c r="B737">
        <v>3.7996979999999998</v>
      </c>
      <c r="C737">
        <f>LOG10(1.011912)</f>
        <v>5.1427461241831699E-3</v>
      </c>
      <c r="D737">
        <f>LOG10(3.799698)</f>
        <v>0.57974908026271188</v>
      </c>
    </row>
    <row r="738" spans="1:4">
      <c r="A738">
        <v>1.010634</v>
      </c>
      <c r="B738">
        <v>3.7907920000000002</v>
      </c>
      <c r="C738">
        <f>LOG10(1.010634)</f>
        <v>4.5939047907937241E-3</v>
      </c>
      <c r="D738">
        <f>LOG10(3.790792)</f>
        <v>0.57872995542868355</v>
      </c>
    </row>
    <row r="739" spans="1:4">
      <c r="A739">
        <v>1.004634</v>
      </c>
      <c r="B739">
        <v>3.8955169999999999</v>
      </c>
      <c r="C739">
        <f>LOG10(1.004634)</f>
        <v>2.0078719745533647E-3</v>
      </c>
      <c r="D739">
        <f>LOG10(3.895517)</f>
        <v>0.59056510394620398</v>
      </c>
    </row>
    <row r="740" spans="1:4">
      <c r="A740">
        <v>1.0102370000000001</v>
      </c>
      <c r="B740">
        <v>3.7539410000000002</v>
      </c>
      <c r="C740">
        <f>LOG10(1.010237)</f>
        <v>4.4232705330567767E-3</v>
      </c>
      <c r="D740">
        <f>LOG10(3.753941)</f>
        <v>0.57448744261250118</v>
      </c>
    </row>
    <row r="741" spans="1:4">
      <c r="A741">
        <v>1.0082949999999999</v>
      </c>
      <c r="B741">
        <v>3.5557050000000001</v>
      </c>
      <c r="C741">
        <f>LOG10(1.008295)</f>
        <v>3.5876135862503069E-3</v>
      </c>
      <c r="D741">
        <f>LOG10(3.555705)</f>
        <v>0.5509257224369164</v>
      </c>
    </row>
    <row r="742" spans="1:4">
      <c r="A742">
        <v>1.012635</v>
      </c>
      <c r="B742">
        <v>3.8499509999999999</v>
      </c>
      <c r="C742">
        <f>LOG10(1.012635)</f>
        <v>5.4529339575742934E-3</v>
      </c>
      <c r="D742">
        <f>LOG10(3.849951)</f>
        <v>0.58545520208901092</v>
      </c>
    </row>
    <row r="743" spans="1:4">
      <c r="A743">
        <v>1.0087900000000001</v>
      </c>
      <c r="B743">
        <v>3.7683270000000002</v>
      </c>
      <c r="C743">
        <f>LOG10(1.00879)</f>
        <v>3.8007684833990733E-3</v>
      </c>
      <c r="D743">
        <f>LOG10(3.768327)</f>
        <v>0.57614858205441044</v>
      </c>
    </row>
    <row r="744" spans="1:4">
      <c r="A744">
        <v>1.0130110000000001</v>
      </c>
      <c r="B744">
        <v>3.9590540000000001</v>
      </c>
      <c r="C744">
        <f>LOG10(1.013011)</f>
        <v>5.6141612668584567E-3</v>
      </c>
      <c r="D744">
        <f>LOG10(3.959054)</f>
        <v>0.59759142540516863</v>
      </c>
    </row>
    <row r="745" spans="1:4">
      <c r="A745">
        <v>1.0090209999999999</v>
      </c>
      <c r="B745">
        <v>3.9442550000000001</v>
      </c>
      <c r="C745">
        <f>LOG10(1.009021)</f>
        <v>3.9002049774590829E-3</v>
      </c>
      <c r="D745">
        <f>LOG10(3.944255)</f>
        <v>0.59596498474607984</v>
      </c>
    </row>
    <row r="746" spans="1:4">
      <c r="A746">
        <v>1.0079739999999999</v>
      </c>
      <c r="B746">
        <v>3.8841559999999999</v>
      </c>
      <c r="C746">
        <f>LOG10(1.007974)</f>
        <v>3.4493299248253913E-3</v>
      </c>
      <c r="D746">
        <f>LOG10(3.884156)</f>
        <v>0.58929666422737625</v>
      </c>
    </row>
    <row r="747" spans="1:4">
      <c r="A747">
        <v>1.00857</v>
      </c>
      <c r="B747">
        <v>4.0615160000000001</v>
      </c>
      <c r="C747">
        <f>LOG10(1.00857)</f>
        <v>3.7060458891198934E-3</v>
      </c>
      <c r="D747">
        <f>LOG10(4.061516)</f>
        <v>0.60868816844024487</v>
      </c>
    </row>
    <row r="748" spans="1:4">
      <c r="A748">
        <v>1.00745</v>
      </c>
      <c r="B748">
        <v>3.8384390000000002</v>
      </c>
      <c r="C748">
        <f>LOG10(1.00745)</f>
        <v>3.2235012022885871E-3</v>
      </c>
      <c r="D748">
        <f>LOG10(3.838439)</f>
        <v>0.58415464324327093</v>
      </c>
    </row>
    <row r="749" spans="1:4">
      <c r="A749">
        <v>1.004731</v>
      </c>
      <c r="B749">
        <v>3.954542</v>
      </c>
      <c r="C749">
        <f>LOG10(1.004731)</f>
        <v>2.0498022010451617E-3</v>
      </c>
      <c r="D749">
        <f>LOG10(3.954542)</f>
        <v>0.59709619241256129</v>
      </c>
    </row>
    <row r="750" spans="1:4">
      <c r="A750">
        <v>1.0097940000000001</v>
      </c>
      <c r="B750">
        <v>4.017957</v>
      </c>
      <c r="C750">
        <f>LOG10(1.009794)</f>
        <v>4.2327858735961652E-3</v>
      </c>
      <c r="D750">
        <f>LOG10(4.017957)</f>
        <v>0.60400528463655856</v>
      </c>
    </row>
    <row r="751" spans="1:4">
      <c r="A751">
        <v>1.013463</v>
      </c>
      <c r="B751">
        <v>3.8996590000000002</v>
      </c>
      <c r="C751">
        <f>LOG10(1.013463)</f>
        <v>5.8078978843285689E-3</v>
      </c>
      <c r="D751">
        <f>LOG10(3.899659)</f>
        <v>0.59102663243852727</v>
      </c>
    </row>
    <row r="752" spans="1:4">
      <c r="A752">
        <v>1.008615</v>
      </c>
      <c r="B752">
        <v>3.9584630000000001</v>
      </c>
      <c r="C752">
        <f>LOG10(1.008615)</f>
        <v>3.7254226460251053E-3</v>
      </c>
      <c r="D752">
        <f>LOG10(3.958463)</f>
        <v>0.59752658991715357</v>
      </c>
    </row>
    <row r="753" spans="1:4">
      <c r="A753">
        <v>1.006416</v>
      </c>
      <c r="B753">
        <v>3.919915</v>
      </c>
      <c r="C753">
        <f>LOG10(1.006416)</f>
        <v>2.7775325690741169E-3</v>
      </c>
      <c r="D753">
        <f>LOG10(3.919915)</f>
        <v>0.59327664981862194</v>
      </c>
    </row>
    <row r="754" spans="1:4">
      <c r="A754">
        <v>1.011468</v>
      </c>
      <c r="B754">
        <v>3.9563009999999998</v>
      </c>
      <c r="C754">
        <f>LOG10(1.011468)</f>
        <v>4.9521474693976428E-3</v>
      </c>
      <c r="D754">
        <f>LOG10(3.956301)</f>
        <v>0.59728932581345351</v>
      </c>
    </row>
    <row r="755" spans="1:4">
      <c r="A755">
        <v>1.007414</v>
      </c>
      <c r="B755">
        <v>3.9674019999999999</v>
      </c>
      <c r="C755">
        <f>LOG10(1.007414)</f>
        <v>3.2079819400950612E-3</v>
      </c>
      <c r="D755">
        <f>LOG10(3.967402)</f>
        <v>0.59850620791967057</v>
      </c>
    </row>
    <row r="756" spans="1:4">
      <c r="A756">
        <v>1.0055270000000001</v>
      </c>
      <c r="B756">
        <v>4.0548789999999997</v>
      </c>
      <c r="C756">
        <f>LOG10(1.005527)</f>
        <v>2.393736587240887E-3</v>
      </c>
      <c r="D756">
        <f>LOG10(4.054879)</f>
        <v>0.60797789913500255</v>
      </c>
    </row>
    <row r="757" spans="1:4">
      <c r="A757">
        <v>1.0085919999999999</v>
      </c>
      <c r="B757">
        <v>4.142741</v>
      </c>
      <c r="C757">
        <f>LOG10(1.008592)</f>
        <v>3.715519078285896E-3</v>
      </c>
      <c r="D757">
        <f>LOG10(4.142741)</f>
        <v>0.61728778249286798</v>
      </c>
    </row>
    <row r="758" spans="1:4">
      <c r="A758">
        <v>1.0118670000000001</v>
      </c>
      <c r="B758">
        <v>4.1607279999999998</v>
      </c>
      <c r="C758">
        <f>LOG10(1.011867)</f>
        <v>5.1234325018076014E-3</v>
      </c>
      <c r="D758">
        <f>LOG10(4.160728)</f>
        <v>0.61916932551171733</v>
      </c>
    </row>
    <row r="759" spans="1:4">
      <c r="A759">
        <v>1.0105329999999999</v>
      </c>
      <c r="B759">
        <v>4.0293060000000001</v>
      </c>
      <c r="C759">
        <f>LOG10(1.010533)</f>
        <v>4.5505004182616222E-3</v>
      </c>
      <c r="D759">
        <f>LOG10(4.029306)</f>
        <v>0.60523025052690005</v>
      </c>
    </row>
    <row r="760" spans="1:4">
      <c r="A760">
        <v>1.014743</v>
      </c>
      <c r="B760">
        <v>4.0717800000000004</v>
      </c>
      <c r="C760">
        <f>LOG10(1.014743)</f>
        <v>6.3560641067322877E-3</v>
      </c>
      <c r="D760">
        <f>LOG10(4.07178)</f>
        <v>0.60978430484757884</v>
      </c>
    </row>
    <row r="761" spans="1:4">
      <c r="A761">
        <v>1.0129109999999999</v>
      </c>
      <c r="B761">
        <v>3.9319630000000001</v>
      </c>
      <c r="C761">
        <f>LOG10(1.012911)</f>
        <v>5.571287505454328E-3</v>
      </c>
      <c r="D761">
        <f>LOG10(3.931963)</f>
        <v>0.59460942244304948</v>
      </c>
    </row>
    <row r="762" spans="1:4">
      <c r="A762">
        <v>1.007771</v>
      </c>
      <c r="B762">
        <v>4.100841</v>
      </c>
      <c r="C762">
        <f>LOG10(1.007771)</f>
        <v>3.3618567770568159E-3</v>
      </c>
      <c r="D762">
        <f>LOG10(4.100841)</f>
        <v>0.61287293091604311</v>
      </c>
    </row>
    <row r="763" spans="1:4">
      <c r="A763">
        <v>1.0094449999999999</v>
      </c>
      <c r="B763">
        <v>4.0020579999999999</v>
      </c>
      <c r="C763">
        <f>LOG10(1.009445)</f>
        <v>4.0826612219887412E-3</v>
      </c>
      <c r="D763">
        <f>LOG10(4.002058)</f>
        <v>0.60228337837750956</v>
      </c>
    </row>
    <row r="764" spans="1:4">
      <c r="A764">
        <v>1.004896</v>
      </c>
      <c r="B764">
        <v>3.9417019999999998</v>
      </c>
      <c r="C764">
        <f>LOG10(1.004896)</f>
        <v>2.1211175144590891E-3</v>
      </c>
      <c r="D764">
        <f>LOG10(3.941702)</f>
        <v>0.59568378771418262</v>
      </c>
    </row>
    <row r="765" spans="1:4">
      <c r="A765">
        <v>1.014052</v>
      </c>
      <c r="B765">
        <v>3.8881320000000001</v>
      </c>
      <c r="C765">
        <f>LOG10(1.014052)</f>
        <v>6.060225938164741E-3</v>
      </c>
      <c r="D765">
        <f>LOG10(3.888132)</f>
        <v>0.5897410005696927</v>
      </c>
    </row>
    <row r="766" spans="1:4">
      <c r="A766">
        <v>1.0062530000000001</v>
      </c>
      <c r="B766">
        <v>4.3384660000000004</v>
      </c>
      <c r="C766">
        <f>LOG10(1.006253)</f>
        <v>2.7071881649967846E-3</v>
      </c>
      <c r="D766">
        <f>LOG10(4.338466)</f>
        <v>0.63733619829116861</v>
      </c>
    </row>
    <row r="767" spans="1:4">
      <c r="A767">
        <v>1.0077370000000001</v>
      </c>
      <c r="B767">
        <v>4.1763269999999997</v>
      </c>
      <c r="C767">
        <f>LOG10(1.007737)</f>
        <v>3.347204379362484E-3</v>
      </c>
      <c r="D767">
        <f>LOG10(4.176327)</f>
        <v>0.62079449591750224</v>
      </c>
    </row>
    <row r="768" spans="1:4">
      <c r="A768">
        <v>1.0046600000000001</v>
      </c>
      <c r="B768">
        <v>4.2389060000000001</v>
      </c>
      <c r="C768">
        <f>LOG10(1.00466)</f>
        <v>2.0191114014666486E-3</v>
      </c>
      <c r="D768">
        <f>LOG10(4.238906)</f>
        <v>0.62725378596337578</v>
      </c>
    </row>
    <row r="769" spans="1:4">
      <c r="A769">
        <v>1.084865</v>
      </c>
      <c r="B769">
        <v>4.016235</v>
      </c>
      <c r="C769">
        <f>LOG10(1.084865)</f>
        <v>3.5375698181937462E-2</v>
      </c>
      <c r="D769">
        <f>LOG10(4.016235)</f>
        <v>0.60381911654167375</v>
      </c>
    </row>
    <row r="770" spans="1:4">
      <c r="A770">
        <v>1.1017250000000001</v>
      </c>
      <c r="B770">
        <v>3.9307280000000002</v>
      </c>
      <c r="C770">
        <f>LOG10(1.101725)</f>
        <v>4.2073204418868221E-2</v>
      </c>
      <c r="D770">
        <f>LOG10(3.930728)</f>
        <v>0.59447299238632689</v>
      </c>
    </row>
    <row r="771" spans="1:4">
      <c r="A771">
        <v>1.0674699999999999</v>
      </c>
      <c r="B771">
        <v>4.2698090000000004</v>
      </c>
      <c r="C771">
        <f>LOG10(1.06747)</f>
        <v>2.8355678528409933E-2</v>
      </c>
      <c r="D771">
        <f>LOG10(4.269809)</f>
        <v>0.63040844830340581</v>
      </c>
    </row>
    <row r="772" spans="1:4">
      <c r="A772">
        <v>1.08588</v>
      </c>
      <c r="B772">
        <v>4.541614</v>
      </c>
      <c r="C772">
        <f>LOG10(1.08588)</f>
        <v>3.5781834260801476E-2</v>
      </c>
      <c r="D772">
        <f>LOG10(4.541614)</f>
        <v>0.65721021997756768</v>
      </c>
    </row>
    <row r="773" spans="1:4">
      <c r="A773">
        <v>1.1132379999999999</v>
      </c>
      <c r="B773">
        <v>4.1490960000000001</v>
      </c>
      <c r="C773">
        <f>LOG10(1.113238)</f>
        <v>4.6588022409259848E-2</v>
      </c>
      <c r="D773">
        <f>LOG10(4.149096)</f>
        <v>0.61795348346429002</v>
      </c>
    </row>
    <row r="774" spans="1:4">
      <c r="A774">
        <v>1.117491</v>
      </c>
      <c r="B774">
        <v>4.1388239999999996</v>
      </c>
      <c r="C774">
        <f>LOG10(1.117491)</f>
        <v>4.8244034116209665E-2</v>
      </c>
      <c r="D774">
        <f>LOG10(4.138824)</f>
        <v>0.61687695878684923</v>
      </c>
    </row>
    <row r="775" spans="1:4">
      <c r="A775">
        <v>1.087988</v>
      </c>
      <c r="B775">
        <v>4.0798480000000001</v>
      </c>
      <c r="C775">
        <f>LOG10(1.087988)</f>
        <v>3.6624105323077326E-2</v>
      </c>
      <c r="D775">
        <f>LOG10(4.079848)</f>
        <v>0.61064398319014235</v>
      </c>
    </row>
    <row r="776" spans="1:4">
      <c r="A776">
        <v>1.0836669999999999</v>
      </c>
      <c r="B776">
        <v>4.0811010000000003</v>
      </c>
      <c r="C776">
        <f>LOG10(1.083667)</f>
        <v>3.4895848364411029E-2</v>
      </c>
      <c r="D776">
        <f>LOG10(4.081101)</f>
        <v>0.61077734292320796</v>
      </c>
    </row>
    <row r="777" spans="1:4">
      <c r="A777">
        <v>1.0814520000000001</v>
      </c>
      <c r="B777">
        <v>3.8225189999999998</v>
      </c>
      <c r="C777">
        <f>LOG10(1.081452)</f>
        <v>3.4007248141499601E-2</v>
      </c>
      <c r="D777">
        <f>LOG10(3.822519)</f>
        <v>0.58234965276968109</v>
      </c>
    </row>
    <row r="778" spans="1:4">
      <c r="A778">
        <v>1.0562549999999999</v>
      </c>
      <c r="B778">
        <v>4.0040279999999999</v>
      </c>
      <c r="C778">
        <f>LOG10(1.056255)</f>
        <v>2.3768777784749874E-2</v>
      </c>
      <c r="D778">
        <f>LOG10(4.004028)</f>
        <v>0.60249710582101113</v>
      </c>
    </row>
    <row r="779" spans="1:4">
      <c r="A779">
        <v>1.0595060000000001</v>
      </c>
      <c r="B779">
        <v>4.0221400000000003</v>
      </c>
      <c r="C779">
        <f>LOG10(1.059506)</f>
        <v>2.5103420470610625E-2</v>
      </c>
      <c r="D779">
        <f>LOG10(4.02214)</f>
        <v>0.604457183160099</v>
      </c>
    </row>
    <row r="780" spans="1:4">
      <c r="A780">
        <v>1.077429</v>
      </c>
      <c r="B780">
        <v>4.0866300000000004</v>
      </c>
      <c r="C780">
        <f>LOG10(1.077429)</f>
        <v>3.2388660805700756E-2</v>
      </c>
      <c r="D780">
        <f>LOG10(4.08663)</f>
        <v>0.61136531883897172</v>
      </c>
    </row>
    <row r="781" spans="1:4">
      <c r="A781">
        <v>1.091343</v>
      </c>
      <c r="B781">
        <v>4.2568770000000002</v>
      </c>
      <c r="C781">
        <f>LOG10(1.091343)</f>
        <v>3.7961267174890727E-2</v>
      </c>
      <c r="D781">
        <f>LOG10(4.256877)</f>
        <v>0.62909110167043902</v>
      </c>
    </row>
    <row r="782" spans="1:4">
      <c r="A782">
        <v>1.079321</v>
      </c>
      <c r="B782">
        <v>4.145289</v>
      </c>
      <c r="C782">
        <f>LOG10(1.079321)</f>
        <v>3.3150627070256039E-2</v>
      </c>
      <c r="D782">
        <f>LOG10(4.145289)</f>
        <v>0.61755481395263634</v>
      </c>
    </row>
    <row r="783" spans="1:4">
      <c r="A783">
        <v>1.0583910000000001</v>
      </c>
      <c r="B783">
        <v>3.9700470000000001</v>
      </c>
      <c r="C783">
        <f>LOG10(1.058391)</f>
        <v>2.4646138183454763E-2</v>
      </c>
      <c r="D783">
        <f>LOG10(3.970047)</f>
        <v>0.5987956482542548</v>
      </c>
    </row>
    <row r="784" spans="1:4">
      <c r="A784">
        <v>1.0773330000000001</v>
      </c>
      <c r="B784">
        <v>4.1275180000000002</v>
      </c>
      <c r="C784">
        <f>LOG10(1.077333)</f>
        <v>3.2349963009572699E-2</v>
      </c>
      <c r="D784">
        <f>LOG10(4.127518)</f>
        <v>0.61568897588604354</v>
      </c>
    </row>
    <row r="785" spans="1:4">
      <c r="A785">
        <v>1.089547</v>
      </c>
      <c r="B785">
        <v>4.0584340000000001</v>
      </c>
      <c r="C785">
        <f>LOG10(1.089547)</f>
        <v>3.7245969231552427E-2</v>
      </c>
      <c r="D785">
        <f>LOG10(4.058434)</f>
        <v>0.60835848767681588</v>
      </c>
    </row>
    <row r="786" spans="1:4">
      <c r="A786">
        <v>1.0837840000000001</v>
      </c>
      <c r="B786">
        <v>4.3763949999999996</v>
      </c>
      <c r="C786">
        <f>LOG10(1.083784)</f>
        <v>3.4942735195469352E-2</v>
      </c>
      <c r="D786">
        <f>LOG10(4.376395)</f>
        <v>0.64111651318334884</v>
      </c>
    </row>
    <row r="787" spans="1:4">
      <c r="A787">
        <v>1.0962959999999999</v>
      </c>
      <c r="B787">
        <v>4.359019</v>
      </c>
      <c r="C787">
        <f>LOG10(1.096296)</f>
        <v>3.992782952304838E-2</v>
      </c>
      <c r="D787">
        <f>LOG10(4.359019)</f>
        <v>0.63938876201542949</v>
      </c>
    </row>
    <row r="788" spans="1:4">
      <c r="A788">
        <v>1.104301</v>
      </c>
      <c r="B788">
        <v>5.0790920000000002</v>
      </c>
      <c r="C788">
        <f>LOG10(1.104301)</f>
        <v>4.3087465441965497E-2</v>
      </c>
      <c r="D788">
        <f>LOG10(5.079092)</f>
        <v>0.70578607948157468</v>
      </c>
    </row>
    <row r="789" spans="1:4">
      <c r="A789">
        <v>1.1062689999999999</v>
      </c>
      <c r="B789">
        <v>3.8452459999999999</v>
      </c>
      <c r="C789">
        <f>LOG10(1.106269)</f>
        <v>4.3860742710894997E-2</v>
      </c>
      <c r="D789">
        <f>LOG10(3.845246)</f>
        <v>0.58492412905943658</v>
      </c>
    </row>
    <row r="790" spans="1:4">
      <c r="A790">
        <v>1.0987</v>
      </c>
      <c r="B790">
        <v>4.1625189999999996</v>
      </c>
      <c r="C790">
        <f>LOG10(1.0987)</f>
        <v>4.0879124515786847E-2</v>
      </c>
      <c r="D790">
        <f>LOG10(4.162519)</f>
        <v>0.61935622887505459</v>
      </c>
    </row>
    <row r="791" spans="1:4">
      <c r="A791">
        <v>1.0723510000000001</v>
      </c>
      <c r="B791">
        <v>4.3704150000000004</v>
      </c>
      <c r="C791">
        <f>LOG10(1.072351)</f>
        <v>3.0336961114833253E-2</v>
      </c>
      <c r="D791">
        <f>LOG10(4.370415)</f>
        <v>0.6405226780808555</v>
      </c>
    </row>
    <row r="792" spans="1:4">
      <c r="A792">
        <v>1.1043609999999999</v>
      </c>
      <c r="B792">
        <v>4.3858249999999996</v>
      </c>
      <c r="C792">
        <f>LOG10(1.104361)</f>
        <v>4.3111061328452958E-2</v>
      </c>
      <c r="D792">
        <f>LOG10(4.385825)</f>
        <v>0.64205129878459755</v>
      </c>
    </row>
    <row r="793" spans="1:4">
      <c r="A793">
        <v>1.091008</v>
      </c>
      <c r="B793">
        <v>4.6816110000000002</v>
      </c>
      <c r="C793">
        <f>LOG10(1.091008)</f>
        <v>3.782793513748673E-2</v>
      </c>
      <c r="D793">
        <f>LOG10(4.681611)</f>
        <v>0.67039532487278186</v>
      </c>
    </row>
    <row r="794" spans="1:4">
      <c r="A794">
        <v>1.1087899999999999</v>
      </c>
      <c r="B794">
        <v>4.4762690000000003</v>
      </c>
      <c r="C794">
        <f>LOG10(1.10879)</f>
        <v>4.484930045279361E-2</v>
      </c>
      <c r="D794">
        <f>LOG10(4.476269)</f>
        <v>0.65091617743300456</v>
      </c>
    </row>
    <row r="795" spans="1:4">
      <c r="A795">
        <v>1.0877190000000001</v>
      </c>
      <c r="B795">
        <v>4.3709150000000001</v>
      </c>
      <c r="C795">
        <f>LOG10(1.087719)</f>
        <v>3.6516714745001157E-2</v>
      </c>
      <c r="D795">
        <f>LOG10(4.370915)</f>
        <v>0.64057236096462455</v>
      </c>
    </row>
    <row r="796" spans="1:4">
      <c r="A796">
        <v>1.094519</v>
      </c>
      <c r="B796">
        <v>4.1798000000000002</v>
      </c>
      <c r="C796">
        <f>LOG10(1.094519)</f>
        <v>3.9223304984384588E-2</v>
      </c>
      <c r="D796">
        <f>LOG10(4.1798)</f>
        <v>0.62115550163761635</v>
      </c>
    </row>
    <row r="797" spans="1:4">
      <c r="A797">
        <v>1.0666850000000001</v>
      </c>
      <c r="B797">
        <v>4.1270300000000004</v>
      </c>
      <c r="C797">
        <f>LOG10(1.066685)</f>
        <v>2.8036187972504529E-2</v>
      </c>
      <c r="D797">
        <f>LOG10(4.12703)</f>
        <v>0.61563762584061021</v>
      </c>
    </row>
    <row r="798" spans="1:4">
      <c r="A798">
        <v>1.085942</v>
      </c>
      <c r="B798">
        <v>4.1280859999999997</v>
      </c>
      <c r="C798">
        <f>LOG10(1.085942)</f>
        <v>3.5806630268840178E-2</v>
      </c>
      <c r="D798">
        <f>LOG10(4.128086)</f>
        <v>0.61574873632661464</v>
      </c>
    </row>
    <row r="799" spans="1:4">
      <c r="A799">
        <v>1.086876</v>
      </c>
      <c r="B799">
        <v>4.1783859999999997</v>
      </c>
      <c r="C799">
        <f>LOG10(1.086876)</f>
        <v>3.6179998927495759E-2</v>
      </c>
      <c r="D799">
        <f>LOG10(4.178386)</f>
        <v>0.62100855769469143</v>
      </c>
    </row>
    <row r="800" spans="1:4">
      <c r="A800">
        <v>1.10605</v>
      </c>
      <c r="B800">
        <v>3.823156</v>
      </c>
      <c r="C800">
        <f>LOG10(1.10605)</f>
        <v>4.3774760090985777E-2</v>
      </c>
      <c r="D800">
        <f>LOG10(3.823156)</f>
        <v>0.58242201932609705</v>
      </c>
    </row>
    <row r="801" spans="1:4">
      <c r="A801">
        <v>1.0852219999999999</v>
      </c>
      <c r="B801">
        <v>4.2315509999999996</v>
      </c>
      <c r="C801">
        <f>LOG10(1.085222)</f>
        <v>3.551858934845576E-2</v>
      </c>
      <c r="D801">
        <f>LOG10(4.231551)</f>
        <v>0.62649957949796775</v>
      </c>
    </row>
    <row r="802" spans="1:4">
      <c r="A802">
        <v>1.082892</v>
      </c>
      <c r="B802">
        <v>4.2516299999999996</v>
      </c>
      <c r="C802">
        <f>LOG10(1.082892)</f>
        <v>3.4585145320708277E-2</v>
      </c>
      <c r="D802">
        <f>LOG10(4.25163)</f>
        <v>0.62855546282442099</v>
      </c>
    </row>
    <row r="803" spans="1:4">
      <c r="A803">
        <v>1.0918699999999999</v>
      </c>
      <c r="B803">
        <v>4.0623509999999996</v>
      </c>
      <c r="C803">
        <f>LOG10(1.09187)</f>
        <v>3.8170933566954446E-2</v>
      </c>
      <c r="D803">
        <f>LOG10(4.062351)</f>
        <v>0.60877744510951237</v>
      </c>
    </row>
    <row r="804" spans="1:4">
      <c r="A804">
        <v>1.0662560000000001</v>
      </c>
      <c r="B804">
        <v>4.2327839999999997</v>
      </c>
      <c r="C804">
        <f>LOG10(1.066256)</f>
        <v>2.7861488029797408E-2</v>
      </c>
      <c r="D804">
        <f>LOG10(4.232784)</f>
        <v>0.62662610688611442</v>
      </c>
    </row>
    <row r="805" spans="1:4">
      <c r="A805">
        <v>1.1079060000000001</v>
      </c>
      <c r="B805">
        <v>4.3024370000000003</v>
      </c>
      <c r="C805">
        <f>LOG10(1.107906)</f>
        <v>4.4502914351718451E-2</v>
      </c>
      <c r="D805">
        <f>LOG10(4.302437)</f>
        <v>0.63371451973110815</v>
      </c>
    </row>
    <row r="806" spans="1:4">
      <c r="A806">
        <v>1.0789040000000001</v>
      </c>
      <c r="B806">
        <v>4.0018349999999998</v>
      </c>
      <c r="C806">
        <f>LOG10(1.078904)</f>
        <v>3.2982803232419658E-2</v>
      </c>
      <c r="D806">
        <f>LOG10(4.001835)</f>
        <v>0.60225917823653075</v>
      </c>
    </row>
    <row r="807" spans="1:4">
      <c r="A807">
        <v>1.0663400000000001</v>
      </c>
      <c r="B807">
        <v>3.8918720000000002</v>
      </c>
      <c r="C807">
        <f>LOG10(1.06634)</f>
        <v>2.789570054496552E-2</v>
      </c>
      <c r="D807">
        <f>LOG10(3.891872)</f>
        <v>0.59015854829523007</v>
      </c>
    </row>
    <row r="808" spans="1:4">
      <c r="A808">
        <v>1.076991</v>
      </c>
      <c r="B808">
        <v>4.1302519999999996</v>
      </c>
      <c r="C808">
        <f>LOG10(1.076991)</f>
        <v>3.2212074081019081E-2</v>
      </c>
      <c r="D808">
        <f>LOG10(4.130252)</f>
        <v>0.61597655017229946</v>
      </c>
    </row>
    <row r="809" spans="1:4">
      <c r="A809">
        <v>1.0638190000000001</v>
      </c>
      <c r="B809">
        <v>4.1992820000000002</v>
      </c>
      <c r="C809">
        <f>LOG10(1.063819)</f>
        <v>2.6867742631927725E-2</v>
      </c>
      <c r="D809">
        <f>LOG10(4.199282)</f>
        <v>0.62317504037539473</v>
      </c>
    </row>
    <row r="810" spans="1:4">
      <c r="A810">
        <v>1.063342</v>
      </c>
      <c r="B810">
        <v>4.0601289999999999</v>
      </c>
      <c r="C810">
        <f>LOG10(1.063342)</f>
        <v>2.6672968027334865E-2</v>
      </c>
      <c r="D810">
        <f>LOG10(4.060129)</f>
        <v>0.60853983236984144</v>
      </c>
    </row>
    <row r="811" spans="1:4">
      <c r="A811">
        <v>1.063677</v>
      </c>
      <c r="B811">
        <v>3.7010649999999998</v>
      </c>
      <c r="C811">
        <f>LOG10(1.063677)</f>
        <v>2.6809768547349538E-2</v>
      </c>
      <c r="D811">
        <f>LOG10(3.701065)</f>
        <v>0.56832671246431876</v>
      </c>
    </row>
    <row r="812" spans="1:4">
      <c r="A812">
        <v>1.068522</v>
      </c>
      <c r="B812">
        <v>3.6169370000000001</v>
      </c>
      <c r="C812">
        <f>LOG10(1.068522)</f>
        <v>2.8783468362738387E-2</v>
      </c>
      <c r="D812">
        <f>LOG10(3.616937)</f>
        <v>0.55834094426323921</v>
      </c>
    </row>
    <row r="813" spans="1:4">
      <c r="A813">
        <v>1.049156</v>
      </c>
      <c r="B813">
        <v>3.7221250000000001</v>
      </c>
      <c r="C813">
        <f>LOG10(1.049156)</f>
        <v>2.0840068653067773E-2</v>
      </c>
      <c r="D813">
        <f>LOG10(3.722125)</f>
        <v>0.57079095393678791</v>
      </c>
    </row>
    <row r="814" spans="1:4">
      <c r="A814">
        <v>1.037536</v>
      </c>
      <c r="B814">
        <v>3.5362800000000001</v>
      </c>
      <c r="C814">
        <f>LOG10(1.037536)</f>
        <v>1.6003174617965386E-2</v>
      </c>
      <c r="D814">
        <f>LOG10(3.53628)</f>
        <v>0.54854664481405879</v>
      </c>
    </row>
    <row r="815" spans="1:4">
      <c r="A815">
        <v>1.030586</v>
      </c>
      <c r="B815">
        <v>3.4488439999999998</v>
      </c>
      <c r="C815">
        <f>LOG10(1.030586)</f>
        <v>1.308423848984909E-2</v>
      </c>
      <c r="D815">
        <f>LOG10(3.448844)</f>
        <v>0.53767355056588162</v>
      </c>
    </row>
    <row r="816" spans="1:4">
      <c r="A816">
        <v>1.0258890000000001</v>
      </c>
      <c r="B816">
        <v>3.3071039999999998</v>
      </c>
      <c r="C816">
        <f>LOG10(1.025889)</f>
        <v>1.1100373158496275E-2</v>
      </c>
      <c r="D816">
        <f>LOG10(3.307104)</f>
        <v>0.51944785258407566</v>
      </c>
    </row>
    <row r="817" spans="1:4">
      <c r="A817">
        <v>1.030556</v>
      </c>
      <c r="B817">
        <v>3.3500030000000001</v>
      </c>
      <c r="C817">
        <f>LOG10(1.030556)</f>
        <v>1.3071596144529837E-2</v>
      </c>
      <c r="D817">
        <f>LOG10(3.350003)</f>
        <v>0.52504519595710264</v>
      </c>
    </row>
    <row r="818" spans="1:4">
      <c r="A818">
        <v>1.036834</v>
      </c>
      <c r="B818">
        <v>3.2380010000000001</v>
      </c>
      <c r="C818">
        <f>LOG10(1.036834)</f>
        <v>1.570923020309754E-2</v>
      </c>
      <c r="D818">
        <f>LOG10(3.238001)</f>
        <v>0.51027697854163379</v>
      </c>
    </row>
    <row r="819" spans="1:4">
      <c r="A819">
        <v>1.0613269999999999</v>
      </c>
      <c r="B819">
        <v>3.2781449999999999</v>
      </c>
      <c r="C819">
        <f>LOG10(1.061327)</f>
        <v>2.5849212756843241E-2</v>
      </c>
      <c r="D819">
        <f>LOG10(3.278145)</f>
        <v>0.51562815951731755</v>
      </c>
    </row>
    <row r="820" spans="1:4">
      <c r="A820">
        <v>1.0462199999999999</v>
      </c>
      <c r="B820">
        <v>3.3957619999999999</v>
      </c>
      <c r="C820">
        <f>LOG10(1.04622)</f>
        <v>1.9623017934406944E-2</v>
      </c>
      <c r="D820">
        <f>LOG10(3.395762)</f>
        <v>0.53093724408404808</v>
      </c>
    </row>
    <row r="821" spans="1:4">
      <c r="A821">
        <v>1.0653520000000001</v>
      </c>
      <c r="B821">
        <v>3.4749680000000001</v>
      </c>
      <c r="C821">
        <f>LOG10(1.065352)</f>
        <v>2.7493125521139448E-2</v>
      </c>
      <c r="D821">
        <f>LOG10(3.474968)</f>
        <v>0.5409508096491803</v>
      </c>
    </row>
    <row r="822" spans="1:4">
      <c r="A822">
        <v>1.0533049999999999</v>
      </c>
      <c r="B822">
        <v>3.3261180000000001</v>
      </c>
      <c r="C822">
        <f>LOG10(1.053305)</f>
        <v>2.2554145769800062E-2</v>
      </c>
      <c r="D822">
        <f>LOG10(3.326118)</f>
        <v>0.52193765253227331</v>
      </c>
    </row>
    <row r="823" spans="1:4">
      <c r="A823">
        <v>1.0502579999999999</v>
      </c>
      <c r="B823">
        <v>3.2560790000000002</v>
      </c>
      <c r="C823">
        <f>LOG10(1.050258)</f>
        <v>2.1295998320120298E-2</v>
      </c>
      <c r="D823">
        <f>LOG10(3.256079)</f>
        <v>0.51269493333259852</v>
      </c>
    </row>
    <row r="824" spans="1:4">
      <c r="A824">
        <v>1.0545450000000001</v>
      </c>
      <c r="B824">
        <v>3.4351259999999999</v>
      </c>
      <c r="C824">
        <f>LOG10(1.054545)</f>
        <v>2.306511687275575E-2</v>
      </c>
      <c r="D824">
        <f>LOG10(3.435126)</f>
        <v>0.53594267155601338</v>
      </c>
    </row>
    <row r="825" spans="1:4">
      <c r="A825">
        <v>1.0459339999999999</v>
      </c>
      <c r="B825">
        <v>3.391975</v>
      </c>
      <c r="C825">
        <f>LOG10(1.045934)</f>
        <v>1.9504280764391698E-2</v>
      </c>
      <c r="D825">
        <f>LOG10(3.391975)</f>
        <v>0.53045264269963532</v>
      </c>
    </row>
    <row r="826" spans="1:4">
      <c r="A826">
        <v>1.049598</v>
      </c>
      <c r="B826">
        <v>3.300138</v>
      </c>
      <c r="C826">
        <f>LOG10(1.049598)</f>
        <v>2.1022994487957639E-2</v>
      </c>
      <c r="D826">
        <f>LOG10(3.300138)</f>
        <v>0.51853210090376645</v>
      </c>
    </row>
    <row r="827" spans="1:4">
      <c r="A827">
        <v>1.0489889999999999</v>
      </c>
      <c r="B827">
        <v>3.3582839999999998</v>
      </c>
      <c r="C827">
        <f>LOG10(1.048989)</f>
        <v>2.0770934080737439E-2</v>
      </c>
      <c r="D827">
        <f>LOG10(3.358284)</f>
        <v>0.5261174203361223</v>
      </c>
    </row>
    <row r="828" spans="1:4">
      <c r="A828">
        <v>1.053444</v>
      </c>
      <c r="B828">
        <v>3.2885689999999999</v>
      </c>
      <c r="C828">
        <f>LOG10(1.053444)</f>
        <v>2.2611453909566304E-2</v>
      </c>
      <c r="D828">
        <f>LOG10(3.288569)</f>
        <v>0.51700695855801659</v>
      </c>
    </row>
    <row r="829" spans="1:4">
      <c r="A829">
        <v>1.0549029999999999</v>
      </c>
      <c r="B829">
        <v>3.3654419999999998</v>
      </c>
      <c r="C829">
        <f>LOG10(1.054903)</f>
        <v>2.3212527404813433E-2</v>
      </c>
      <c r="D829">
        <f>LOG10(3.365442)</f>
        <v>0.52704211032969728</v>
      </c>
    </row>
    <row r="830" spans="1:4">
      <c r="A830">
        <v>1.0409740000000001</v>
      </c>
      <c r="B830">
        <v>3.2586870000000001</v>
      </c>
      <c r="C830">
        <f>LOG10(1.040974)</f>
        <v>1.7439882442772541E-2</v>
      </c>
      <c r="D830">
        <f>LOG10(3.258687)</f>
        <v>0.51304264806841815</v>
      </c>
    </row>
    <row r="831" spans="1:4">
      <c r="A831">
        <v>1.045852</v>
      </c>
      <c r="B831">
        <v>3.3812329999999999</v>
      </c>
      <c r="C831">
        <f>LOG10(1.045852)</f>
        <v>1.9470231251167813E-2</v>
      </c>
      <c r="D831">
        <f>LOG10(3.381233)</f>
        <v>0.52907509893130944</v>
      </c>
    </row>
    <row r="832" spans="1:4">
      <c r="A832">
        <v>1.047013</v>
      </c>
      <c r="B832">
        <v>3.3980950000000001</v>
      </c>
      <c r="C832">
        <f>LOG10(1.047013)</f>
        <v>1.9952074031482744E-2</v>
      </c>
      <c r="D832">
        <f>LOG10(3.398095)</f>
        <v>0.53123551620431997</v>
      </c>
    </row>
    <row r="833" spans="1:4">
      <c r="A833">
        <v>1.0517570000000001</v>
      </c>
      <c r="B833">
        <v>3.42422</v>
      </c>
      <c r="C833">
        <f>LOG10(1.051757)</f>
        <v>2.1915411158496014E-2</v>
      </c>
      <c r="D833">
        <f>LOG10(3.42422)</f>
        <v>0.53456165954386048</v>
      </c>
    </row>
    <row r="834" spans="1:4">
      <c r="A834">
        <v>1.049474</v>
      </c>
      <c r="B834">
        <v>3.2998280000000002</v>
      </c>
      <c r="C834">
        <f>LOG10(1.049474)</f>
        <v>2.0971683703174027E-2</v>
      </c>
      <c r="D834">
        <f>LOG10(3.299828)</f>
        <v>0.51849130333314597</v>
      </c>
    </row>
    <row r="835" spans="1:4">
      <c r="A835">
        <v>1.043695</v>
      </c>
      <c r="B835">
        <v>3.2362679999999999</v>
      </c>
      <c r="C835">
        <f>LOG10(1.043695)</f>
        <v>1.8573602909992694E-2</v>
      </c>
      <c r="D835">
        <f>LOG10(3.236268)</f>
        <v>0.51004447897909977</v>
      </c>
    </row>
    <row r="836" spans="1:4">
      <c r="A836">
        <v>1.050929</v>
      </c>
      <c r="B836">
        <v>3.2325740000000001</v>
      </c>
      <c r="C836">
        <f>LOG10(1.050929)</f>
        <v>2.1573376399523211E-2</v>
      </c>
      <c r="D836">
        <f>LOG10(3.232574)</f>
        <v>0.50954847552422111</v>
      </c>
    </row>
    <row r="837" spans="1:4">
      <c r="A837">
        <v>1.055002</v>
      </c>
      <c r="B837">
        <v>3.3617840000000001</v>
      </c>
      <c r="C837">
        <f>LOG10(1.055002)</f>
        <v>2.3253282940005782E-2</v>
      </c>
      <c r="D837">
        <f>LOG10(3.361784)</f>
        <v>0.52656980588463276</v>
      </c>
    </row>
    <row r="838" spans="1:4">
      <c r="A838">
        <v>1.048036</v>
      </c>
      <c r="B838">
        <v>3.4180079999999999</v>
      </c>
      <c r="C838">
        <f>LOG10(1.048036)</f>
        <v>2.0376200904216837E-2</v>
      </c>
      <c r="D838">
        <f>LOG10(3.418008)</f>
        <v>0.53377307487149073</v>
      </c>
    </row>
    <row r="839" spans="1:4">
      <c r="A839">
        <v>1.051296</v>
      </c>
      <c r="B839">
        <v>3.3808940000000001</v>
      </c>
      <c r="C839">
        <f>LOG10(1.051296)</f>
        <v>2.1725012001304854E-2</v>
      </c>
      <c r="D839">
        <f>LOG10(3.380894)</f>
        <v>0.52903155469456598</v>
      </c>
    </row>
    <row r="840" spans="1:4">
      <c r="A840">
        <v>1.044475</v>
      </c>
      <c r="B840">
        <v>3.3270189999999999</v>
      </c>
      <c r="C840">
        <f>LOG10(1.044475)</f>
        <v>1.8898049398199515E-2</v>
      </c>
      <c r="D840">
        <f>LOG10(3.327019)</f>
        <v>0.52205528105265009</v>
      </c>
    </row>
    <row r="841" spans="1:4">
      <c r="A841">
        <v>1.0412619999999999</v>
      </c>
      <c r="B841">
        <v>3.3267799999999998</v>
      </c>
      <c r="C841">
        <f>LOG10(1.041262)</f>
        <v>1.7560019460464732E-2</v>
      </c>
      <c r="D841">
        <f>LOG10(3.32678)</f>
        <v>0.52202408191927696</v>
      </c>
    </row>
    <row r="842" spans="1:4">
      <c r="A842">
        <v>1.052837</v>
      </c>
      <c r="B842">
        <v>3.1166800000000001</v>
      </c>
      <c r="C842">
        <f>LOG10(1.052837)</f>
        <v>2.2361139010639561E-2</v>
      </c>
      <c r="D842">
        <f>LOG10(3.11668)</f>
        <v>0.49369221409318875</v>
      </c>
    </row>
    <row r="843" spans="1:4">
      <c r="A843">
        <v>1.033345</v>
      </c>
      <c r="B843">
        <v>3.1643469999999998</v>
      </c>
      <c r="C843">
        <f>LOG10(1.033345)</f>
        <v>1.4245342411726055E-2</v>
      </c>
      <c r="D843">
        <f>LOG10(3.164347)</f>
        <v>0.50028410185537397</v>
      </c>
    </row>
    <row r="844" spans="1:4">
      <c r="A844">
        <v>1.0597350000000001</v>
      </c>
      <c r="B844">
        <v>3.207182</v>
      </c>
      <c r="C844">
        <f>LOG10(1.059735)</f>
        <v>2.519727807032953E-2</v>
      </c>
      <c r="D844">
        <f>LOG10(3.207182)</f>
        <v>0.50612360581336469</v>
      </c>
    </row>
    <row r="845" spans="1:4">
      <c r="A845">
        <v>1.0584830000000001</v>
      </c>
      <c r="B845">
        <v>3.1563270000000001</v>
      </c>
      <c r="C845">
        <f>LOG10(1.058483)</f>
        <v>2.468388732899696E-2</v>
      </c>
      <c r="D845">
        <f>LOG10(3.156327)</f>
        <v>0.49918199039888017</v>
      </c>
    </row>
    <row r="846" spans="1:4">
      <c r="A846">
        <v>1.0585</v>
      </c>
      <c r="B846">
        <v>3.2775889999999999</v>
      </c>
      <c r="C846">
        <f>LOG10(1.0585)</f>
        <v>2.4690862355430793E-2</v>
      </c>
      <c r="D846">
        <f>LOG10(3.277589)</f>
        <v>0.51555449340074933</v>
      </c>
    </row>
    <row r="847" spans="1:4">
      <c r="A847">
        <v>1.063936</v>
      </c>
      <c r="B847">
        <v>3.2201249999999999</v>
      </c>
      <c r="C847">
        <f>LOG10(1.063936)</f>
        <v>2.6915504196989362E-2</v>
      </c>
      <c r="D847">
        <f>LOG10(3.220125)</f>
        <v>0.50787273062644012</v>
      </c>
    </row>
    <row r="848" spans="1:4">
      <c r="A848">
        <v>1.079723</v>
      </c>
      <c r="B848">
        <v>3.360976</v>
      </c>
      <c r="C848">
        <f>LOG10(1.079723)</f>
        <v>3.3312352707846229E-2</v>
      </c>
      <c r="D848">
        <f>LOG10(3.360976)</f>
        <v>0.52646541127793323</v>
      </c>
    </row>
    <row r="849" spans="1:4">
      <c r="A849">
        <v>1.074247</v>
      </c>
      <c r="B849">
        <v>3.2565140000000001</v>
      </c>
      <c r="C849">
        <f>LOG10(1.074247)</f>
        <v>3.1104149523485617E-2</v>
      </c>
      <c r="D849">
        <f>LOG10(3.256514)</f>
        <v>0.51275294957894124</v>
      </c>
    </row>
    <row r="850" spans="1:4">
      <c r="A850">
        <v>1.0601149999999999</v>
      </c>
      <c r="B850">
        <v>3.3703889999999999</v>
      </c>
      <c r="C850">
        <f>LOG10(1.060115)</f>
        <v>2.535297956325671E-2</v>
      </c>
      <c r="D850">
        <f>LOG10(3.370389)</f>
        <v>0.52768002870628938</v>
      </c>
    </row>
    <row r="851" spans="1:4">
      <c r="A851">
        <v>1.057202</v>
      </c>
      <c r="B851">
        <v>3.3688099999999999</v>
      </c>
      <c r="C851">
        <f>LOG10(1.057202)</f>
        <v>2.4157976052694121E-2</v>
      </c>
      <c r="D851">
        <f>LOG10(3.36881)</f>
        <v>0.5274765175770072</v>
      </c>
    </row>
    <row r="852" spans="1:4">
      <c r="A852">
        <v>1.052745</v>
      </c>
      <c r="B852">
        <v>3.4056790000000001</v>
      </c>
      <c r="C852">
        <f>LOG10(1.052745)</f>
        <v>2.2323187420665372E-2</v>
      </c>
      <c r="D852">
        <f>LOG10(3.405679)</f>
        <v>0.53220371141917955</v>
      </c>
    </row>
    <row r="853" spans="1:4">
      <c r="A853">
        <v>1.0570299999999999</v>
      </c>
      <c r="B853">
        <v>3.3485019999999999</v>
      </c>
      <c r="C853">
        <f>LOG10(1.05703)</f>
        <v>2.4087313371349613E-2</v>
      </c>
      <c r="D853">
        <f>LOG10(3.348502)</f>
        <v>0.52485056266855623</v>
      </c>
    </row>
    <row r="854" spans="1:4">
      <c r="A854">
        <v>1.0716019999999999</v>
      </c>
      <c r="B854">
        <v>3.2157170000000002</v>
      </c>
      <c r="C854">
        <f>LOG10(1.071602)</f>
        <v>3.0033515488759186E-2</v>
      </c>
      <c r="D854">
        <f>LOG10(3.215717)</f>
        <v>0.50727782156074885</v>
      </c>
    </row>
    <row r="855" spans="1:4">
      <c r="A855">
        <v>1.0429809999999999</v>
      </c>
      <c r="B855">
        <v>3.3553860000000002</v>
      </c>
      <c r="C855">
        <f>LOG10(1.042981)</f>
        <v>1.827639694971836E-2</v>
      </c>
      <c r="D855">
        <f>LOG10(3.355386)</f>
        <v>0.52574248814948665</v>
      </c>
    </row>
    <row r="856" spans="1:4">
      <c r="A856">
        <v>1.0319400000000001</v>
      </c>
      <c r="B856">
        <v>3.5255869999999998</v>
      </c>
      <c r="C856">
        <f>LOG10(1.03194)</f>
        <v>1.3654446877981409E-2</v>
      </c>
      <c r="D856">
        <f>LOG10(3.525587)</f>
        <v>0.54723143611807712</v>
      </c>
    </row>
    <row r="857" spans="1:4">
      <c r="A857">
        <v>1.0628390000000001</v>
      </c>
      <c r="B857">
        <v>3.2812480000000002</v>
      </c>
      <c r="C857">
        <f>LOG10(1.062839)</f>
        <v>2.6467482108240802E-2</v>
      </c>
      <c r="D857">
        <f>LOG10(3.281248)</f>
        <v>0.51603905603712441</v>
      </c>
    </row>
    <row r="858" spans="1:4">
      <c r="A858">
        <v>1.061958</v>
      </c>
      <c r="B858">
        <v>3.3143880000000001</v>
      </c>
      <c r="C858">
        <f>LOG10(1.061958)</f>
        <v>2.6107340917828119E-2</v>
      </c>
      <c r="D858">
        <f>LOG10(3.314388)</f>
        <v>0.52040334789607334</v>
      </c>
    </row>
    <row r="859" spans="1:4">
      <c r="A859">
        <v>1.053218</v>
      </c>
      <c r="B859">
        <v>3.2376399999999999</v>
      </c>
      <c r="C859">
        <f>LOG10(1.053218)</f>
        <v>2.251827279813344E-2</v>
      </c>
      <c r="D859">
        <f>LOG10(3.23764)</f>
        <v>0.51022855698517944</v>
      </c>
    </row>
    <row r="860" spans="1:4">
      <c r="A860">
        <v>1.055248</v>
      </c>
      <c r="B860">
        <v>3.1432570000000002</v>
      </c>
      <c r="C860">
        <f>LOG10(1.055248)</f>
        <v>2.3354537713641262E-2</v>
      </c>
      <c r="D860">
        <f>LOG10(3.143257)</f>
        <v>0.49737989139582622</v>
      </c>
    </row>
    <row r="861" spans="1:4">
      <c r="A861">
        <v>1.047434</v>
      </c>
      <c r="B861">
        <v>3.157978</v>
      </c>
      <c r="C861">
        <f>LOG10(1.047434)</f>
        <v>2.0126667114376454E-2</v>
      </c>
      <c r="D861">
        <f>LOG10(3.157978)</f>
        <v>0.49940910017769585</v>
      </c>
    </row>
    <row r="862" spans="1:4">
      <c r="A862">
        <v>1.0556909999999999</v>
      </c>
      <c r="B862">
        <v>3.3276539999999999</v>
      </c>
      <c r="C862">
        <f>LOG10(1.055691)</f>
        <v>2.3536819113821474E-2</v>
      </c>
      <c r="D862">
        <f>LOG10(3.327654)</f>
        <v>0.52213816326094054</v>
      </c>
    </row>
    <row r="863" spans="1:4">
      <c r="A863">
        <v>1.063558</v>
      </c>
      <c r="B863">
        <v>3.406085</v>
      </c>
      <c r="C863">
        <f>LOG10(1.063558)</f>
        <v>2.6761178670443239E-2</v>
      </c>
      <c r="D863">
        <f>LOG10(3.406085)</f>
        <v>0.53225548172709436</v>
      </c>
    </row>
    <row r="864" spans="1:4">
      <c r="A864">
        <v>1.0692330000000001</v>
      </c>
      <c r="B864">
        <v>3.1742020000000002</v>
      </c>
      <c r="C864">
        <f>LOG10(1.069233)</f>
        <v>2.9072354028325764E-2</v>
      </c>
      <c r="D864">
        <f>LOG10(3.174202)</f>
        <v>0.50163456094872305</v>
      </c>
    </row>
    <row r="865" spans="1:4">
      <c r="A865">
        <v>1.0930550000000001</v>
      </c>
      <c r="B865">
        <v>3.0591710000000001</v>
      </c>
      <c r="C865">
        <f>LOG10(1.093055)</f>
        <v>3.8642015193568816E-2</v>
      </c>
      <c r="D865">
        <f>LOG10(3.059171)</f>
        <v>0.48560375363743152</v>
      </c>
    </row>
    <row r="866" spans="1:4">
      <c r="A866">
        <v>1.058756</v>
      </c>
      <c r="B866">
        <v>3.177092</v>
      </c>
      <c r="C866">
        <f>LOG10(1.058756)</f>
        <v>2.4795884504768467E-2</v>
      </c>
      <c r="D866">
        <f>LOG10(3.177092)</f>
        <v>0.50202979100399159</v>
      </c>
    </row>
    <row r="867" spans="1:4">
      <c r="A867">
        <v>1.060881</v>
      </c>
      <c r="B867">
        <v>3.0291999999999999</v>
      </c>
      <c r="C867">
        <f>LOG10(1.060881)</f>
        <v>2.56666714208569E-2</v>
      </c>
      <c r="D867">
        <f>LOG10(3.0292)</f>
        <v>0.48132794815257518</v>
      </c>
    </row>
    <row r="868" spans="1:4">
      <c r="A868">
        <v>1.0762160000000001</v>
      </c>
      <c r="B868">
        <v>2.9080270000000001</v>
      </c>
      <c r="C868">
        <f>LOG10(1.076216)</f>
        <v>3.189944437285875E-2</v>
      </c>
      <c r="D868">
        <f>LOG10(2.908027)</f>
        <v>0.46359843447605648</v>
      </c>
    </row>
    <row r="869" spans="1:4">
      <c r="A869">
        <v>1.0758490000000001</v>
      </c>
      <c r="B869">
        <v>3.0314800000000002</v>
      </c>
      <c r="C869">
        <f>LOG10(1.075849)</f>
        <v>3.1751320523064647E-2</v>
      </c>
      <c r="D869">
        <f>LOG10(3.03148)</f>
        <v>0.48165470734971189</v>
      </c>
    </row>
    <row r="870" spans="1:4">
      <c r="A870">
        <v>1.063965</v>
      </c>
      <c r="B870">
        <v>2.8283830000000001</v>
      </c>
      <c r="C870">
        <f>LOG10(1.063965)</f>
        <v>2.6927341721362911E-2</v>
      </c>
      <c r="D870">
        <f>LOG10(2.828383)</f>
        <v>0.45153821825219886</v>
      </c>
    </row>
    <row r="871" spans="1:4">
      <c r="A871">
        <v>1.0670569999999999</v>
      </c>
      <c r="B871">
        <v>2.8484799999999999</v>
      </c>
      <c r="C871">
        <f>LOG10(1.067057)</f>
        <v>2.8187619166064739E-2</v>
      </c>
      <c r="D871">
        <f>LOG10(2.84848)</f>
        <v>0.45461317449653199</v>
      </c>
    </row>
    <row r="872" spans="1:4">
      <c r="A872">
        <v>1.0707500000000001</v>
      </c>
      <c r="B872">
        <v>2.8628279999999999</v>
      </c>
      <c r="C872">
        <f>LOG10(1.07075)</f>
        <v>2.9688083068606996E-2</v>
      </c>
      <c r="D872">
        <f>LOG10(2.862828)</f>
        <v>0.4567952561966574</v>
      </c>
    </row>
    <row r="873" spans="1:4">
      <c r="A873">
        <v>1.0826530000000001</v>
      </c>
      <c r="B873">
        <v>2.9918610000000001</v>
      </c>
      <c r="C873">
        <f>LOG10(1.082653)</f>
        <v>3.4489283649307999E-2</v>
      </c>
      <c r="D873">
        <f>LOG10(2.991861)</f>
        <v>0.47594141260978073</v>
      </c>
    </row>
    <row r="874" spans="1:4">
      <c r="A874">
        <v>1.1064400000000001</v>
      </c>
      <c r="B874">
        <v>2.9028589999999999</v>
      </c>
      <c r="C874">
        <f>LOG10(1.10644)</f>
        <v>4.3927867991764159E-2</v>
      </c>
      <c r="D874">
        <f>LOG10(2.902859)</f>
        <v>0.4628259414434151</v>
      </c>
    </row>
    <row r="875" spans="1:4">
      <c r="A875">
        <v>1.1342540000000001</v>
      </c>
      <c r="B875">
        <v>2.9664619999999999</v>
      </c>
      <c r="C875">
        <f>LOG10(1.134254)</f>
        <v>5.4710319500641473E-2</v>
      </c>
      <c r="D875">
        <f>LOG10(2.966462)</f>
        <v>0.47223878945216341</v>
      </c>
    </row>
    <row r="876" spans="1:4">
      <c r="A876">
        <v>1.1268359999999999</v>
      </c>
      <c r="B876">
        <v>2.890876</v>
      </c>
      <c r="C876">
        <f>LOG10(1.126836)</f>
        <v>5.1860713315155522E-2</v>
      </c>
      <c r="D876">
        <f>LOG10(2.890876)</f>
        <v>0.46102946362821479</v>
      </c>
    </row>
    <row r="877" spans="1:4">
      <c r="A877">
        <v>1.1678500000000001</v>
      </c>
      <c r="B877">
        <v>2.9693580000000002</v>
      </c>
      <c r="C877">
        <f>LOG10(1.16785)</f>
        <v>6.7387065074580477E-2</v>
      </c>
      <c r="D877">
        <f>LOG10(2.969358)</f>
        <v>0.47266256137226353</v>
      </c>
    </row>
    <row r="878" spans="1:4">
      <c r="A878">
        <v>1.165894</v>
      </c>
      <c r="B878">
        <v>3.0855920000000001</v>
      </c>
      <c r="C878">
        <f>LOG10(1.165894)</f>
        <v>6.6659067311744549E-2</v>
      </c>
      <c r="D878">
        <f>LOG10(3.085592)</f>
        <v>0.48933849986616568</v>
      </c>
    </row>
    <row r="879" spans="1:4">
      <c r="A879">
        <v>1.0845389999999999</v>
      </c>
      <c r="B879">
        <v>3.0961129999999999</v>
      </c>
      <c r="C879">
        <f>LOG10(1.084539)</f>
        <v>3.5245173851599559E-2</v>
      </c>
      <c r="D879">
        <f>LOG10(3.096113)</f>
        <v>0.49081680290907359</v>
      </c>
    </row>
    <row r="880" spans="1:4">
      <c r="A880">
        <v>1.096946</v>
      </c>
      <c r="B880">
        <v>3.110357</v>
      </c>
      <c r="C880">
        <f>LOG10(1.096946)</f>
        <v>4.0185248833367888E-2</v>
      </c>
      <c r="D880">
        <f>LOG10(3.110357)</f>
        <v>0.49281023926218886</v>
      </c>
    </row>
    <row r="881" spans="1:4">
      <c r="A881">
        <v>1.1541440000000001</v>
      </c>
      <c r="B881">
        <v>3.2057020000000001</v>
      </c>
      <c r="C881">
        <f>LOG10(1.154144)</f>
        <v>6.2259998164463412E-2</v>
      </c>
      <c r="D881">
        <f>LOG10(3.205702)</f>
        <v>0.50592314815823536</v>
      </c>
    </row>
    <row r="882" spans="1:4">
      <c r="A882">
        <v>1.155467</v>
      </c>
      <c r="B882">
        <v>3.1778909999999998</v>
      </c>
      <c r="C882">
        <f>LOG10(1.155467)</f>
        <v>6.2757546593529737E-2</v>
      </c>
      <c r="D882">
        <f>LOG10(3.177891)</f>
        <v>0.5021389970531247</v>
      </c>
    </row>
    <row r="883" spans="1:4">
      <c r="A883">
        <v>1.1229340000000001</v>
      </c>
      <c r="B883">
        <v>3.101982</v>
      </c>
      <c r="C883">
        <f>LOG10(1.122934)</f>
        <v>5.0354231525812101E-2</v>
      </c>
      <c r="D883">
        <f>LOG10(3.101982)</f>
        <v>0.49163927338624019</v>
      </c>
    </row>
    <row r="884" spans="1:4">
      <c r="A884">
        <v>1.142857</v>
      </c>
      <c r="B884">
        <v>3.121413</v>
      </c>
      <c r="C884">
        <f>LOG10(1.142857)</f>
        <v>5.7991892690873126E-2</v>
      </c>
      <c r="D884">
        <f>LOG10(3.121413)</f>
        <v>0.49435123478341481</v>
      </c>
    </row>
    <row r="885" spans="1:4">
      <c r="A885">
        <v>1.130064</v>
      </c>
      <c r="B885">
        <v>3.0804740000000002</v>
      </c>
      <c r="C885">
        <f>LOG10(1.130064)</f>
        <v>5.310303999648238E-2</v>
      </c>
      <c r="D885">
        <f>LOG10(3.080474)</f>
        <v>0.48861754758676273</v>
      </c>
    </row>
    <row r="886" spans="1:4">
      <c r="A886">
        <v>1.111944</v>
      </c>
      <c r="B886">
        <v>3.2304919999999999</v>
      </c>
      <c r="C886">
        <f>LOG10(1.111944)</f>
        <v>4.6082915750181121E-2</v>
      </c>
      <c r="D886">
        <f>LOG10(3.230492)</f>
        <v>0.50926866988937225</v>
      </c>
    </row>
    <row r="887" spans="1:4">
      <c r="A887">
        <v>1.1195269999999999</v>
      </c>
      <c r="B887">
        <v>2.945929</v>
      </c>
      <c r="C887">
        <f>LOG10(1.119527)</f>
        <v>4.9034572063875265E-2</v>
      </c>
      <c r="D887">
        <f>LOG10(2.945929)</f>
        <v>0.46922227567708424</v>
      </c>
    </row>
    <row r="888" spans="1:4">
      <c r="A888">
        <v>1.15561</v>
      </c>
      <c r="B888">
        <v>3.220424</v>
      </c>
      <c r="C888">
        <f>LOG10(1.15561)</f>
        <v>6.2811291328985483E-2</v>
      </c>
      <c r="D888">
        <f>LOG10(3.220424)</f>
        <v>0.50791305453366675</v>
      </c>
    </row>
    <row r="889" spans="1:4">
      <c r="A889">
        <v>1.1879919999999999</v>
      </c>
      <c r="B889">
        <v>3.0044140000000001</v>
      </c>
      <c r="C889">
        <f>LOG10(1.187992)</f>
        <v>7.4813516093362051E-2</v>
      </c>
      <c r="D889">
        <f>LOG10(3.004414)</f>
        <v>0.47775977704288625</v>
      </c>
    </row>
    <row r="890" spans="1:4">
      <c r="A890">
        <v>1.157419</v>
      </c>
      <c r="B890">
        <v>3.210941</v>
      </c>
      <c r="C890">
        <f>LOG10(1.157419)</f>
        <v>6.3490607392853324E-2</v>
      </c>
      <c r="D890">
        <f>LOG10(3.210941)</f>
        <v>0.50663232561949489</v>
      </c>
    </row>
    <row r="891" spans="1:4">
      <c r="A891">
        <v>1.164679</v>
      </c>
      <c r="B891">
        <v>3.1346409999999998</v>
      </c>
      <c r="C891">
        <f>LOG10(1.164679)</f>
        <v>6.6206244899988567E-2</v>
      </c>
      <c r="D891">
        <f>LOG10(3.134641)</f>
        <v>0.49618780971324639</v>
      </c>
    </row>
    <row r="892" spans="1:4">
      <c r="A892">
        <v>1.1457550000000001</v>
      </c>
      <c r="B892">
        <v>3.0944769999999999</v>
      </c>
      <c r="C892">
        <f>LOG10(1.145755)</f>
        <v>5.9091761153718357E-2</v>
      </c>
      <c r="D892">
        <f>LOG10(3.094477)</f>
        <v>0.49058725910503093</v>
      </c>
    </row>
    <row r="893" spans="1:4">
      <c r="A893">
        <v>1.1708860000000001</v>
      </c>
      <c r="B893">
        <v>2.9521269999999999</v>
      </c>
      <c r="C893">
        <f>LOG10(1.170886)</f>
        <v>6.8514613278137418E-2</v>
      </c>
      <c r="D893">
        <f>LOG10(2.952127)</f>
        <v>0.47013503682742563</v>
      </c>
    </row>
    <row r="894" spans="1:4">
      <c r="A894">
        <v>1.1654139999999999</v>
      </c>
      <c r="B894">
        <v>3.0536409999999998</v>
      </c>
      <c r="C894">
        <f>LOG10(1.165414)</f>
        <v>6.6480230920963695E-2</v>
      </c>
      <c r="D894">
        <f>LOG10(3.053641)</f>
        <v>0.48481797807616811</v>
      </c>
    </row>
    <row r="895" spans="1:4">
      <c r="A895">
        <v>1.1550720000000001</v>
      </c>
      <c r="B895">
        <v>3.04521</v>
      </c>
      <c r="C895">
        <f>LOG10(1.155072)</f>
        <v>6.2609056287135478E-2</v>
      </c>
      <c r="D895">
        <f>LOG10(3.04521)</f>
        <v>0.48361724727971622</v>
      </c>
    </row>
    <row r="896" spans="1:4">
      <c r="A896">
        <v>1.1211420000000001</v>
      </c>
      <c r="B896">
        <v>3.256812</v>
      </c>
      <c r="C896">
        <f>LOG10(1.121142)</f>
        <v>4.9660622328087961E-2</v>
      </c>
      <c r="D896">
        <f>LOG10(3.256812)</f>
        <v>0.51279268956913904</v>
      </c>
    </row>
    <row r="897" spans="1:4">
      <c r="A897">
        <v>1.1565859999999999</v>
      </c>
      <c r="B897">
        <v>3.2022949999999999</v>
      </c>
      <c r="C897">
        <f>LOG10(1.156586)</f>
        <v>6.317793104249779E-2</v>
      </c>
      <c r="D897">
        <f>LOG10(3.202295)</f>
        <v>0.50546133725561859</v>
      </c>
    </row>
    <row r="898" spans="1:4">
      <c r="A898">
        <v>1.18587</v>
      </c>
      <c r="B898">
        <v>3.0099909999999999</v>
      </c>
      <c r="C898">
        <f>LOG10(1.18587)</f>
        <v>7.4037082470798446E-2</v>
      </c>
      <c r="D898">
        <f>LOG10(3.009991)</f>
        <v>0.4785651970369727</v>
      </c>
    </row>
    <row r="899" spans="1:4">
      <c r="A899">
        <v>1.1914979999999999</v>
      </c>
      <c r="B899">
        <v>3.138366</v>
      </c>
      <c r="C899">
        <f>LOG10(1.191498)</f>
        <v>7.6093317694062981E-2</v>
      </c>
      <c r="D899">
        <f>LOG10(3.138366)</f>
        <v>0.4967035901468525</v>
      </c>
    </row>
    <row r="900" spans="1:4">
      <c r="A900">
        <v>1.1723589999999999</v>
      </c>
      <c r="B900">
        <v>3.1695069999999999</v>
      </c>
      <c r="C900">
        <f>LOG10(1.172359)</f>
        <v>6.9060621788648482E-2</v>
      </c>
      <c r="D900">
        <f>LOG10(3.169507)</f>
        <v>0.50099171526811959</v>
      </c>
    </row>
    <row r="901" spans="1:4">
      <c r="A901">
        <v>1.087582</v>
      </c>
      <c r="B901">
        <v>3.1931189999999998</v>
      </c>
      <c r="C901">
        <f>LOG10(1.087582)</f>
        <v>3.6462011194458556E-2</v>
      </c>
      <c r="D901">
        <f>LOG10(3.193119)</f>
        <v>0.50421510397017433</v>
      </c>
    </row>
    <row r="902" spans="1:4">
      <c r="A902">
        <v>1.145275</v>
      </c>
      <c r="B902">
        <v>3.1918090000000001</v>
      </c>
      <c r="C902">
        <f>LOG10(1.145275)</f>
        <v>5.890978068697305E-2</v>
      </c>
      <c r="D902">
        <f>LOG10(3.191809)</f>
        <v>0.50403689498198345</v>
      </c>
    </row>
    <row r="903" spans="1:4">
      <c r="A903">
        <v>1.1848479999999999</v>
      </c>
      <c r="B903">
        <v>3.0111620000000001</v>
      </c>
      <c r="C903">
        <f>LOG10(1.184848)</f>
        <v>7.3662639801530899E-2</v>
      </c>
      <c r="D903">
        <f>LOG10(3.011162)</f>
        <v>0.47873412111005986</v>
      </c>
    </row>
    <row r="904" spans="1:4">
      <c r="A904">
        <v>1.2095279999999999</v>
      </c>
      <c r="B904">
        <v>3.3218800000000002</v>
      </c>
      <c r="C904">
        <f>LOG10(1.209528)</f>
        <v>8.2615926525711814E-2</v>
      </c>
      <c r="D904">
        <f>LOG10(3.32188)</f>
        <v>0.52138393989167686</v>
      </c>
    </row>
    <row r="905" spans="1:4">
      <c r="A905">
        <v>1.125783</v>
      </c>
      <c r="B905">
        <v>3.0901019999999999</v>
      </c>
      <c r="C905">
        <f>LOG10(1.125783)</f>
        <v>5.1454686265970578E-2</v>
      </c>
      <c r="D905">
        <f>LOG10(3.090102)</f>
        <v>0.4899728151225814</v>
      </c>
    </row>
    <row r="906" spans="1:4">
      <c r="A906">
        <v>1.12879</v>
      </c>
      <c r="B906">
        <v>3.201174</v>
      </c>
      <c r="C906">
        <f>LOG10(1.12879)</f>
        <v>5.2613153329515938E-2</v>
      </c>
      <c r="D906">
        <f>LOG10(3.201174)</f>
        <v>0.5053092808876759</v>
      </c>
    </row>
    <row r="907" spans="1:4">
      <c r="A907">
        <v>1.1403920000000001</v>
      </c>
      <c r="B907">
        <v>2.9870960000000002</v>
      </c>
      <c r="C907">
        <f>LOG10(1.140392)</f>
        <v>5.7054162015148006E-2</v>
      </c>
      <c r="D907">
        <f>LOG10(2.987096)</f>
        <v>0.47524918028752217</v>
      </c>
    </row>
    <row r="908" spans="1:4">
      <c r="A908">
        <v>1.148218</v>
      </c>
      <c r="B908">
        <v>3.0060500000000001</v>
      </c>
      <c r="C908">
        <f>LOG10(1.148218)</f>
        <v>6.0024350787479329E-2</v>
      </c>
      <c r="D908">
        <f>LOG10(3.00605)</f>
        <v>0.47799619998458942</v>
      </c>
    </row>
    <row r="909" spans="1:4">
      <c r="A909">
        <v>1.172674</v>
      </c>
      <c r="B909">
        <v>3.158938</v>
      </c>
      <c r="C909">
        <f>LOG10(1.172674)</f>
        <v>6.9177296276915684E-2</v>
      </c>
      <c r="D909">
        <f>LOG10(3.158938)</f>
        <v>0.49954110215645792</v>
      </c>
    </row>
    <row r="910" spans="1:4">
      <c r="A910">
        <v>1.169627</v>
      </c>
      <c r="B910">
        <v>3.1994600000000002</v>
      </c>
      <c r="C910">
        <f>LOG10(1.169627)</f>
        <v>6.8047385105977229E-2</v>
      </c>
      <c r="D910">
        <f>LOG10(3.19946)</f>
        <v>0.50507668494178215</v>
      </c>
    </row>
    <row r="911" spans="1:4">
      <c r="A911">
        <v>1.166372</v>
      </c>
      <c r="B911">
        <v>2.9604550000000001</v>
      </c>
      <c r="C911">
        <f>LOG10(1.166372)</f>
        <v>6.6837085398237586E-2</v>
      </c>
      <c r="D911">
        <f>LOG10(2.960455)</f>
        <v>0.47135846403304449</v>
      </c>
    </row>
    <row r="912" spans="1:4">
      <c r="A912">
        <v>1.1503410000000001</v>
      </c>
      <c r="B912">
        <v>3.0442670000000001</v>
      </c>
      <c r="C912">
        <f>LOG10(1.150341)</f>
        <v>6.082659901975189E-2</v>
      </c>
      <c r="D912">
        <f>LOG10(3.044267)</f>
        <v>0.48348273993213664</v>
      </c>
    </row>
    <row r="913" spans="1:4">
      <c r="A913">
        <v>1.101667</v>
      </c>
      <c r="B913">
        <v>2.237473</v>
      </c>
      <c r="C913">
        <f>LOG10(1.101667)</f>
        <v>4.2050340507266235E-2</v>
      </c>
      <c r="D913">
        <f>LOG10(2.237473)</f>
        <v>0.34975780330783307</v>
      </c>
    </row>
    <row r="914" spans="1:4">
      <c r="A914">
        <v>1.0109030000000001</v>
      </c>
      <c r="B914">
        <v>4.2618999999999998</v>
      </c>
      <c r="C914">
        <f>LOG10(1.010903)</f>
        <v>4.7094853775666032E-3</v>
      </c>
      <c r="D914">
        <f>LOG10(4.2619)</f>
        <v>0.62960325533649042</v>
      </c>
    </row>
    <row r="915" spans="1:4">
      <c r="A915">
        <v>1.0063850000000001</v>
      </c>
      <c r="B915">
        <v>4.2806059999999997</v>
      </c>
      <c r="C915">
        <f>LOG10(1.006385)</f>
        <v>2.7641550628626052E-3</v>
      </c>
      <c r="D915">
        <f>LOG10(4.280606)</f>
        <v>0.6315052558883939</v>
      </c>
    </row>
    <row r="916" spans="1:4">
      <c r="A916">
        <v>1.0048760000000001</v>
      </c>
      <c r="B916">
        <v>4.7970100000000002</v>
      </c>
      <c r="C916">
        <f>LOG10(1.004876)</f>
        <v>2.1124738577275671E-3</v>
      </c>
      <c r="D916">
        <f>LOG10(4.79701)</f>
        <v>0.6809706238109654</v>
      </c>
    </row>
    <row r="917" spans="1:4">
      <c r="A917">
        <v>1.0171140000000001</v>
      </c>
      <c r="B917">
        <v>4.2797039999999997</v>
      </c>
      <c r="C917">
        <f>LOG10(1.017114)</f>
        <v>7.3696321717825943E-3</v>
      </c>
      <c r="D917">
        <f>LOG10(4.279704)</f>
        <v>0.63141373265521039</v>
      </c>
    </row>
    <row r="918" spans="1:4">
      <c r="A918">
        <v>1.005452</v>
      </c>
      <c r="B918">
        <v>4.5578180000000001</v>
      </c>
      <c r="C918">
        <f>LOG10(1.005452)</f>
        <v>2.3613423293616488E-3</v>
      </c>
      <c r="D918">
        <f>LOG10(4.557818)</f>
        <v>0.65875697920903298</v>
      </c>
    </row>
    <row r="919" spans="1:4">
      <c r="A919">
        <v>1.0123629999999999</v>
      </c>
      <c r="B919">
        <v>4.3329180000000003</v>
      </c>
      <c r="C919">
        <f>LOG10(1.012363)</f>
        <v>5.3362641141590063E-3</v>
      </c>
      <c r="D919">
        <f>LOG10(4.332918)</f>
        <v>0.63678047013649997</v>
      </c>
    </row>
    <row r="920" spans="1:4">
      <c r="A920">
        <v>1.008473</v>
      </c>
      <c r="B920">
        <v>4.4056329999999999</v>
      </c>
      <c r="C920">
        <f>LOG10(1.008473)</f>
        <v>3.6642752726510366E-3</v>
      </c>
      <c r="D920">
        <f>LOG10(4.405633)</f>
        <v>0.64400831652938817</v>
      </c>
    </row>
    <row r="921" spans="1:4">
      <c r="A921">
        <v>1.0120910000000001</v>
      </c>
      <c r="B921">
        <v>4.1619989999999998</v>
      </c>
      <c r="C921">
        <f>LOG10(1.012091)</f>
        <v>5.2195629198731192E-3</v>
      </c>
      <c r="D921">
        <f>LOG10(4.161999)</f>
        <v>0.61930197152805067</v>
      </c>
    </row>
    <row r="922" spans="1:4">
      <c r="A922">
        <v>1.0032559999999999</v>
      </c>
      <c r="B922">
        <v>4.1497349999999997</v>
      </c>
      <c r="C922">
        <f>LOG10(1.003256)</f>
        <v>1.4117657236928825E-3</v>
      </c>
      <c r="D922">
        <f>LOG10(4.149735)</f>
        <v>0.61802036376935576</v>
      </c>
    </row>
    <row r="923" spans="1:4">
      <c r="A923">
        <v>1.008113</v>
      </c>
      <c r="B923">
        <v>4.0391060000000003</v>
      </c>
      <c r="C923">
        <f>LOG10(1.008113)</f>
        <v>3.5092151709286111E-3</v>
      </c>
      <c r="D923">
        <f>LOG10(4.039106)</f>
        <v>0.60628525069685524</v>
      </c>
    </row>
    <row r="924" spans="1:4">
      <c r="A924">
        <v>1.00915</v>
      </c>
      <c r="B924">
        <v>4.288932</v>
      </c>
      <c r="C924">
        <f>LOG10(1.00915)</f>
        <v>3.9557245426910057E-3</v>
      </c>
      <c r="D924">
        <f>LOG10(4.288932)</f>
        <v>0.63234916065761371</v>
      </c>
    </row>
    <row r="925" spans="1:4">
      <c r="A925">
        <v>1.0099830000000001</v>
      </c>
      <c r="B925">
        <v>4.5228919999999997</v>
      </c>
      <c r="C925">
        <f>LOG10(1.009983)</f>
        <v>4.3140638140017522E-3</v>
      </c>
      <c r="D925">
        <f>LOG10(4.522892)</f>
        <v>0.65541621755709745</v>
      </c>
    </row>
    <row r="926" spans="1:4">
      <c r="A926">
        <v>1.0051429999999999</v>
      </c>
      <c r="B926">
        <v>4.5246269999999997</v>
      </c>
      <c r="C926">
        <f>LOG10(1.005143)</f>
        <v>2.2278524957902901E-3</v>
      </c>
      <c r="D926">
        <f>LOG10(4.524627)</f>
        <v>0.65558278276361182</v>
      </c>
    </row>
    <row r="927" spans="1:4">
      <c r="A927">
        <v>1.0071000000000001</v>
      </c>
      <c r="B927">
        <v>4.1942250000000003</v>
      </c>
      <c r="C927">
        <f>LOG10(1.0071)</f>
        <v>3.0725959676749632E-3</v>
      </c>
      <c r="D927">
        <f>LOG10(4.194225)</f>
        <v>0.62265172456456053</v>
      </c>
    </row>
    <row r="928" spans="1:4">
      <c r="A928">
        <v>1.01189</v>
      </c>
      <c r="B928">
        <v>4.3272120000000003</v>
      </c>
      <c r="C928">
        <f>LOG10(1.01189)</f>
        <v>5.1333040161091253E-3</v>
      </c>
      <c r="D928">
        <f>LOG10(4.327212)</f>
        <v>0.63620817279862174</v>
      </c>
    </row>
    <row r="929" spans="1:4">
      <c r="A929">
        <v>1.0051330000000001</v>
      </c>
      <c r="B929">
        <v>4.2573860000000003</v>
      </c>
      <c r="C929">
        <f>LOG10(1.005133)</f>
        <v>2.2235317509582369E-3</v>
      </c>
      <c r="D929">
        <f>LOG10(4.257386)</f>
        <v>0.62914302768953245</v>
      </c>
    </row>
    <row r="930" spans="1:4">
      <c r="A930">
        <v>1.0066710000000001</v>
      </c>
      <c r="B930">
        <v>4.6634070000000003</v>
      </c>
      <c r="C930">
        <f>LOG10(1.006671)</f>
        <v>2.887557713022394E-3</v>
      </c>
      <c r="D930">
        <f>LOG10(4.663407)</f>
        <v>0.6687033202669771</v>
      </c>
    </row>
    <row r="931" spans="1:4">
      <c r="A931">
        <v>1.010505</v>
      </c>
      <c r="B931">
        <v>4.9474980000000004</v>
      </c>
      <c r="C931">
        <f>LOG10(1.010505)</f>
        <v>4.5384667548727768E-3</v>
      </c>
      <c r="D931">
        <f>LOG10(4.947498)</f>
        <v>0.69438562731721321</v>
      </c>
    </row>
    <row r="932" spans="1:4">
      <c r="A932">
        <v>1.012372</v>
      </c>
      <c r="B932">
        <v>5.1643039999999996</v>
      </c>
      <c r="C932">
        <f>LOG10(1.012372)</f>
        <v>5.3401250148074559E-3</v>
      </c>
      <c r="D932">
        <f>LOG10(5.164304)</f>
        <v>0.71301179936443293</v>
      </c>
    </row>
    <row r="933" spans="1:4">
      <c r="A933">
        <v>1.0068779999999999</v>
      </c>
      <c r="B933">
        <v>5.6252969999999998</v>
      </c>
      <c r="C933">
        <f>LOG10(1.006878)</f>
        <v>2.9768517486486517E-3</v>
      </c>
      <c r="D933">
        <f>LOG10(5.625297)</f>
        <v>0.7501454569266941</v>
      </c>
    </row>
    <row r="934" spans="1:4">
      <c r="A934">
        <v>1.0049410000000001</v>
      </c>
      <c r="B934">
        <v>3.727036</v>
      </c>
      <c r="C934">
        <f>LOG10(1.004941)</f>
        <v>2.1405651131339506E-3</v>
      </c>
      <c r="D934">
        <f>LOG10(3.727036)</f>
        <v>0.57136358768966999</v>
      </c>
    </row>
    <row r="935" spans="1:4">
      <c r="A935">
        <v>1.00945</v>
      </c>
      <c r="B935">
        <v>4.6687190000000003</v>
      </c>
      <c r="C935">
        <f>LOG10(1.00945)</f>
        <v>4.0848123714140802E-3</v>
      </c>
      <c r="D935">
        <f>LOG10(4.668719)</f>
        <v>0.66919773548105133</v>
      </c>
    </row>
    <row r="936" spans="1:4">
      <c r="A936">
        <v>1.0094559999999999</v>
      </c>
      <c r="B936">
        <v>4.7665509999999998</v>
      </c>
      <c r="C936">
        <f>LOG10(1.009456)</f>
        <v>4.0873937366598181E-3</v>
      </c>
      <c r="D936">
        <f>LOG10(4.766551)</f>
        <v>0.67820424414304448</v>
      </c>
    </row>
    <row r="937" spans="1:4">
      <c r="A937">
        <v>1.0070730000000001</v>
      </c>
      <c r="B937">
        <v>4.6454529999999998</v>
      </c>
      <c r="C937">
        <f>LOG10(1.007073)</f>
        <v>3.0609525278988466E-3</v>
      </c>
      <c r="D937">
        <f>LOG10(4.645453)</f>
        <v>0.66702807049493351</v>
      </c>
    </row>
    <row r="938" spans="1:4">
      <c r="A938">
        <v>1.011325</v>
      </c>
      <c r="B938">
        <v>4.7812320000000001</v>
      </c>
      <c r="C938">
        <f>LOG10(1.011325)</f>
        <v>4.8907431526775177E-3</v>
      </c>
      <c r="D938">
        <f>LOG10(4.781232)</f>
        <v>0.67953981750362447</v>
      </c>
    </row>
    <row r="939" spans="1:4">
      <c r="A939">
        <v>1.0079199999999999</v>
      </c>
      <c r="B939">
        <v>4.3640499999999998</v>
      </c>
      <c r="C939">
        <f>LOG10(1.00792)</f>
        <v>3.4260629256395369E-3</v>
      </c>
      <c r="D939">
        <f>LOG10(4.36405)</f>
        <v>0.63988971776408132</v>
      </c>
    </row>
    <row r="940" spans="1:4">
      <c r="A940">
        <v>1.0102690000000001</v>
      </c>
      <c r="B940">
        <v>4.546176</v>
      </c>
      <c r="C940">
        <f>LOG10(1.010269)</f>
        <v>4.4370269123222474E-3</v>
      </c>
      <c r="D940">
        <f>LOG10(4.546176)</f>
        <v>0.6576462449281586</v>
      </c>
    </row>
    <row r="941" spans="1:4">
      <c r="A941">
        <v>1.005007</v>
      </c>
      <c r="B941">
        <v>4.3472600000000003</v>
      </c>
      <c r="C941">
        <f>LOG10(1.005007)</f>
        <v>2.1690866826629862E-3</v>
      </c>
      <c r="D941">
        <f>LOG10(4.34726)</f>
        <v>0.63821561515945513</v>
      </c>
    </row>
    <row r="942" spans="1:4">
      <c r="A942">
        <v>1.010867</v>
      </c>
      <c r="B942">
        <v>4.3098369999999999</v>
      </c>
      <c r="C942">
        <f>LOG10(1.010867)</f>
        <v>4.6940191263607454E-3</v>
      </c>
      <c r="D942">
        <f>LOG10(4.309837)</f>
        <v>0.63446084525604751</v>
      </c>
    </row>
    <row r="943" spans="1:4">
      <c r="A943">
        <v>1.0111939999999999</v>
      </c>
      <c r="B943">
        <v>4.4188369999999999</v>
      </c>
      <c r="C943">
        <f>LOG10(1.011194)</f>
        <v>4.8344840251153733E-3</v>
      </c>
      <c r="D943">
        <f>LOG10(4.418837)</f>
        <v>0.64530798180529658</v>
      </c>
    </row>
    <row r="944" spans="1:4">
      <c r="A944">
        <v>1.0206839999999999</v>
      </c>
      <c r="B944">
        <v>4.186814</v>
      </c>
      <c r="C944">
        <f>LOG10(1.020684)</f>
        <v>8.891306927133023E-3</v>
      </c>
      <c r="D944">
        <f>LOG10(4.186814)</f>
        <v>0.62188366770567671</v>
      </c>
    </row>
    <row r="945" spans="1:4">
      <c r="A945">
        <v>1.008734</v>
      </c>
      <c r="B945">
        <v>4.2416520000000002</v>
      </c>
      <c r="C945">
        <f>LOG10(1.008734)</f>
        <v>3.776659237617757E-3</v>
      </c>
      <c r="D945">
        <f>LOG10(4.241652)</f>
        <v>0.62753503460031346</v>
      </c>
    </row>
    <row r="946" spans="1:4">
      <c r="A946">
        <v>1.0106189999999999</v>
      </c>
      <c r="B946">
        <v>4.3709860000000003</v>
      </c>
      <c r="C946">
        <f>LOG10(1.010619)</f>
        <v>4.5874588711303163E-3</v>
      </c>
      <c r="D946">
        <f>LOG10(4.370986)</f>
        <v>0.64057941547329855</v>
      </c>
    </row>
    <row r="947" spans="1:4">
      <c r="A947">
        <v>1.007344</v>
      </c>
      <c r="B947">
        <v>4.2637650000000002</v>
      </c>
      <c r="C947">
        <f>LOG10(1.007344)</f>
        <v>3.1778040093009248E-3</v>
      </c>
      <c r="D947">
        <f>LOG10(4.263765)</f>
        <v>0.62979326027374027</v>
      </c>
    </row>
    <row r="948" spans="1:4">
      <c r="A948">
        <v>1.004615</v>
      </c>
      <c r="B948">
        <v>4.2807449999999996</v>
      </c>
      <c r="C948">
        <f>LOG10(1.004615)</f>
        <v>1.9996583632424679E-3</v>
      </c>
      <c r="D948">
        <f>LOG10(4.280745)</f>
        <v>0.63151935808628068</v>
      </c>
    </row>
    <row r="949" spans="1:4">
      <c r="A949">
        <v>1.010591</v>
      </c>
      <c r="B949">
        <v>4.5245699999999998</v>
      </c>
      <c r="C949">
        <f>LOG10(1.010591)</f>
        <v>4.5754262317766296E-3</v>
      </c>
      <c r="D949">
        <f>LOG10(4.52457)</f>
        <v>0.65557731160733823</v>
      </c>
    </row>
    <row r="950" spans="1:4">
      <c r="A950">
        <v>1.0206550000000001</v>
      </c>
      <c r="B950">
        <v>4.3138050000000003</v>
      </c>
      <c r="C950">
        <f>LOG10(1.020655)</f>
        <v>8.8789674382230774E-3</v>
      </c>
      <c r="D950">
        <f>LOG10(4.313805)</f>
        <v>0.63486050948742678</v>
      </c>
    </row>
    <row r="951" spans="1:4">
      <c r="A951">
        <v>1.005836</v>
      </c>
      <c r="B951">
        <v>3.9808949999999999</v>
      </c>
      <c r="C951">
        <f>LOG10(1.005836)</f>
        <v>2.5271754503041928E-3</v>
      </c>
      <c r="D951">
        <f>LOG10(3.980895)</f>
        <v>0.59998072279334713</v>
      </c>
    </row>
    <row r="952" spans="1:4">
      <c r="A952">
        <v>1.0196670000000001</v>
      </c>
      <c r="B952">
        <v>4.1927490000000001</v>
      </c>
      <c r="C952">
        <f>LOG10(1.019667)</f>
        <v>8.4583642376906531E-3</v>
      </c>
      <c r="D952">
        <f>LOG10(4.192749)</f>
        <v>0.62249886403061661</v>
      </c>
    </row>
    <row r="953" spans="1:4">
      <c r="A953">
        <v>1.0156689999999999</v>
      </c>
      <c r="B953">
        <v>4.265021</v>
      </c>
      <c r="C953">
        <f>LOG10(1.015669)</f>
        <v>6.7521972246656408E-3</v>
      </c>
      <c r="D953">
        <f>LOG10(4.265021)</f>
        <v>0.62992117387673463</v>
      </c>
    </row>
    <row r="954" spans="1:4">
      <c r="A954">
        <v>1.0188410000000001</v>
      </c>
      <c r="B954">
        <v>4.3438330000000001</v>
      </c>
      <c r="C954">
        <f>LOG10(1.018841)</f>
        <v>8.1064134367276851E-3</v>
      </c>
      <c r="D954">
        <f>LOG10(4.343833)</f>
        <v>0.63787312031637411</v>
      </c>
    </row>
    <row r="955" spans="1:4">
      <c r="A955">
        <v>1.0066619999999999</v>
      </c>
      <c r="B955">
        <v>3.9917370000000001</v>
      </c>
      <c r="C955">
        <f>LOG10(1.006662)</f>
        <v>2.8836749471439034E-3</v>
      </c>
      <c r="D955">
        <f>LOG10(3.991737)</f>
        <v>0.60116191958642695</v>
      </c>
    </row>
    <row r="956" spans="1:4">
      <c r="A956">
        <v>1.007444</v>
      </c>
      <c r="B956">
        <v>3.7317</v>
      </c>
      <c r="C956">
        <f>LOG10(1.007444)</f>
        <v>3.2209146971013112E-3</v>
      </c>
      <c r="D956">
        <f>LOG10(3.7317)</f>
        <v>0.57190672253922081</v>
      </c>
    </row>
    <row r="957" spans="1:4">
      <c r="A957">
        <v>1.0065440000000001</v>
      </c>
      <c r="B957">
        <v>3.8234710000000001</v>
      </c>
      <c r="C957">
        <f>LOG10(1.006544)</f>
        <v>2.8327643608221857E-3</v>
      </c>
      <c r="D957">
        <f>LOG10(3.823471)</f>
        <v>0.58245780053050955</v>
      </c>
    </row>
    <row r="958" spans="1:4">
      <c r="A958">
        <v>1.0062610000000001</v>
      </c>
      <c r="B958">
        <v>3.6731950000000002</v>
      </c>
      <c r="C958">
        <f>LOG10(1.006261)</f>
        <v>2.7106409169828554E-3</v>
      </c>
      <c r="D958">
        <f>LOG10(3.673195)</f>
        <v>0.56504398447816018</v>
      </c>
    </row>
    <row r="959" spans="1:4">
      <c r="A959">
        <v>1.0048010000000001</v>
      </c>
      <c r="B959">
        <v>3.5963029999999998</v>
      </c>
      <c r="C959">
        <f>LOG10(1.004801)</f>
        <v>2.0800586127325896E-3</v>
      </c>
      <c r="D959">
        <f>LOG10(3.596303)</f>
        <v>0.55585627529822412</v>
      </c>
    </row>
    <row r="960" spans="1:4">
      <c r="A960">
        <v>1.0090920000000001</v>
      </c>
      <c r="B960">
        <v>3.4433720000000001</v>
      </c>
      <c r="C960">
        <f>LOG10(1.009092)</f>
        <v>3.9307631357266525E-3</v>
      </c>
      <c r="D960">
        <f>LOG10(3.443372)</f>
        <v>0.53698394365155966</v>
      </c>
    </row>
    <row r="961" spans="1:4">
      <c r="A961">
        <v>1.005579</v>
      </c>
      <c r="B961">
        <v>3.4149029999999998</v>
      </c>
      <c r="C961">
        <f>LOG10(1.005579)</f>
        <v>2.4161951876965331E-3</v>
      </c>
      <c r="D961">
        <f>LOG10(3.414903)</f>
        <v>0.53337837209865246</v>
      </c>
    </row>
    <row r="962" spans="1:4">
      <c r="A962">
        <v>1.0088109999999999</v>
      </c>
      <c r="B962">
        <v>3.3648739999999999</v>
      </c>
      <c r="C962">
        <f>LOG10(1.008811)</f>
        <v>3.8098091055242828E-3</v>
      </c>
      <c r="D962">
        <f>LOG10(3.364874)</f>
        <v>0.52696880641163257</v>
      </c>
    </row>
    <row r="963" spans="1:4">
      <c r="A963">
        <v>1.0088349999999999</v>
      </c>
      <c r="B963">
        <v>3.3512460000000002</v>
      </c>
      <c r="C963">
        <f>LOG10(1.008835)</f>
        <v>3.820141014656192E-3</v>
      </c>
      <c r="D963">
        <f>LOG10(3.351246)</f>
        <v>0.52520630862347184</v>
      </c>
    </row>
    <row r="964" spans="1:4">
      <c r="A964">
        <v>1.044918</v>
      </c>
      <c r="B964">
        <v>3.4114239999999998</v>
      </c>
      <c r="C964">
        <f>LOG10(1.044918)</f>
        <v>1.9082210499884126E-2</v>
      </c>
      <c r="D964">
        <f>LOG10(3.411424)</f>
        <v>0.53293570047352967</v>
      </c>
    </row>
    <row r="965" spans="1:4">
      <c r="A965">
        <v>1.05057</v>
      </c>
      <c r="B965">
        <v>3.542869</v>
      </c>
      <c r="C965">
        <f>LOG10(1.05057)</f>
        <v>2.1424994962729833E-2</v>
      </c>
      <c r="D965">
        <f>LOG10(3.542869)</f>
        <v>0.54935509429509166</v>
      </c>
    </row>
    <row r="966" spans="1:4">
      <c r="A966">
        <v>1.05792</v>
      </c>
      <c r="B966">
        <v>3.488378</v>
      </c>
      <c r="C966">
        <f>LOG10(1.05792)</f>
        <v>2.4452827555334646E-2</v>
      </c>
      <c r="D966">
        <f>LOG10(3.488378)</f>
        <v>0.54262353888079473</v>
      </c>
    </row>
    <row r="967" spans="1:4">
      <c r="A967">
        <v>1.0560700000000001</v>
      </c>
      <c r="B967">
        <v>3.236507</v>
      </c>
      <c r="C967">
        <f>LOG10(1.05607)</f>
        <v>2.3692705703647319E-2</v>
      </c>
      <c r="D967">
        <f>LOG10(3.236507)</f>
        <v>0.51007655065816238</v>
      </c>
    </row>
    <row r="968" spans="1:4">
      <c r="A968">
        <v>1.039515</v>
      </c>
      <c r="B968">
        <v>3.4642210000000002</v>
      </c>
      <c r="C968">
        <f>LOG10(1.039515)</f>
        <v>1.6830760497913596E-2</v>
      </c>
      <c r="D968">
        <f>LOG10(3.464221)</f>
        <v>0.53960559004823705</v>
      </c>
    </row>
    <row r="969" spans="1:4">
      <c r="A969">
        <v>1.02698</v>
      </c>
      <c r="B969">
        <v>3.4656099999999999</v>
      </c>
      <c r="C969">
        <f>LOG10(1.02698)</f>
        <v>1.1561985978763569E-2</v>
      </c>
      <c r="D969">
        <f>LOG10(3.46561)</f>
        <v>0.53977968810154942</v>
      </c>
    </row>
    <row r="970" spans="1:4">
      <c r="A970">
        <v>1.025096</v>
      </c>
      <c r="B970">
        <v>3.4121290000000002</v>
      </c>
      <c r="C970">
        <f>LOG10(1.025096)</f>
        <v>1.0764538872715645E-2</v>
      </c>
      <c r="D970">
        <f>LOG10(3.412129)</f>
        <v>0.53302544187682255</v>
      </c>
    </row>
    <row r="971" spans="1:4">
      <c r="A971">
        <v>1.024151</v>
      </c>
      <c r="B971">
        <v>3.368455</v>
      </c>
      <c r="C971">
        <f>LOG10(1.024151)</f>
        <v>1.0363993389920924E-2</v>
      </c>
      <c r="D971">
        <f>LOG10(3.368455)</f>
        <v>0.52743074988307848</v>
      </c>
    </row>
    <row r="972" spans="1:4">
      <c r="A972">
        <v>1.0166230000000001</v>
      </c>
      <c r="B972">
        <v>3.3519380000000001</v>
      </c>
      <c r="C972">
        <f>LOG10(1.016623)</f>
        <v>7.1599309225477779E-3</v>
      </c>
      <c r="D972">
        <f>LOG10(3.351938)</f>
        <v>0.52529597699078645</v>
      </c>
    </row>
    <row r="973" spans="1:4">
      <c r="A973">
        <v>1.015164</v>
      </c>
      <c r="B973">
        <v>3.3931870000000002</v>
      </c>
      <c r="C973">
        <f>LOG10(1.015164)</f>
        <v>6.5362083000404681E-3</v>
      </c>
      <c r="D973">
        <f>LOG10(3.393187)</f>
        <v>0.53060779446098316</v>
      </c>
    </row>
    <row r="974" spans="1:4">
      <c r="A974">
        <v>1.0116989999999999</v>
      </c>
      <c r="B974">
        <v>3.2994089999999998</v>
      </c>
      <c r="C974">
        <f>LOG10(1.011699)</f>
        <v>5.0513207217841669E-3</v>
      </c>
      <c r="D974">
        <f>LOG10(3.299409)</f>
        <v>0.51843615471879489</v>
      </c>
    </row>
    <row r="975" spans="1:4">
      <c r="A975">
        <v>1.012448</v>
      </c>
      <c r="B975">
        <v>3.3166229999999999</v>
      </c>
      <c r="C975">
        <f>LOG10(1.012448)</f>
        <v>5.3727268072039473E-3</v>
      </c>
      <c r="D975">
        <f>LOG10(3.316623)</f>
        <v>0.52069610814147493</v>
      </c>
    </row>
    <row r="976" spans="1:4">
      <c r="A976">
        <v>1.0052449999999999</v>
      </c>
      <c r="B976">
        <v>3.4557289999999998</v>
      </c>
      <c r="C976">
        <f>LOG10(1.005245)</f>
        <v>2.2719216378585499E-3</v>
      </c>
      <c r="D976">
        <f>LOG10(3.455729)</f>
        <v>0.5385396775512773</v>
      </c>
    </row>
    <row r="977" spans="1:4">
      <c r="A977">
        <v>1.022051</v>
      </c>
      <c r="B977">
        <v>3.4006340000000002</v>
      </c>
      <c r="C977">
        <f>LOG10(1.022051)</f>
        <v>9.4725674874939422E-3</v>
      </c>
      <c r="D977">
        <f>LOG10(3.400634)</f>
        <v>0.53155989264021386</v>
      </c>
    </row>
    <row r="978" spans="1:4">
      <c r="A978">
        <v>1.034659</v>
      </c>
      <c r="B978">
        <v>3.344808</v>
      </c>
      <c r="C978">
        <f>LOG10(1.034659)</f>
        <v>1.4797239822000203E-2</v>
      </c>
      <c r="D978">
        <f>LOG10(3.344808)</f>
        <v>0.52437119327462933</v>
      </c>
    </row>
    <row r="979" spans="1:4">
      <c r="A979">
        <v>1.022654</v>
      </c>
      <c r="B979">
        <v>3.354066</v>
      </c>
      <c r="C979">
        <f>LOG10(1.022654)</f>
        <v>9.7287213876209311E-3</v>
      </c>
      <c r="D979">
        <f>LOG10(3.354066)</f>
        <v>0.5255716042312446</v>
      </c>
    </row>
    <row r="980" spans="1:4">
      <c r="A980">
        <v>1.018559</v>
      </c>
      <c r="B980">
        <v>3.1911149999999999</v>
      </c>
      <c r="C980">
        <f>LOG10(1.018559)</f>
        <v>7.9861905598465031E-3</v>
      </c>
      <c r="D980">
        <f>LOG10(3.191115)</f>
        <v>0.50394245538921101</v>
      </c>
    </row>
    <row r="981" spans="1:4">
      <c r="A981">
        <v>1.026251</v>
      </c>
      <c r="B981">
        <v>3.3455789999999999</v>
      </c>
      <c r="C981">
        <f>LOG10(1.026251)</f>
        <v>1.1253593313144272E-2</v>
      </c>
      <c r="D981">
        <f>LOG10(3.345579)</f>
        <v>0.52447128944157151</v>
      </c>
    </row>
    <row r="982" spans="1:4">
      <c r="A982">
        <v>1.0112509999999999</v>
      </c>
      <c r="B982">
        <v>3.427168</v>
      </c>
      <c r="C982">
        <f>LOG10(1.011251)</f>
        <v>4.8589640831392285E-3</v>
      </c>
      <c r="D982">
        <f>LOG10(3.427168)</f>
        <v>0.53493539409565116</v>
      </c>
    </row>
    <row r="983" spans="1:4">
      <c r="A983">
        <v>1.0148779999999999</v>
      </c>
      <c r="B983">
        <v>3.4716369999999999</v>
      </c>
      <c r="C983">
        <f>LOG10(1.014878)</f>
        <v>6.413838198686796E-3</v>
      </c>
      <c r="D983">
        <f>LOG10(3.471637)</f>
        <v>0.54053430834239902</v>
      </c>
    </row>
    <row r="984" spans="1:4">
      <c r="A984">
        <v>1.0123770000000001</v>
      </c>
      <c r="B984">
        <v>3.292538</v>
      </c>
      <c r="C984">
        <f>LOG10(1.012377)</f>
        <v>5.3422699447810331E-3</v>
      </c>
      <c r="D984">
        <f>LOG10(3.292538)</f>
        <v>0.51753079596338203</v>
      </c>
    </row>
    <row r="985" spans="1:4">
      <c r="A985">
        <v>1.01535</v>
      </c>
      <c r="B985">
        <v>3.3303479999999999</v>
      </c>
      <c r="C985">
        <f>LOG10(1.01535)</f>
        <v>6.6157731529397357E-3</v>
      </c>
      <c r="D985">
        <f>LOG10(3.330348)</f>
        <v>0.52248961686461881</v>
      </c>
    </row>
    <row r="986" spans="1:4">
      <c r="A986">
        <v>1.016602</v>
      </c>
      <c r="B986">
        <v>3.2605559999999998</v>
      </c>
      <c r="C986">
        <f>LOG10(1.016602)</f>
        <v>7.1509597716713979E-3</v>
      </c>
      <c r="D986">
        <f>LOG10(3.260556)</f>
        <v>0.51329166360869327</v>
      </c>
    </row>
    <row r="987" spans="1:4">
      <c r="A987">
        <v>1.0112140000000001</v>
      </c>
      <c r="B987">
        <v>3.0964070000000001</v>
      </c>
      <c r="C987">
        <f>LOG10(1.011214)</f>
        <v>4.843073676301885E-3</v>
      </c>
      <c r="D987">
        <f>LOG10(3.096407)</f>
        <v>0.49085804058865329</v>
      </c>
    </row>
    <row r="988" spans="1:4">
      <c r="A988">
        <v>1.0372589999999999</v>
      </c>
      <c r="B988">
        <v>3.1811790000000002</v>
      </c>
      <c r="C988">
        <f>LOG10(1.037259)</f>
        <v>1.5887211766501041E-2</v>
      </c>
      <c r="D988">
        <f>LOG10(3.181179)</f>
        <v>0.50258810687067723</v>
      </c>
    </row>
    <row r="989" spans="1:4">
      <c r="A989">
        <v>1.0294490000000001</v>
      </c>
      <c r="B989">
        <v>3.1685840000000001</v>
      </c>
      <c r="C989">
        <f>LOG10(1.029449)</f>
        <v>1.2604836075749094E-2</v>
      </c>
      <c r="D989">
        <f>LOG10(3.168584)</f>
        <v>0.50086522487546659</v>
      </c>
    </row>
    <row r="990" spans="1:4">
      <c r="A990">
        <v>1.0270630000000001</v>
      </c>
      <c r="B990">
        <v>3.286629</v>
      </c>
      <c r="C990">
        <f>LOG10(1.027063)</f>
        <v>1.1597084019084646E-2</v>
      </c>
      <c r="D990">
        <f>LOG10(3.286629)</f>
        <v>0.51675068298446258</v>
      </c>
    </row>
    <row r="991" spans="1:4">
      <c r="A991">
        <v>1.021811</v>
      </c>
      <c r="B991">
        <v>3.2475540000000001</v>
      </c>
      <c r="C991">
        <f>LOG10(1.021811)</f>
        <v>9.3705736384612267E-3</v>
      </c>
      <c r="D991">
        <f>LOG10(3.247554)</f>
        <v>0.5115563812098981</v>
      </c>
    </row>
    <row r="992" spans="1:4">
      <c r="A992">
        <v>1.026958</v>
      </c>
      <c r="B992">
        <v>3.296049</v>
      </c>
      <c r="C992">
        <f>LOG10(1.026958)</f>
        <v>1.1552682408157034E-2</v>
      </c>
      <c r="D992">
        <f>LOG10(3.296049)</f>
        <v>0.51799365941810971</v>
      </c>
    </row>
    <row r="993" spans="1:4">
      <c r="A993">
        <v>1.0105679999999999</v>
      </c>
      <c r="B993">
        <v>3.2946610000000001</v>
      </c>
      <c r="C993">
        <f>LOG10(1.010568)</f>
        <v>4.5655420286196766E-3</v>
      </c>
      <c r="D993">
        <f>LOG10(3.294661)</f>
        <v>0.51781073504431885</v>
      </c>
    </row>
    <row r="994" spans="1:4">
      <c r="A994">
        <v>1.0149969999999999</v>
      </c>
      <c r="B994">
        <v>3.3928980000000002</v>
      </c>
      <c r="C994">
        <f>LOG10(1.014997)</f>
        <v>6.4647586183241481E-3</v>
      </c>
      <c r="D994">
        <f>LOG10(3.392898)</f>
        <v>0.53057080373500609</v>
      </c>
    </row>
    <row r="995" spans="1:4">
      <c r="A995">
        <v>1.01905</v>
      </c>
      <c r="B995">
        <v>3.4274460000000002</v>
      </c>
      <c r="C995">
        <f>LOG10(1.01905)</f>
        <v>8.1954933208195878E-3</v>
      </c>
      <c r="D995">
        <f>LOG10(3.427446)</f>
        <v>0.53497062113134863</v>
      </c>
    </row>
    <row r="996" spans="1:4">
      <c r="A996">
        <v>1.0234270000000001</v>
      </c>
      <c r="B996">
        <v>3.3492600000000001</v>
      </c>
      <c r="C996">
        <f>LOG10(1.023427)</f>
        <v>1.0056870322568422E-2</v>
      </c>
      <c r="D996">
        <f>LOG10(3.34926)</f>
        <v>0.52494886273317132</v>
      </c>
    </row>
    <row r="997" spans="1:4">
      <c r="A997">
        <v>1.0234190000000001</v>
      </c>
      <c r="B997">
        <v>3.4281299999999999</v>
      </c>
      <c r="C997">
        <f>LOG10(1.023419)</f>
        <v>1.0053475484016576E-2</v>
      </c>
      <c r="D997">
        <f>LOG10(3.42813)</f>
        <v>0.53505728268294028</v>
      </c>
    </row>
    <row r="998" spans="1:4">
      <c r="A998">
        <v>1.015693</v>
      </c>
      <c r="B998">
        <v>3.2651349999999999</v>
      </c>
      <c r="C998">
        <f>LOG10(1.015693)</f>
        <v>6.7624593715071915E-3</v>
      </c>
      <c r="D998">
        <f>LOG10(3.265135)</f>
        <v>0.51390114228582162</v>
      </c>
    </row>
    <row r="999" spans="1:4">
      <c r="A999">
        <v>1.0470699999999999</v>
      </c>
      <c r="B999">
        <v>3.3321589999999999</v>
      </c>
      <c r="C999">
        <f>LOG10(1.04707)</f>
        <v>1.9975716633494782E-2</v>
      </c>
      <c r="D999">
        <f>LOG10(3.332159)</f>
        <v>0.52272571637673859</v>
      </c>
    </row>
    <row r="1000" spans="1:4">
      <c r="A1000">
        <v>1.014726</v>
      </c>
      <c r="B1000">
        <v>3.5235370000000001</v>
      </c>
      <c r="C1000">
        <f>LOG10(1.014726)</f>
        <v>6.3487883058282093E-3</v>
      </c>
      <c r="D1000">
        <f>LOG10(3.523537)</f>
        <v>0.5469788363019864</v>
      </c>
    </row>
    <row r="1001" spans="1:4">
      <c r="A1001">
        <v>1.0362830000000001</v>
      </c>
      <c r="B1001">
        <v>3.3418260000000002</v>
      </c>
      <c r="C1001">
        <f>LOG10(1.036283)</f>
        <v>1.5478373705212113E-2</v>
      </c>
      <c r="D1001">
        <f>LOG10(3.341826)</f>
        <v>0.52398383358636424</v>
      </c>
    </row>
    <row r="1002" spans="1:4">
      <c r="A1002">
        <v>1.0164930000000001</v>
      </c>
      <c r="B1002">
        <v>3.320843</v>
      </c>
      <c r="C1002">
        <f>LOG10(1.016493)</f>
        <v>7.1043922491771001E-3</v>
      </c>
      <c r="D1002">
        <f>LOG10(3.320843)</f>
        <v>0.52124834387739405</v>
      </c>
    </row>
    <row r="1003" spans="1:4">
      <c r="A1003">
        <v>1.0097879999999999</v>
      </c>
      <c r="B1003">
        <v>3.2708849999999998</v>
      </c>
      <c r="C1003">
        <f>LOG10(1.009788)</f>
        <v>4.230205372391954E-3</v>
      </c>
      <c r="D1003">
        <f>LOG10(3.270885)</f>
        <v>0.51466527517255456</v>
      </c>
    </row>
    <row r="1004" spans="1:4">
      <c r="A1004">
        <v>1.0065710000000001</v>
      </c>
      <c r="B1004">
        <v>3.1264889999999999</v>
      </c>
      <c r="C1004">
        <f>LOG10(1.006571)</f>
        <v>2.844413919850945E-3</v>
      </c>
      <c r="D1004">
        <f>LOG10(3.126489)</f>
        <v>0.49505690503085498</v>
      </c>
    </row>
    <row r="1005" spans="1:4">
      <c r="A1005">
        <v>1.006035</v>
      </c>
      <c r="B1005">
        <v>3.1631079999999998</v>
      </c>
      <c r="C1005">
        <f>LOG10(1.006035)</f>
        <v>2.6130901060456651E-3</v>
      </c>
      <c r="D1005">
        <f>LOG10(3.163108)</f>
        <v>0.50011402056045984</v>
      </c>
    </row>
    <row r="1006" spans="1:4">
      <c r="A1006">
        <v>1.0083819999999999</v>
      </c>
      <c r="B1006">
        <v>3.224815</v>
      </c>
      <c r="C1006">
        <f>LOG10(1.008382)</f>
        <v>3.6250847528763951E-3</v>
      </c>
      <c r="D1006">
        <f>LOG10(3.224815)</f>
        <v>0.50850480523990849</v>
      </c>
    </row>
    <row r="1007" spans="1:4">
      <c r="A1007">
        <v>1.0094970000000001</v>
      </c>
      <c r="B1007">
        <v>3.3292169999999999</v>
      </c>
      <c r="C1007">
        <f>LOG10(1.009497)</f>
        <v>4.1050326552087481E-3</v>
      </c>
      <c r="D1007">
        <f>LOG10(3.329217)</f>
        <v>0.52234210360699462</v>
      </c>
    </row>
    <row r="1008" spans="1:4">
      <c r="A1008">
        <v>1.0090440000000001</v>
      </c>
      <c r="B1008">
        <v>3.333526</v>
      </c>
      <c r="C1008">
        <f>LOG10(1.009044)</f>
        <v>3.9101043345999616E-3</v>
      </c>
      <c r="D1008">
        <f>LOG10(3.333526)</f>
        <v>0.52290384677596535</v>
      </c>
    </row>
    <row r="1009" spans="1:4">
      <c r="A1009">
        <v>1.013347</v>
      </c>
      <c r="B1009">
        <v>3.069242</v>
      </c>
      <c r="C1009">
        <f>LOG10(1.013347)</f>
        <v>5.758186110698298E-3</v>
      </c>
      <c r="D1009">
        <f>LOG10(3.069242)</f>
        <v>0.48703113252473229</v>
      </c>
    </row>
    <row r="1010" spans="1:4">
      <c r="A1010">
        <v>1.012303</v>
      </c>
      <c r="B1010">
        <v>3.1192329999999999</v>
      </c>
      <c r="C1010">
        <f>LOG10(1.012303)</f>
        <v>5.3105238993069754E-3</v>
      </c>
      <c r="D1010">
        <f>LOG10(3.119233)</f>
        <v>0.49404781683307469</v>
      </c>
    </row>
    <row r="1011" spans="1:4">
      <c r="A1011">
        <v>1.0090790000000001</v>
      </c>
      <c r="B1011">
        <v>3.0689150000000001</v>
      </c>
      <c r="C1011">
        <f>LOG10(1.009079)</f>
        <v>3.925168140788326E-3</v>
      </c>
      <c r="D1011">
        <f>LOG10(3.068915)</f>
        <v>0.48698485990716428</v>
      </c>
    </row>
    <row r="1012" spans="1:4">
      <c r="A1012">
        <v>1.009139</v>
      </c>
      <c r="B1012">
        <v>2.8644750000000001</v>
      </c>
      <c r="C1012">
        <f>LOG10(1.009139)</f>
        <v>3.9509905929930433E-3</v>
      </c>
      <c r="D1012">
        <f>LOG10(2.864475)</f>
        <v>0.45704503625243997</v>
      </c>
    </row>
    <row r="1013" spans="1:4">
      <c r="A1013">
        <v>1.012289</v>
      </c>
      <c r="B1013">
        <v>2.962256</v>
      </c>
      <c r="C1013">
        <f>LOG10(1.012289)</f>
        <v>5.3045176296519295E-3</v>
      </c>
      <c r="D1013">
        <f>LOG10(2.962256)</f>
        <v>0.47162258780542365</v>
      </c>
    </row>
    <row r="1014" spans="1:4">
      <c r="A1014">
        <v>1.012886</v>
      </c>
      <c r="B1014">
        <v>2.892598</v>
      </c>
      <c r="C1014">
        <f>LOG10(1.012886)</f>
        <v>5.5605684037396868E-3</v>
      </c>
      <c r="D1014">
        <f>LOG10(2.892598)</f>
        <v>0.46128808158688012</v>
      </c>
    </row>
    <row r="1015" spans="1:4">
      <c r="A1015">
        <v>1.0082800000000001</v>
      </c>
      <c r="B1015">
        <v>2.8435609999999998</v>
      </c>
      <c r="C1015">
        <f>LOG10(1.00828)</f>
        <v>3.581152713504572E-3</v>
      </c>
      <c r="D1015">
        <f>LOG10(2.843561)</f>
        <v>0.45386254916256352</v>
      </c>
    </row>
    <row r="1016" spans="1:4">
      <c r="A1016">
        <v>1.01081</v>
      </c>
      <c r="B1016">
        <v>2.9288859999999999</v>
      </c>
      <c r="C1016">
        <f>LOG10(1.01081)</f>
        <v>4.6695297687877673E-3</v>
      </c>
      <c r="D1016">
        <f>LOG10(2.928886)</f>
        <v>0.46670246811913835</v>
      </c>
    </row>
    <row r="1017" spans="1:4">
      <c r="A1017">
        <v>1.0177449999999999</v>
      </c>
      <c r="B1017">
        <v>2.9263140000000001</v>
      </c>
      <c r="C1017">
        <f>LOG10(1.017745)</f>
        <v>7.6389774452041712E-3</v>
      </c>
      <c r="D1017">
        <f>LOG10(2.926314)</f>
        <v>0.46632092505338502</v>
      </c>
    </row>
    <row r="1018" spans="1:4">
      <c r="A1018">
        <v>1.0080089999999999</v>
      </c>
      <c r="B1018">
        <v>2.947533</v>
      </c>
      <c r="C1018">
        <f>LOG10(1.008009)</f>
        <v>3.464409721498423E-3</v>
      </c>
      <c r="D1018">
        <f>LOG10(2.947533)</f>
        <v>0.46945867606998509</v>
      </c>
    </row>
    <row r="1019" spans="1:4">
      <c r="A1019">
        <v>1.017326</v>
      </c>
      <c r="B1019">
        <v>2.891159</v>
      </c>
      <c r="C1019">
        <f>LOG10(1.017326)</f>
        <v>7.4601439887904148E-3</v>
      </c>
      <c r="D1019">
        <f>LOG10(2.891159)</f>
        <v>0.46107197645924292</v>
      </c>
    </row>
    <row r="1020" spans="1:4">
      <c r="A1020">
        <v>1.0096959999999999</v>
      </c>
      <c r="B1020">
        <v>3.004429</v>
      </c>
      <c r="C1020">
        <f>LOG10(1.009696)</f>
        <v>4.1906357671237454E-3</v>
      </c>
      <c r="D1020">
        <f>LOG10(3.004429)</f>
        <v>0.47776194531961724</v>
      </c>
    </row>
    <row r="1021" spans="1:4">
      <c r="A1021">
        <v>1.008561</v>
      </c>
      <c r="B1021">
        <v>2.880798</v>
      </c>
      <c r="C1021">
        <f>LOG10(1.008561)</f>
        <v>3.7021704339936542E-3</v>
      </c>
      <c r="D1021">
        <f>LOG10(2.880798)</f>
        <v>0.45951280685348672</v>
      </c>
    </row>
    <row r="1022" spans="1:4">
      <c r="A1022">
        <v>1.0180039999999999</v>
      </c>
      <c r="B1022">
        <v>3.0440200000000002</v>
      </c>
      <c r="C1022">
        <f>LOG10(1.018004)</f>
        <v>7.7494844590058152E-3</v>
      </c>
      <c r="D1022">
        <f>LOG10(3.04402)</f>
        <v>0.48344750153516591</v>
      </c>
    </row>
    <row r="1023" spans="1:4">
      <c r="A1023">
        <v>1.0119769999999999</v>
      </c>
      <c r="B1023">
        <v>3.0892970000000002</v>
      </c>
      <c r="C1023">
        <f>LOG10(1.011977)</f>
        <v>5.1706420624815733E-3</v>
      </c>
      <c r="D1023">
        <f>LOG10(3.089297)</f>
        <v>0.48985966267526099</v>
      </c>
    </row>
    <row r="1024" spans="1:4">
      <c r="A1024">
        <v>1.00461</v>
      </c>
      <c r="B1024">
        <v>3.1967020000000002</v>
      </c>
      <c r="C1024">
        <f>LOG10(1.00461)</f>
        <v>1.9974968607631188E-3</v>
      </c>
      <c r="D1024">
        <f>LOG10(3.196702)</f>
        <v>0.50470215275972541</v>
      </c>
    </row>
    <row r="1025" spans="1:4">
      <c r="A1025">
        <v>1.01481</v>
      </c>
      <c r="B1025">
        <v>3.33162</v>
      </c>
      <c r="C1025">
        <f>LOG10(1.01481)</f>
        <v>6.3847381352480298E-3</v>
      </c>
      <c r="D1025">
        <f>LOG10(3.33162)</f>
        <v>0.52265546052754064</v>
      </c>
    </row>
    <row r="1026" spans="1:4">
      <c r="A1026">
        <v>1.0130399999999999</v>
      </c>
      <c r="B1026">
        <v>3.2620840000000002</v>
      </c>
      <c r="C1026">
        <f>LOG10(1.01304)</f>
        <v>5.6265938660141372E-3</v>
      </c>
      <c r="D1026">
        <f>LOG10(3.262084)</f>
        <v>0.51349514010915553</v>
      </c>
    </row>
    <row r="1027" spans="1:4">
      <c r="A1027">
        <v>1.016753</v>
      </c>
      <c r="B1027">
        <v>3.3518080000000001</v>
      </c>
      <c r="C1027">
        <f>LOG10(1.016753)</f>
        <v>7.2154624944010216E-3</v>
      </c>
      <c r="D1027">
        <f>LOG10(3.351808)</f>
        <v>0.52527913318952824</v>
      </c>
    </row>
    <row r="1028" spans="1:4">
      <c r="A1028">
        <v>1.005738</v>
      </c>
      <c r="B1028">
        <v>3.2143670000000002</v>
      </c>
      <c r="C1028">
        <f>LOG10(1.005738)</f>
        <v>2.4848594736012119E-3</v>
      </c>
      <c r="D1028">
        <f>LOG10(3.214367)</f>
        <v>0.50709546078313417</v>
      </c>
    </row>
    <row r="1029" spans="1:4">
      <c r="A1029">
        <v>1.0140279999999999</v>
      </c>
      <c r="B1029">
        <v>3.2629250000000001</v>
      </c>
      <c r="C1029">
        <f>LOG10(1.014028)</f>
        <v>6.0499471843027874E-3</v>
      </c>
      <c r="D1029">
        <f>LOG10(3.262925)</f>
        <v>0.51360709142180594</v>
      </c>
    </row>
    <row r="1030" spans="1:4">
      <c r="A1030">
        <v>1.0088630000000001</v>
      </c>
      <c r="B1030">
        <v>3.3974730000000002</v>
      </c>
      <c r="C1030">
        <f>LOG10(1.008863)</f>
        <v>3.8321945979913909E-3</v>
      </c>
      <c r="D1030">
        <f>LOG10(3.397473)</f>
        <v>0.53115601404394186</v>
      </c>
    </row>
    <row r="1031" spans="1:4">
      <c r="A1031">
        <v>1.013595</v>
      </c>
      <c r="B1031">
        <v>3.0186760000000001</v>
      </c>
      <c r="C1031">
        <f>LOG10(1.013595)</f>
        <v>5.8644595334696095E-3</v>
      </c>
      <c r="D1031">
        <f>LOG10(3.018676)</f>
        <v>0.47981650190575004</v>
      </c>
    </row>
    <row r="1032" spans="1:4">
      <c r="A1032">
        <v>1.007366</v>
      </c>
      <c r="B1032">
        <v>3.2405110000000001</v>
      </c>
      <c r="C1032">
        <f>LOG10(1.007366)</f>
        <v>3.1872887277986112E-3</v>
      </c>
      <c r="D1032">
        <f>LOG10(3.240511)</f>
        <v>0.51061350001573758</v>
      </c>
    </row>
    <row r="1033" spans="1:4">
      <c r="A1033">
        <v>1.0212600000000001</v>
      </c>
      <c r="B1033">
        <v>3.3806430000000001</v>
      </c>
      <c r="C1033">
        <f>LOG10(1.02126)</f>
        <v>9.1363220971977851E-3</v>
      </c>
      <c r="D1033">
        <f>LOG10(3.380643)</f>
        <v>0.52899931116324828</v>
      </c>
    </row>
    <row r="1034" spans="1:4">
      <c r="A1034">
        <v>1.0172410000000001</v>
      </c>
      <c r="B1034">
        <v>3.257234</v>
      </c>
      <c r="C1034">
        <f>LOG10(1.017241)</f>
        <v>7.4238561388614557E-3</v>
      </c>
      <c r="D1034">
        <f>LOG10(3.257234)</f>
        <v>0.51284895944246178</v>
      </c>
    </row>
    <row r="1035" spans="1:4">
      <c r="A1035">
        <v>1.011199</v>
      </c>
      <c r="B1035">
        <v>3.2247710000000001</v>
      </c>
      <c r="C1035">
        <f>LOG10(1.011199)</f>
        <v>4.8366314538392016E-3</v>
      </c>
      <c r="D1035">
        <f>LOG10(3.224771)</f>
        <v>0.50849887960151741</v>
      </c>
    </row>
    <row r="1036" spans="1:4">
      <c r="A1036">
        <v>1.0091030000000001</v>
      </c>
      <c r="B1036">
        <v>3.251099</v>
      </c>
      <c r="C1036">
        <f>LOG10(1.009103)</f>
        <v>3.9354973059143455E-3</v>
      </c>
      <c r="D1036">
        <f>LOG10(3.251099)</f>
        <v>0.51203019450353171</v>
      </c>
    </row>
    <row r="1037" spans="1:4">
      <c r="A1037">
        <v>1.0170760000000001</v>
      </c>
      <c r="B1037">
        <v>3.1530269999999998</v>
      </c>
      <c r="C1037">
        <f>LOG10(1.017076)</f>
        <v>7.3534063616918595E-3</v>
      </c>
      <c r="D1037">
        <f>LOG10(3.153027)</f>
        <v>0.49872768971422415</v>
      </c>
    </row>
    <row r="1038" spans="1:4">
      <c r="A1038">
        <v>1.0142040000000001</v>
      </c>
      <c r="B1038">
        <v>3.2585679999999999</v>
      </c>
      <c r="C1038">
        <f>LOG10(1.014204)</f>
        <v>6.1253190638578883E-3</v>
      </c>
      <c r="D1038">
        <f>LOG10(3.258568)</f>
        <v>0.51302678831048254</v>
      </c>
    </row>
    <row r="1039" spans="1:4">
      <c r="A1039">
        <v>1.0066390000000001</v>
      </c>
      <c r="B1039">
        <v>3.2789079999999999</v>
      </c>
      <c r="C1039">
        <f>LOG10(1.006639)</f>
        <v>2.8737521655189413E-3</v>
      </c>
      <c r="D1039">
        <f>LOG10(3.278908)</f>
        <v>0.51572923135284732</v>
      </c>
    </row>
    <row r="1040" spans="1:4">
      <c r="A1040">
        <v>1.010165</v>
      </c>
      <c r="B1040">
        <v>3.7133069999999999</v>
      </c>
      <c r="C1040">
        <f>LOG10(1.010165)</f>
        <v>4.3923170864552568E-3</v>
      </c>
      <c r="D1040">
        <f>LOG10(3.713307)</f>
        <v>0.569760856280909</v>
      </c>
    </row>
    <row r="1041" spans="1:4">
      <c r="A1041">
        <v>1.0150330000000001</v>
      </c>
      <c r="B1041">
        <v>3.2694580000000002</v>
      </c>
      <c r="C1041">
        <f>LOG10(1.015033)</f>
        <v>6.4801619388171645E-3</v>
      </c>
      <c r="D1041">
        <f>LOG10(3.269458)</f>
        <v>0.51447576271563611</v>
      </c>
    </row>
    <row r="1042" spans="1:4">
      <c r="A1042">
        <v>1.0154570000000001</v>
      </c>
      <c r="B1042">
        <v>3.2528929999999998</v>
      </c>
      <c r="C1042">
        <f>LOG10(1.015457)</f>
        <v>6.6615377279157758E-3</v>
      </c>
      <c r="D1042">
        <f>LOG10(3.252893)</f>
        <v>0.5122697779225438</v>
      </c>
    </row>
    <row r="1043" spans="1:4">
      <c r="A1043">
        <v>1.0105649999999999</v>
      </c>
      <c r="B1043">
        <v>3.344824</v>
      </c>
      <c r="C1043">
        <f>LOG10(1.010565)</f>
        <v>4.5642527681447843E-3</v>
      </c>
      <c r="D1043">
        <f>LOG10(3.344824)</f>
        <v>0.52437327073171836</v>
      </c>
    </row>
    <row r="1044" spans="1:4">
      <c r="A1044">
        <v>1.0169490000000001</v>
      </c>
      <c r="B1044">
        <v>3.5133589999999999</v>
      </c>
      <c r="C1044">
        <f>LOG10(1.016949)</f>
        <v>7.2991735973223148E-3</v>
      </c>
      <c r="D1044">
        <f>LOG10(3.513359)</f>
        <v>0.54572252888484984</v>
      </c>
    </row>
    <row r="1045" spans="1:4">
      <c r="A1045">
        <v>1.0092239999999999</v>
      </c>
      <c r="B1045">
        <v>3.4266890000000001</v>
      </c>
      <c r="C1045">
        <f>LOG10(1.009224)</f>
        <v>3.9875697722423185E-3</v>
      </c>
      <c r="D1045">
        <f>LOG10(3.426689)</f>
        <v>0.53487469044888103</v>
      </c>
    </row>
    <row r="1046" spans="1:4">
      <c r="A1046">
        <v>1.0092399999999999</v>
      </c>
      <c r="B1046">
        <v>3.4339050000000002</v>
      </c>
      <c r="C1046">
        <f>LOG10(1.00924)</f>
        <v>3.9944549202663646E-3</v>
      </c>
      <c r="D1046">
        <f>LOG10(3.433905)</f>
        <v>0.53578827610547941</v>
      </c>
    </row>
    <row r="1047" spans="1:4">
      <c r="A1047">
        <v>1.0165850000000001</v>
      </c>
      <c r="B1047">
        <v>3.2065869999999999</v>
      </c>
      <c r="C1047">
        <f>LOG10(1.016585)</f>
        <v>7.1436972757057066E-3</v>
      </c>
      <c r="D1047">
        <f>LOG10(3.206587)</f>
        <v>0.50604302753950614</v>
      </c>
    </row>
    <row r="1048" spans="1:4">
      <c r="A1048">
        <v>1.0196559999999999</v>
      </c>
      <c r="B1048">
        <v>3.4352909999999999</v>
      </c>
      <c r="C1048">
        <f>LOG10(1.019656)</f>
        <v>8.4536791149307268E-3</v>
      </c>
      <c r="D1048">
        <f>LOG10(3.435291)</f>
        <v>0.5359635315968313</v>
      </c>
    </row>
    <row r="1049" spans="1:4">
      <c r="A1049">
        <v>1.0090110000000001</v>
      </c>
      <c r="B1049">
        <v>3.2153510000000001</v>
      </c>
      <c r="C1049">
        <f>LOG10(1.009011)</f>
        <v>3.895900838754642E-3</v>
      </c>
      <c r="D1049">
        <f>LOG10(3.215351)</f>
        <v>0.50722838909306289</v>
      </c>
    </row>
    <row r="1050" spans="1:4">
      <c r="A1050">
        <v>1.0116179999999999</v>
      </c>
      <c r="B1050">
        <v>3.4782660000000001</v>
      </c>
      <c r="C1050">
        <f>LOG10(1.011618)</f>
        <v>5.0165482634368539E-3</v>
      </c>
      <c r="D1050">
        <f>LOG10(3.478266)</f>
        <v>0.54136279155823908</v>
      </c>
    </row>
    <row r="1051" spans="1:4">
      <c r="A1051">
        <v>1.009827</v>
      </c>
      <c r="B1051">
        <v>3.3948849999999999</v>
      </c>
      <c r="C1051">
        <f>LOG10(1.009827)</f>
        <v>4.2469783561501304E-3</v>
      </c>
      <c r="D1051">
        <f>LOG10(3.394885)</f>
        <v>0.53082506736134494</v>
      </c>
    </row>
    <row r="1052" spans="1:4">
      <c r="A1052">
        <v>1.0134559999999999</v>
      </c>
      <c r="B1052">
        <v>3.2468979999999998</v>
      </c>
      <c r="C1052">
        <f>LOG10(1.013456)</f>
        <v>5.8048981972435168E-3</v>
      </c>
      <c r="D1052">
        <f>LOG10(3.246898)</f>
        <v>0.511468645653119</v>
      </c>
    </row>
    <row r="1053" spans="1:4">
      <c r="A1053">
        <v>1.012332</v>
      </c>
      <c r="B1053">
        <v>3.3674650000000002</v>
      </c>
      <c r="C1053">
        <f>LOG10(1.012332)</f>
        <v>5.3229651936401072E-3</v>
      </c>
      <c r="D1053">
        <f>LOG10(3.367465)</f>
        <v>0.52730309054621582</v>
      </c>
    </row>
    <row r="1054" spans="1:4">
      <c r="A1054">
        <v>1.0154829999999999</v>
      </c>
      <c r="B1054">
        <v>3.3580839999999998</v>
      </c>
      <c r="C1054">
        <f>LOG10(1.015483)</f>
        <v>6.6726573636805347E-3</v>
      </c>
      <c r="D1054">
        <f>LOG10(3.358084)</f>
        <v>0.52609155549476572</v>
      </c>
    </row>
    <row r="1055" spans="1:4">
      <c r="A1055">
        <v>1.010229</v>
      </c>
      <c r="B1055">
        <v>3.390336</v>
      </c>
      <c r="C1055">
        <f>LOG10(1.010229)</f>
        <v>4.4198313701554982E-3</v>
      </c>
      <c r="D1055">
        <f>LOG10(3.390336)</f>
        <v>0.53024274118680415</v>
      </c>
    </row>
    <row r="1056" spans="1:4">
      <c r="A1056">
        <v>1.0168010000000001</v>
      </c>
      <c r="B1056">
        <v>3.2907890000000002</v>
      </c>
      <c r="C1056">
        <f>LOG10(1.016801)</f>
        <v>7.2359646646263983E-3</v>
      </c>
      <c r="D1056">
        <f>LOG10(3.290789)</f>
        <v>0.51730003693630666</v>
      </c>
    </row>
    <row r="1057" spans="1:4">
      <c r="A1057">
        <v>1.096894</v>
      </c>
      <c r="B1057">
        <v>2.910736</v>
      </c>
      <c r="C1057">
        <f>LOG10(1.096894)</f>
        <v>4.0164660902558741E-2</v>
      </c>
      <c r="D1057">
        <f>LOG10(2.910736)</f>
        <v>0.46400281727579512</v>
      </c>
    </row>
    <row r="1058" spans="1:4">
      <c r="A1058">
        <v>1.114368</v>
      </c>
      <c r="B1058">
        <v>2.8091279999999998</v>
      </c>
      <c r="C1058">
        <f>LOG10(1.114368)</f>
        <v>4.7028632469247884E-2</v>
      </c>
      <c r="D1058">
        <f>LOG10(2.809128)</f>
        <v>0.44857152860249355</v>
      </c>
    </row>
    <row r="1059" spans="1:4">
      <c r="A1059">
        <v>1.095167</v>
      </c>
      <c r="B1059">
        <v>2.9803700000000002</v>
      </c>
      <c r="C1059">
        <f>LOG10(1.095167)</f>
        <v>3.9480348992053833E-2</v>
      </c>
      <c r="D1059">
        <f>LOG10(2.98037)</f>
        <v>0.47427018319822606</v>
      </c>
    </row>
    <row r="1060" spans="1:4">
      <c r="A1060">
        <v>1.09145</v>
      </c>
      <c r="B1060">
        <v>3.0462699999999998</v>
      </c>
      <c r="C1060">
        <f>LOG10(1.09145)</f>
        <v>3.8003845201850593E-2</v>
      </c>
      <c r="D1060">
        <f>LOG10(3.04627)</f>
        <v>0.48376839352183276</v>
      </c>
    </row>
    <row r="1061" spans="1:4">
      <c r="A1061">
        <v>1.0936999999999999</v>
      </c>
      <c r="B1061">
        <v>3.0495489999999998</v>
      </c>
      <c r="C1061">
        <f>LOG10(1.0937)</f>
        <v>3.8898212114532503E-2</v>
      </c>
      <c r="D1061">
        <f>LOG10(3.049549)</f>
        <v>0.48423561597168208</v>
      </c>
    </row>
    <row r="1062" spans="1:4">
      <c r="A1062">
        <v>1.105192</v>
      </c>
      <c r="B1062">
        <v>2.9644170000000001</v>
      </c>
      <c r="C1062">
        <f>LOG10(1.105192)</f>
        <v>4.3437732588637805E-2</v>
      </c>
      <c r="D1062">
        <f>LOG10(2.964417)</f>
        <v>0.47193929514425764</v>
      </c>
    </row>
    <row r="1063" spans="1:4">
      <c r="A1063">
        <v>1.1158049999999999</v>
      </c>
      <c r="B1063">
        <v>3.1403759999999998</v>
      </c>
      <c r="C1063">
        <f>LOG10(1.115805)</f>
        <v>4.7588303182563511E-2</v>
      </c>
      <c r="D1063">
        <f>LOG10(3.140376)</f>
        <v>0.49698164964935965</v>
      </c>
    </row>
    <row r="1064" spans="1:4">
      <c r="A1064">
        <v>1.102114</v>
      </c>
      <c r="B1064">
        <v>2.9235380000000002</v>
      </c>
      <c r="C1064">
        <f>LOG10(1.102114)</f>
        <v>4.2226519207484672E-2</v>
      </c>
      <c r="D1064">
        <f>LOG10(2.923538)</f>
        <v>0.46590874314783942</v>
      </c>
    </row>
    <row r="1065" spans="1:4">
      <c r="A1065">
        <v>1.137572</v>
      </c>
      <c r="B1065">
        <v>2.8621620000000001</v>
      </c>
      <c r="C1065">
        <f>LOG10(1.137572)</f>
        <v>5.597889386815668E-2</v>
      </c>
      <c r="D1065">
        <f>LOG10(2.862162)</f>
        <v>0.45669421143456967</v>
      </c>
    </row>
    <row r="1066" spans="1:4">
      <c r="A1066">
        <v>1.0994390000000001</v>
      </c>
      <c r="B1066">
        <v>2.9499810000000002</v>
      </c>
      <c r="C1066">
        <f>LOG10(1.099439)</f>
        <v>4.1171138473246487E-2</v>
      </c>
      <c r="D1066">
        <f>LOG10(2.949981)</f>
        <v>0.46981921881825484</v>
      </c>
    </row>
    <row r="1067" spans="1:4">
      <c r="A1067">
        <v>1.1132120000000001</v>
      </c>
      <c r="B1067">
        <v>2.9444219999999999</v>
      </c>
      <c r="C1067">
        <f>LOG10(1.113212)</f>
        <v>4.6577879215808443E-2</v>
      </c>
      <c r="D1067">
        <f>LOG10(2.944422)</f>
        <v>0.46900005401372052</v>
      </c>
    </row>
    <row r="1068" spans="1:4">
      <c r="A1068">
        <v>1.115526</v>
      </c>
      <c r="B1068">
        <v>3.1045129999999999</v>
      </c>
      <c r="C1068">
        <f>LOG10(1.115526)</f>
        <v>4.7479697008865E-2</v>
      </c>
      <c r="D1068">
        <f>LOG10(3.104513)</f>
        <v>0.49199348277322247</v>
      </c>
    </row>
    <row r="1069" spans="1:4">
      <c r="A1069">
        <v>1.08386</v>
      </c>
      <c r="B1069">
        <v>3.4412120000000002</v>
      </c>
      <c r="C1069">
        <f>LOG10(1.08386)</f>
        <v>3.4973188886793349E-2</v>
      </c>
      <c r="D1069">
        <f>LOG10(3.441212)</f>
        <v>0.5367114286784862</v>
      </c>
    </row>
    <row r="1070" spans="1:4">
      <c r="A1070">
        <v>1.136166</v>
      </c>
      <c r="B1070">
        <v>3.3803200000000002</v>
      </c>
      <c r="C1070">
        <f>LOG10(1.136166)</f>
        <v>5.5441788784471216E-2</v>
      </c>
      <c r="D1070">
        <f>LOG10(3.38032)</f>
        <v>0.52895781496876781</v>
      </c>
    </row>
    <row r="1071" spans="1:4">
      <c r="A1071">
        <v>1.1443000000000001</v>
      </c>
      <c r="B1071">
        <v>3.260834</v>
      </c>
      <c r="C1071">
        <f>LOG10(1.1443)</f>
        <v>5.8539897939780788E-2</v>
      </c>
      <c r="D1071">
        <f>LOG10(3.260834)</f>
        <v>0.51332869064312681</v>
      </c>
    </row>
    <row r="1072" spans="1:4">
      <c r="A1072">
        <v>1.109035</v>
      </c>
      <c r="B1072">
        <v>3.3548</v>
      </c>
      <c r="C1072">
        <f>LOG10(1.109035)</f>
        <v>4.4945252251063661E-2</v>
      </c>
      <c r="D1072">
        <f>LOG10(3.3548)</f>
        <v>0.52566663434542149</v>
      </c>
    </row>
    <row r="1073" spans="1:4">
      <c r="A1073">
        <v>1.1160479999999999</v>
      </c>
      <c r="B1073">
        <v>3.1710240000000001</v>
      </c>
      <c r="C1073">
        <f>LOG10(1.116048)</f>
        <v>4.7682873532420338E-2</v>
      </c>
      <c r="D1073">
        <f>LOG10(3.171024)</f>
        <v>0.50119952901167464</v>
      </c>
    </row>
    <row r="1074" spans="1:4">
      <c r="A1074">
        <v>1.12415</v>
      </c>
      <c r="B1074">
        <v>3.3840279999999998</v>
      </c>
      <c r="C1074">
        <f>LOG10(1.12415)</f>
        <v>5.082426481477139E-2</v>
      </c>
      <c r="D1074">
        <f>LOG10(3.384028)</f>
        <v>0.52943394780527941</v>
      </c>
    </row>
    <row r="1075" spans="1:4">
      <c r="A1075">
        <v>1.1388560000000001</v>
      </c>
      <c r="B1075">
        <v>3.3462070000000002</v>
      </c>
      <c r="C1075">
        <f>LOG10(1.138856)</f>
        <v>5.646881419412314E-2</v>
      </c>
      <c r="D1075">
        <f>LOG10(3.346207)</f>
        <v>0.52455280338581178</v>
      </c>
    </row>
    <row r="1076" spans="1:4">
      <c r="A1076">
        <v>1.1475900000000001</v>
      </c>
      <c r="B1076">
        <v>3.1799529999999998</v>
      </c>
      <c r="C1076">
        <f>LOG10(1.14759)</f>
        <v>5.9786755185897919E-2</v>
      </c>
      <c r="D1076">
        <f>LOG10(3.179953)</f>
        <v>0.50242070111918324</v>
      </c>
    </row>
    <row r="1077" spans="1:4">
      <c r="A1077">
        <v>1.132333</v>
      </c>
      <c r="B1077">
        <v>3.5833330000000001</v>
      </c>
      <c r="C1077">
        <f>LOG10(1.132333)</f>
        <v>5.3974164303869851E-2</v>
      </c>
      <c r="D1077">
        <f>LOG10(3.583333)</f>
        <v>0.55428716913247311</v>
      </c>
    </row>
    <row r="1078" spans="1:4">
      <c r="A1078">
        <v>1.130401</v>
      </c>
      <c r="B1078">
        <v>3.2340110000000002</v>
      </c>
      <c r="C1078">
        <f>LOG10(1.130401)</f>
        <v>5.3232533035733796E-2</v>
      </c>
      <c r="D1078">
        <f>LOG10(3.234011)</f>
        <v>0.50974149275998548</v>
      </c>
    </row>
    <row r="1079" spans="1:4">
      <c r="A1079">
        <v>1.179449</v>
      </c>
      <c r="B1079">
        <v>3.2942420000000001</v>
      </c>
      <c r="C1079">
        <f>LOG10(1.179449)</f>
        <v>7.1679166503989991E-2</v>
      </c>
      <c r="D1079">
        <f>LOG10(3.294242)</f>
        <v>0.51775549993517778</v>
      </c>
    </row>
    <row r="1080" spans="1:4">
      <c r="A1080">
        <v>1.1965319999999999</v>
      </c>
      <c r="B1080">
        <v>3.3471229999999998</v>
      </c>
      <c r="C1080">
        <f>LOG10(1.196532)</f>
        <v>7.7924317857590852E-2</v>
      </c>
      <c r="D1080">
        <f>LOG10(3.347123)</f>
        <v>0.52467167209478227</v>
      </c>
    </row>
    <row r="1081" spans="1:4">
      <c r="A1081">
        <v>1.1740440000000001</v>
      </c>
      <c r="B1081">
        <v>3.44556</v>
      </c>
      <c r="C1081">
        <f>LOG10(1.174044)</f>
        <v>6.9684373401479177E-2</v>
      </c>
      <c r="D1081">
        <f>LOG10(3.44556)</f>
        <v>0.53725981699690739</v>
      </c>
    </row>
    <row r="1082" spans="1:4">
      <c r="A1082">
        <v>1.1556999999999999</v>
      </c>
      <c r="B1082">
        <v>3.3782160000000001</v>
      </c>
      <c r="C1082">
        <f>LOG10(1.1557)</f>
        <v>6.2845113277050446E-2</v>
      </c>
      <c r="D1082">
        <f>LOG10(3.378216)</f>
        <v>0.52868741450942491</v>
      </c>
    </row>
    <row r="1083" spans="1:4">
      <c r="A1083">
        <v>1.166982</v>
      </c>
      <c r="B1083">
        <v>3.319067</v>
      </c>
      <c r="C1083">
        <f>LOG10(1.166982)</f>
        <v>6.706415736416832E-2</v>
      </c>
      <c r="D1083">
        <f>LOG10(3.319067)</f>
        <v>0.52101601933737662</v>
      </c>
    </row>
    <row r="1084" spans="1:4">
      <c r="A1084">
        <v>1.165829</v>
      </c>
      <c r="B1084">
        <v>3.374069</v>
      </c>
      <c r="C1084">
        <f>LOG10(1.165829)</f>
        <v>6.6634854194379395E-2</v>
      </c>
      <c r="D1084">
        <f>LOG10(3.374069)</f>
        <v>0.52815395970326717</v>
      </c>
    </row>
    <row r="1085" spans="1:4">
      <c r="A1085">
        <v>1.170582</v>
      </c>
      <c r="B1085">
        <v>3.4843139999999999</v>
      </c>
      <c r="C1085">
        <f>LOG10(1.170582)</f>
        <v>6.8401841697880536E-2</v>
      </c>
      <c r="D1085">
        <f>LOG10(3.484314)</f>
        <v>0.54211728592302355</v>
      </c>
    </row>
    <row r="1086" spans="1:4">
      <c r="A1086">
        <v>1.1189009999999999</v>
      </c>
      <c r="B1086">
        <v>3.3448959999999999</v>
      </c>
      <c r="C1086">
        <f>LOG10(1.118901)</f>
        <v>4.8791661992379505E-2</v>
      </c>
      <c r="D1086">
        <f>LOG10(3.344896)</f>
        <v>0.52438261916564333</v>
      </c>
    </row>
    <row r="1087" spans="1:4">
      <c r="A1087">
        <v>1.1820539999999999</v>
      </c>
      <c r="B1087">
        <v>3.2429760000000001</v>
      </c>
      <c r="C1087">
        <f>LOG10(1.182054)</f>
        <v>7.2637316956688097E-2</v>
      </c>
      <c r="D1087">
        <f>LOG10(3.242976)</f>
        <v>0.5109437346408624</v>
      </c>
    </row>
    <row r="1088" spans="1:4">
      <c r="A1088">
        <v>1.1575549999999999</v>
      </c>
      <c r="B1088">
        <v>3.4705810000000001</v>
      </c>
      <c r="C1088">
        <f>LOG10(1.157555)</f>
        <v>6.3541635222631759E-2</v>
      </c>
      <c r="D1088">
        <f>LOG10(3.470581)</f>
        <v>0.54040218486934555</v>
      </c>
    </row>
    <row r="1089" spans="1:4">
      <c r="A1089">
        <v>1.179505</v>
      </c>
      <c r="B1089">
        <v>3.2153679999999998</v>
      </c>
      <c r="C1089">
        <f>LOG10(1.179505)</f>
        <v>7.1699786228657081E-2</v>
      </c>
      <c r="D1089">
        <f>LOG10(3.215368)</f>
        <v>0.50723068526124948</v>
      </c>
    </row>
    <row r="1090" spans="1:4">
      <c r="A1090">
        <v>1.168831</v>
      </c>
      <c r="B1090">
        <v>3.3214790000000001</v>
      </c>
      <c r="C1090">
        <f>LOG10(1.168831)</f>
        <v>6.7751721535413298E-2</v>
      </c>
      <c r="D1090">
        <f>LOG10(3.321479)</f>
        <v>0.52133151096605213</v>
      </c>
    </row>
    <row r="1091" spans="1:4">
      <c r="A1091">
        <v>1.1694279999999999</v>
      </c>
      <c r="B1091">
        <v>3.4255589999999998</v>
      </c>
      <c r="C1091">
        <f>LOG10(1.169428)</f>
        <v>6.7973488081659886E-2</v>
      </c>
      <c r="D1091">
        <f>LOG10(3.425559)</f>
        <v>0.5347314519761931</v>
      </c>
    </row>
    <row r="1092" spans="1:4">
      <c r="A1092">
        <v>1.166555</v>
      </c>
      <c r="B1092">
        <v>3.1471460000000002</v>
      </c>
      <c r="C1092">
        <f>LOG10(1.166555)</f>
        <v>6.6905219455026602E-2</v>
      </c>
      <c r="D1092">
        <f>LOG10(3.147146)</f>
        <v>0.49791689083936291</v>
      </c>
    </row>
    <row r="1093" spans="1:4">
      <c r="A1093">
        <v>1.0869949999999999</v>
      </c>
      <c r="B1093">
        <v>3.417125</v>
      </c>
      <c r="C1093">
        <f>LOG10(1.086995)</f>
        <v>3.6227546406990267E-2</v>
      </c>
      <c r="D1093">
        <f>LOG10(3.417125)</f>
        <v>0.53366086578070826</v>
      </c>
    </row>
    <row r="1094" spans="1:4">
      <c r="A1094">
        <v>1.1333329999999999</v>
      </c>
      <c r="B1094">
        <v>3.262718</v>
      </c>
      <c r="C1094">
        <f>LOG10(1.133333)</f>
        <v>5.4357534588902724E-2</v>
      </c>
      <c r="D1094">
        <f>LOG10(3.262718)</f>
        <v>0.51357953890084085</v>
      </c>
    </row>
    <row r="1095" spans="1:4">
      <c r="A1095">
        <v>1.17319</v>
      </c>
      <c r="B1095">
        <v>3.5977939999999999</v>
      </c>
      <c r="C1095">
        <f>LOG10(1.17319)</f>
        <v>6.9368352498654209E-2</v>
      </c>
      <c r="D1095">
        <f>LOG10(3.597794)</f>
        <v>0.55603629318838854</v>
      </c>
    </row>
    <row r="1096" spans="1:4">
      <c r="A1096">
        <v>1.159797</v>
      </c>
      <c r="B1096">
        <v>3.2827890000000002</v>
      </c>
      <c r="C1096">
        <f>LOG10(1.159797)</f>
        <v>6.4381981041675196E-2</v>
      </c>
      <c r="D1096">
        <f>LOG10(3.282789)</f>
        <v>0.51624296951564619</v>
      </c>
    </row>
    <row r="1097" spans="1:4">
      <c r="A1097">
        <v>1.157945</v>
      </c>
      <c r="B1097">
        <v>3.4143629999999998</v>
      </c>
      <c r="C1097">
        <f>LOG10(1.157945)</f>
        <v>6.3687931788854152E-2</v>
      </c>
      <c r="D1097">
        <f>LOG10(3.414363)</f>
        <v>0.53330969150524277</v>
      </c>
    </row>
    <row r="1098" spans="1:4">
      <c r="A1098">
        <v>1.1848959999999999</v>
      </c>
      <c r="B1098">
        <v>3.3256380000000001</v>
      </c>
      <c r="C1098">
        <f>LOG10(1.184896)</f>
        <v>7.3680233377152765E-2</v>
      </c>
      <c r="D1098">
        <f>LOG10(3.325638)</f>
        <v>0.52187497393983084</v>
      </c>
    </row>
    <row r="1099" spans="1:4">
      <c r="A1099">
        <v>1.219794</v>
      </c>
      <c r="B1099">
        <v>3.3509199999999999</v>
      </c>
      <c r="C1099">
        <f>LOG10(1.219794)</f>
        <v>8.6286492791726427E-2</v>
      </c>
      <c r="D1099">
        <f>LOG10(3.35092)</f>
        <v>0.52516405959496004</v>
      </c>
    </row>
    <row r="1100" spans="1:4">
      <c r="A1100">
        <v>1.131321</v>
      </c>
      <c r="B1100">
        <v>3.2228110000000001</v>
      </c>
      <c r="C1100">
        <f>LOG10(1.131321)</f>
        <v>5.3585848735353631E-2</v>
      </c>
      <c r="D1100">
        <f>LOG10(3.222811)</f>
        <v>0.50823483729519214</v>
      </c>
    </row>
    <row r="1101" spans="1:4">
      <c r="A1101">
        <v>1.146177</v>
      </c>
      <c r="B1101">
        <v>3.2388940000000002</v>
      </c>
      <c r="C1101">
        <f>LOG10(1.146177)</f>
        <v>5.9251689348301988E-2</v>
      </c>
      <c r="D1101">
        <f>LOG10(3.238894)</f>
        <v>0.51039673499122795</v>
      </c>
    </row>
    <row r="1102" spans="1:4">
      <c r="A1102">
        <v>1.1144099999999999</v>
      </c>
      <c r="B1102">
        <v>3.3608039999999999</v>
      </c>
      <c r="C1102">
        <f>LOG10(1.11441)</f>
        <v>4.7045000513298962E-2</v>
      </c>
      <c r="D1102">
        <f>LOG10(3.360804)</f>
        <v>0.52644318542379831</v>
      </c>
    </row>
    <row r="1103" spans="1:4">
      <c r="A1103">
        <v>1.1600760000000001</v>
      </c>
      <c r="B1103">
        <v>3.280027</v>
      </c>
      <c r="C1103">
        <f>LOG10(1.160076)</f>
        <v>6.4486442071253314E-2</v>
      </c>
      <c r="D1103">
        <f>LOG10(3.280027)</f>
        <v>0.51587741868202952</v>
      </c>
    </row>
    <row r="1104" spans="1:4">
      <c r="A1104">
        <v>1.1470769999999999</v>
      </c>
      <c r="B1104">
        <v>3.183589</v>
      </c>
      <c r="C1104">
        <f>LOG10(1.147077)</f>
        <v>5.9592571826893592E-2</v>
      </c>
      <c r="D1104">
        <f>LOG10(3.183589)</f>
        <v>0.5029169954496191</v>
      </c>
    </row>
    <row r="1105" spans="1:4">
      <c r="A1105">
        <v>1.154684</v>
      </c>
      <c r="B1105">
        <v>3.2932350000000001</v>
      </c>
      <c r="C1105">
        <f>LOG10(1.154684)</f>
        <v>6.2463148008890093E-2</v>
      </c>
      <c r="D1105">
        <f>LOG10(3.293235)</f>
        <v>0.51762272237961793</v>
      </c>
    </row>
    <row r="1106" spans="1:4">
      <c r="A1106">
        <v>1.1602170000000001</v>
      </c>
      <c r="B1106">
        <v>3.1346229999999999</v>
      </c>
      <c r="C1106">
        <f>LOG10(1.160217)</f>
        <v>6.4539224648301738E-2</v>
      </c>
      <c r="D1106">
        <f>LOG10(3.134623)</f>
        <v>0.49618531586367354</v>
      </c>
    </row>
    <row r="1107" spans="1:4">
      <c r="A1107">
        <v>1.1562300000000001</v>
      </c>
      <c r="B1107">
        <v>3.1853579999999999</v>
      </c>
      <c r="C1107">
        <f>LOG10(1.15623)</f>
        <v>6.3044233561350554E-2</v>
      </c>
      <c r="D1107">
        <f>LOG10(3.185358)</f>
        <v>0.50315824944599985</v>
      </c>
    </row>
    <row r="1108" spans="1:4">
      <c r="A1108">
        <v>1.1206590000000001</v>
      </c>
      <c r="B1108">
        <v>3.311016</v>
      </c>
      <c r="C1108">
        <f>LOG10(1.120659)</f>
        <v>4.9473483292995203E-2</v>
      </c>
      <c r="D1108">
        <f>LOG10(3.311016)</f>
        <v>0.51996127942163084</v>
      </c>
    </row>
    <row r="1109" spans="1:4">
      <c r="A1109">
        <v>1.1471819999999999</v>
      </c>
      <c r="B1109">
        <v>3.2738160000000001</v>
      </c>
      <c r="C1109">
        <f>LOG10(1.147182)</f>
        <v>5.963232402630237E-2</v>
      </c>
      <c r="D1109">
        <f>LOG10(3.273816)</f>
        <v>0.51505426688097911</v>
      </c>
    </row>
    <row r="1110" spans="1:4">
      <c r="A1110">
        <v>1.152641</v>
      </c>
      <c r="B1110">
        <v>3.2230379999999998</v>
      </c>
      <c r="C1110">
        <f>LOG10(1.152641)</f>
        <v>6.1694063585671262E-2</v>
      </c>
      <c r="D1110">
        <f>LOG10(3.223038)</f>
        <v>0.50826542592593194</v>
      </c>
    </row>
    <row r="1111" spans="1:4">
      <c r="A1111">
        <v>1.1310750000000001</v>
      </c>
      <c r="B1111">
        <v>3.0946400000000001</v>
      </c>
      <c r="C1111">
        <f>LOG10(1.131075)</f>
        <v>5.3491403339437769E-2</v>
      </c>
      <c r="D1111">
        <f>LOG10(3.09464)</f>
        <v>0.49061013474320891</v>
      </c>
    </row>
    <row r="1112" spans="1:4">
      <c r="A1112">
        <v>1.1431480000000001</v>
      </c>
      <c r="B1112">
        <v>3.1712799999999999</v>
      </c>
      <c r="C1112">
        <f>LOG10(1.143148)</f>
        <v>5.8102460861035925E-2</v>
      </c>
      <c r="D1112">
        <f>LOG10(3.17128)</f>
        <v>0.50123458863272952</v>
      </c>
    </row>
    <row r="1113" spans="1:4">
      <c r="A1113">
        <v>1.101308</v>
      </c>
      <c r="B1113">
        <v>3.257317</v>
      </c>
      <c r="C1113">
        <f>LOG10(1.101308)</f>
        <v>4.1908793989141047E-2</v>
      </c>
      <c r="D1113">
        <f>LOG10(3.257317)</f>
        <v>0.51286002588188329</v>
      </c>
    </row>
    <row r="1114" spans="1:4">
      <c r="A1114">
        <v>1.1513930000000001</v>
      </c>
      <c r="B1114">
        <v>3.3251659999999998</v>
      </c>
      <c r="C1114">
        <f>LOG10(1.151393)</f>
        <v>6.1223584793759583E-2</v>
      </c>
      <c r="D1114">
        <f>LOG10(3.325166)</f>
        <v>0.52181333116827944</v>
      </c>
    </row>
    <row r="1115" spans="1:4">
      <c r="A1115">
        <v>1.1513679999999999</v>
      </c>
      <c r="B1115">
        <v>3.1643819999999998</v>
      </c>
      <c r="C1115">
        <f>LOG10(1.151368)</f>
        <v>6.1214154929307228E-2</v>
      </c>
      <c r="D1115">
        <f>LOG10(3.164382)</f>
        <v>0.50028890544448856</v>
      </c>
    </row>
    <row r="1116" spans="1:4">
      <c r="A1116">
        <v>1.112317</v>
      </c>
      <c r="B1116">
        <v>3.1646899999999998</v>
      </c>
      <c r="C1116">
        <f>LOG10(1.112317)</f>
        <v>4.6228574774251054E-2</v>
      </c>
      <c r="D1116">
        <f>LOG10(3.16469)</f>
        <v>0.50033117473784838</v>
      </c>
    </row>
    <row r="1117" spans="1:4">
      <c r="A1117">
        <v>1.061455</v>
      </c>
      <c r="B1117">
        <v>3.2602479999999998</v>
      </c>
      <c r="C1117">
        <f>LOG10(1.061455)</f>
        <v>2.5901587135136482E-2</v>
      </c>
      <c r="D1117">
        <f>LOG10(3.260248)</f>
        <v>0.51325063716455366</v>
      </c>
    </row>
    <row r="1118" spans="1:4">
      <c r="A1118">
        <v>1.124161</v>
      </c>
      <c r="B1118">
        <v>3.1484179999999999</v>
      </c>
      <c r="C1118">
        <f>LOG10(1.124161)</f>
        <v>5.0828514439757409E-2</v>
      </c>
      <c r="D1118">
        <f>LOG10(3.148418)</f>
        <v>0.49809238666102335</v>
      </c>
    </row>
    <row r="1119" spans="1:4">
      <c r="A1119">
        <v>1.1348050000000001</v>
      </c>
      <c r="B1119">
        <v>3.2694459999999999</v>
      </c>
      <c r="C1119">
        <f>LOG10(1.134805)</f>
        <v>5.4921240648335062E-2</v>
      </c>
      <c r="D1119">
        <f>LOG10(3.269446)</f>
        <v>0.51447416870728757</v>
      </c>
    </row>
    <row r="1120" spans="1:4">
      <c r="A1120">
        <v>1.1355930000000001</v>
      </c>
      <c r="B1120">
        <v>3.3890790000000002</v>
      </c>
      <c r="C1120">
        <f>LOG10(1.135593)</f>
        <v>5.5222706792580595E-2</v>
      </c>
      <c r="D1120">
        <f>LOG10(3.389079)</f>
        <v>0.53008169243259518</v>
      </c>
    </row>
    <row r="1121" spans="1:4">
      <c r="A1121">
        <v>1.10493</v>
      </c>
      <c r="B1121">
        <v>3.2262149999999998</v>
      </c>
      <c r="C1121">
        <f>LOG10(1.10493)</f>
        <v>4.3334765282044184E-2</v>
      </c>
      <c r="D1121">
        <f>LOG10(3.226215)</f>
        <v>0.50869330607906438</v>
      </c>
    </row>
    <row r="1122" spans="1:4">
      <c r="A1122">
        <v>1.13025</v>
      </c>
      <c r="B1122">
        <v>3.2494459999999998</v>
      </c>
      <c r="C1122">
        <f>LOG10(1.13025)</f>
        <v>5.3174515706331846E-2</v>
      </c>
      <c r="D1122">
        <f>LOG10(3.249446)</f>
        <v>0.51180932416294966</v>
      </c>
    </row>
    <row r="1123" spans="1:4">
      <c r="A1123">
        <v>1.137518</v>
      </c>
      <c r="B1123">
        <v>3.0655749999999999</v>
      </c>
      <c r="C1123">
        <f>LOG10(1.137518)</f>
        <v>5.595827762701705E-2</v>
      </c>
      <c r="D1123">
        <f>LOG10(3.065575)</f>
        <v>0.48651194570797585</v>
      </c>
    </row>
    <row r="1124" spans="1:4">
      <c r="A1124">
        <v>1.1245909999999999</v>
      </c>
      <c r="B1124">
        <v>3.0623580000000001</v>
      </c>
      <c r="C1124">
        <f>LOG10(1.124591)</f>
        <v>5.0994603567855512E-2</v>
      </c>
      <c r="D1124">
        <f>LOG10(3.062358)</f>
        <v>0.48605595982280692</v>
      </c>
    </row>
    <row r="1125" spans="1:4">
      <c r="A1125">
        <v>1.1299539999999999</v>
      </c>
      <c r="B1125">
        <v>2.971781</v>
      </c>
      <c r="C1125">
        <f>LOG10(1.129954)</f>
        <v>5.306076387917083E-2</v>
      </c>
      <c r="D1125">
        <f>LOG10(2.971781)</f>
        <v>0.47301680172516347</v>
      </c>
    </row>
    <row r="1126" spans="1:4">
      <c r="A1126">
        <v>1.1725449999999999</v>
      </c>
      <c r="B1126">
        <v>3.1527989999999999</v>
      </c>
      <c r="C1126">
        <f>LOG10(1.172545)</f>
        <v>6.9129519085768892E-2</v>
      </c>
      <c r="D1126">
        <f>LOG10(3.152799)</f>
        <v>0.49869628410870409</v>
      </c>
    </row>
    <row r="1127" spans="1:4">
      <c r="A1127">
        <v>1.17486</v>
      </c>
      <c r="B1127">
        <v>2.9155739999999999</v>
      </c>
      <c r="C1127">
        <f>LOG10(1.17486)</f>
        <v>6.9986117799282752E-2</v>
      </c>
      <c r="D1127">
        <f>LOG10(2.915574)</f>
        <v>0.46472406869783278</v>
      </c>
    </row>
    <row r="1128" spans="1:4">
      <c r="A1128">
        <v>1.14489</v>
      </c>
      <c r="B1128">
        <v>3.024737</v>
      </c>
      <c r="C1128">
        <f>LOG10(1.14489)</f>
        <v>5.8763762057653414E-2</v>
      </c>
      <c r="D1128">
        <f>LOG10(3.024737)</f>
        <v>0.48068761885153877</v>
      </c>
    </row>
    <row r="1129" spans="1:4">
      <c r="A1129">
        <v>1.1700569999999999</v>
      </c>
      <c r="B1129">
        <v>3.2035079999999998</v>
      </c>
      <c r="C1129">
        <f>LOG10(1.170057)</f>
        <v>6.8207019167090571E-2</v>
      </c>
      <c r="D1129">
        <f>LOG10(3.203508)</f>
        <v>0.50562581287650332</v>
      </c>
    </row>
    <row r="1130" spans="1:4">
      <c r="A1130">
        <v>1.1468529999999999</v>
      </c>
      <c r="B1130">
        <v>3.0593720000000002</v>
      </c>
      <c r="C1130">
        <f>LOG10(1.146853)</f>
        <v>5.9507754971753694E-2</v>
      </c>
      <c r="D1130">
        <f>LOG10(3.059372)</f>
        <v>0.48563228761713684</v>
      </c>
    </row>
    <row r="1131" spans="1:4">
      <c r="A1131">
        <v>1.1528719999999999</v>
      </c>
      <c r="B1131">
        <v>3.1191200000000001</v>
      </c>
      <c r="C1131">
        <f>LOG10(1.152872)</f>
        <v>6.1781091527526553E-2</v>
      </c>
      <c r="D1131">
        <f>LOG10(3.11912)</f>
        <v>0.49403208342508698</v>
      </c>
    </row>
    <row r="1132" spans="1:4">
      <c r="A1132">
        <v>1.152075</v>
      </c>
      <c r="B1132">
        <v>3.338597</v>
      </c>
      <c r="C1132">
        <f>LOG10(1.152075)</f>
        <v>6.148075254717543E-2</v>
      </c>
      <c r="D1132">
        <f>LOG10(3.338597)</f>
        <v>0.52356399879707771</v>
      </c>
    </row>
    <row r="1133" spans="1:4">
      <c r="A1133">
        <v>1.122501</v>
      </c>
      <c r="B1133">
        <v>2.9808159999999999</v>
      </c>
      <c r="C1133">
        <f>LOG10(1.122501)</f>
        <v>5.0186736574504162E-2</v>
      </c>
      <c r="D1133">
        <f>LOG10(2.980816)</f>
        <v>0.47433516870255027</v>
      </c>
    </row>
    <row r="1134" spans="1:4">
      <c r="A1134">
        <v>1.183093</v>
      </c>
      <c r="B1134">
        <v>2.9502649999999999</v>
      </c>
      <c r="C1134">
        <f>LOG10(1.183093)</f>
        <v>7.3018884779511711E-2</v>
      </c>
      <c r="D1134">
        <f>LOG10(2.950265)</f>
        <v>0.46986102712013095</v>
      </c>
    </row>
    <row r="1135" spans="1:4">
      <c r="A1135">
        <v>1.1543209999999999</v>
      </c>
      <c r="B1135">
        <v>3.2091310000000002</v>
      </c>
      <c r="C1135">
        <f>LOG10(1.154321)</f>
        <v>6.2326596638728742E-2</v>
      </c>
      <c r="D1135">
        <f>LOG10(3.209131)</f>
        <v>0.50638744580099082</v>
      </c>
    </row>
    <row r="1136" spans="1:4">
      <c r="A1136">
        <v>1.1353660000000001</v>
      </c>
      <c r="B1136">
        <v>3.1388120000000002</v>
      </c>
      <c r="C1136">
        <f>LOG10(1.135366)</f>
        <v>5.513588457542884E-2</v>
      </c>
      <c r="D1136">
        <f>LOG10(3.138812)</f>
        <v>0.49676530429268517</v>
      </c>
    </row>
    <row r="1137" spans="1:4">
      <c r="A1137">
        <v>1.1468229999999999</v>
      </c>
      <c r="B1137">
        <v>3.0886239999999998</v>
      </c>
      <c r="C1137">
        <f>LOG10(1.146823)</f>
        <v>5.9496394313615558E-2</v>
      </c>
      <c r="D1137">
        <f>LOG10(3.088624)</f>
        <v>0.48976504178662317</v>
      </c>
    </row>
    <row r="1138" spans="1:4">
      <c r="A1138">
        <v>1.1395759999999999</v>
      </c>
      <c r="B1138">
        <v>3.0787420000000001</v>
      </c>
      <c r="C1138">
        <f>LOG10(1.139576)</f>
        <v>5.6743294220192628E-2</v>
      </c>
      <c r="D1138">
        <f>LOG10(3.078742)</f>
        <v>0.48837329635008481</v>
      </c>
    </row>
    <row r="1139" spans="1:4">
      <c r="A1139">
        <v>1.175414</v>
      </c>
      <c r="B1139">
        <v>3.0399090000000002</v>
      </c>
      <c r="C1139">
        <f>LOG10(1.175414)</f>
        <v>7.019085915916716E-2</v>
      </c>
      <c r="D1139">
        <f>LOG10(3.039909)</f>
        <v>0.48286058315172187</v>
      </c>
    </row>
    <row r="1140" spans="1:4">
      <c r="A1140">
        <v>1.141033</v>
      </c>
      <c r="B1140">
        <v>3.085582</v>
      </c>
      <c r="C1140">
        <f>LOG10(1.141033)</f>
        <v>5.7298204900822727E-2</v>
      </c>
      <c r="D1140">
        <f>LOG10(3.085582)</f>
        <v>0.48933709237228556</v>
      </c>
    </row>
    <row r="1141" spans="1:4">
      <c r="A1141">
        <v>1.175735</v>
      </c>
      <c r="B1141">
        <v>3.168472</v>
      </c>
      <c r="C1141">
        <f>LOG10(1.175735)</f>
        <v>7.0309446734482167E-2</v>
      </c>
      <c r="D1141">
        <f>LOG10(3.168472)</f>
        <v>0.50084987358869293</v>
      </c>
    </row>
    <row r="1142" spans="1:4">
      <c r="A1142">
        <v>1.1714389999999999</v>
      </c>
      <c r="B1142">
        <v>3.001522</v>
      </c>
      <c r="C1142">
        <f>LOG10(1.171439)</f>
        <v>6.8719678632394032E-2</v>
      </c>
      <c r="D1142">
        <f>LOG10(3.001522)</f>
        <v>0.47734153091481002</v>
      </c>
    </row>
    <row r="1143" spans="1:4">
      <c r="A1143">
        <v>1.149745</v>
      </c>
      <c r="B1143">
        <v>3.1113390000000001</v>
      </c>
      <c r="C1143">
        <f>LOG10(1.149745)</f>
        <v>6.0601529594515188E-2</v>
      </c>
      <c r="D1143">
        <f>LOG10(3.111339)</f>
        <v>0.49294733280863356</v>
      </c>
    </row>
    <row r="1144" spans="1:4">
      <c r="A1144">
        <v>1.173821</v>
      </c>
      <c r="B1144">
        <v>3.1413139999999999</v>
      </c>
      <c r="C1144">
        <f>LOG10(1.173821)</f>
        <v>6.9601874901986507E-2</v>
      </c>
      <c r="D1144">
        <f>LOG10(3.141314)</f>
        <v>0.49711134985011868</v>
      </c>
    </row>
    <row r="1145" spans="1:4">
      <c r="A1145">
        <v>1.1397090000000001</v>
      </c>
      <c r="B1145">
        <v>3.4153859999999998</v>
      </c>
      <c r="C1145">
        <f>LOG10(1.139709)</f>
        <v>5.6793977803999619E-2</v>
      </c>
      <c r="D1145">
        <f>LOG10(3.415386)</f>
        <v>0.53343979387307783</v>
      </c>
    </row>
    <row r="1146" spans="1:4">
      <c r="A1146">
        <v>1.1089249999999999</v>
      </c>
      <c r="B1146">
        <v>3.3398789999999998</v>
      </c>
      <c r="C1146">
        <f>LOG10(1.108925)</f>
        <v>4.4902174474143838E-2</v>
      </c>
      <c r="D1146">
        <f>LOG10(3.339879)</f>
        <v>0.52373073310371854</v>
      </c>
    </row>
    <row r="1147" spans="1:4">
      <c r="A1147">
        <v>1.133751</v>
      </c>
      <c r="B1147">
        <v>3.2257470000000001</v>
      </c>
      <c r="C1147">
        <f>LOG10(1.133751)</f>
        <v>5.4517683128165212E-2</v>
      </c>
      <c r="D1147">
        <f>LOG10(3.225747)</f>
        <v>0.50863030204466764</v>
      </c>
    </row>
    <row r="1148" spans="1:4">
      <c r="A1148">
        <v>1.1832800000000001</v>
      </c>
      <c r="B1148">
        <v>3.1065580000000002</v>
      </c>
      <c r="C1148">
        <f>LOG10(1.18328)</f>
        <v>7.308752405851382E-2</v>
      </c>
      <c r="D1148">
        <f>LOG10(3.106558)</f>
        <v>0.49227946638139092</v>
      </c>
    </row>
    <row r="1149" spans="1:4">
      <c r="A1149">
        <v>1.1747989999999999</v>
      </c>
      <c r="B1149">
        <v>2.9972099999999999</v>
      </c>
      <c r="C1149">
        <f>LOG10(1.174799)</f>
        <v>6.9963568175356816E-2</v>
      </c>
      <c r="D1149">
        <f>LOG10(2.99721)</f>
        <v>0.47671717292431981</v>
      </c>
    </row>
    <row r="1150" spans="1:4">
      <c r="A1150">
        <v>1.196761</v>
      </c>
      <c r="B1150">
        <v>3.037833</v>
      </c>
      <c r="C1150">
        <f>LOG10(1.196761)</f>
        <v>7.8007427979635571E-2</v>
      </c>
      <c r="D1150">
        <f>LOG10(3.037833)</f>
        <v>0.48256389553994267</v>
      </c>
    </row>
    <row r="1151" spans="1:4">
      <c r="A1151">
        <v>1.230102</v>
      </c>
      <c r="B1151">
        <v>3.281898</v>
      </c>
      <c r="C1151">
        <f>LOG10(1.230102)</f>
        <v>8.9941124610542489E-2</v>
      </c>
      <c r="D1151">
        <f>LOG10(3.281898)</f>
        <v>0.51612507923824169</v>
      </c>
    </row>
    <row r="1152" spans="1:4">
      <c r="A1152">
        <v>1.202377</v>
      </c>
      <c r="B1152">
        <v>3.1494430000000002</v>
      </c>
      <c r="C1152">
        <f>LOG10(1.202377)</f>
        <v>8.0040660136553296E-2</v>
      </c>
      <c r="D1152">
        <f>LOG10(3.149443)</f>
        <v>0.49823375270510767</v>
      </c>
    </row>
    <row r="1153" spans="1:4">
      <c r="A1153">
        <v>1.2069460000000001</v>
      </c>
      <c r="B1153">
        <v>3.1345149999999999</v>
      </c>
      <c r="C1153">
        <f>LOG10(1.206946)</f>
        <v>8.1687839752157848E-2</v>
      </c>
      <c r="D1153">
        <f>LOG10(3.134515)</f>
        <v>0.49617035246549973</v>
      </c>
    </row>
    <row r="1154" spans="1:4">
      <c r="A1154">
        <v>1.2202360000000001</v>
      </c>
      <c r="B1154">
        <v>3.2125309999999998</v>
      </c>
      <c r="C1154">
        <f>LOG10(1.220236)</f>
        <v>8.6443833613848178E-2</v>
      </c>
      <c r="D1154">
        <f>LOG10(3.212531)</f>
        <v>0.50684732717638781</v>
      </c>
    </row>
    <row r="1155" spans="1:4">
      <c r="A1155">
        <v>1.2374130000000001</v>
      </c>
      <c r="B1155">
        <v>3.11314</v>
      </c>
      <c r="C1155">
        <f>LOG10(1.237413)</f>
        <v>9.2514674314180645E-2</v>
      </c>
      <c r="D1155">
        <f>LOG10(3.11314)</f>
        <v>0.49319865163667842</v>
      </c>
    </row>
    <row r="1156" spans="1:4">
      <c r="A1156">
        <v>1.2127889999999999</v>
      </c>
      <c r="B1156">
        <v>3.0270899999999998</v>
      </c>
      <c r="C1156">
        <f>LOG10(1.212789)</f>
        <v>8.3785249253540903E-2</v>
      </c>
      <c r="D1156">
        <f>LOG10(3.02709)</f>
        <v>0.48102533338548437</v>
      </c>
    </row>
    <row r="1157" spans="1:4">
      <c r="A1157">
        <v>1.16648</v>
      </c>
      <c r="B1157">
        <v>3.115507</v>
      </c>
      <c r="C1157">
        <f>LOG10(1.16648)</f>
        <v>6.6877296953946272E-2</v>
      </c>
      <c r="D1157">
        <f>LOG10(3.115507)</f>
        <v>0.49352873137571313</v>
      </c>
    </row>
    <row r="1158" spans="1:4">
      <c r="A1158">
        <v>1.226499</v>
      </c>
      <c r="B1158">
        <v>3.08589</v>
      </c>
      <c r="C1158">
        <f>LOG10(1.226499)</f>
        <v>8.8667198449735182E-2</v>
      </c>
      <c r="D1158">
        <f>LOG10(3.08589)</f>
        <v>0.48938044109056128</v>
      </c>
    </row>
    <row r="1159" spans="1:4">
      <c r="A1159">
        <v>1.1820360000000001</v>
      </c>
      <c r="B1159">
        <v>3.0003690000000001</v>
      </c>
      <c r="C1159">
        <f>LOG10(1.182036)</f>
        <v>7.263070358691423E-2</v>
      </c>
      <c r="D1159">
        <f>LOG10(3.000369)</f>
        <v>0.47717466965598532</v>
      </c>
    </row>
    <row r="1160" spans="1:4">
      <c r="A1160">
        <v>1.21315</v>
      </c>
      <c r="B1160">
        <v>3.1635559999999998</v>
      </c>
      <c r="C1160">
        <f>LOG10(1.21315)</f>
        <v>8.3914502552263029E-2</v>
      </c>
      <c r="D1160">
        <f>LOG10(3.163556)</f>
        <v>0.50017552657001496</v>
      </c>
    </row>
    <row r="1161" spans="1:4">
      <c r="A1161">
        <v>1.172709</v>
      </c>
      <c r="B1161">
        <v>3.2291349999999999</v>
      </c>
      <c r="C1161">
        <f>LOG10(1.172709)</f>
        <v>6.9190258174284036E-2</v>
      </c>
      <c r="D1161">
        <f>LOG10(3.229135)</f>
        <v>0.50908620188599929</v>
      </c>
    </row>
    <row r="1162" spans="1:4">
      <c r="A1162">
        <v>1.1970289999999999</v>
      </c>
      <c r="B1162">
        <v>3.0519910000000001</v>
      </c>
      <c r="C1162">
        <f>LOG10(1.197029)</f>
        <v>7.8104672033321429E-2</v>
      </c>
      <c r="D1162">
        <f>LOG10(3.051991)</f>
        <v>0.48458324859604723</v>
      </c>
    </row>
    <row r="1163" spans="1:4">
      <c r="A1163">
        <v>1.215195</v>
      </c>
      <c r="B1163">
        <v>3.070935</v>
      </c>
      <c r="C1163">
        <f>LOG10(1.215195)</f>
        <v>8.4645973925107781E-2</v>
      </c>
      <c r="D1163">
        <f>LOG10(3.070935)</f>
        <v>0.48727062417993855</v>
      </c>
    </row>
    <row r="1164" spans="1:4">
      <c r="A1164">
        <v>1.1941059999999999</v>
      </c>
      <c r="B1164">
        <v>2.9936630000000002</v>
      </c>
      <c r="C1164">
        <f>LOG10(1.194106)</f>
        <v>7.7042880538545785E-2</v>
      </c>
      <c r="D1164">
        <f>LOG10(2.993663)</f>
        <v>0.47620290974187274</v>
      </c>
    </row>
    <row r="1165" spans="1:4">
      <c r="A1165">
        <v>1.184151</v>
      </c>
      <c r="B1165">
        <v>3.0842960000000001</v>
      </c>
      <c r="C1165">
        <f>LOG10(1.184151)</f>
        <v>7.3407086073883979E-2</v>
      </c>
      <c r="D1165">
        <f>LOG10(3.084296)</f>
        <v>0.48915605063634998</v>
      </c>
    </row>
    <row r="1166" spans="1:4">
      <c r="A1166">
        <v>1.1971039999999999</v>
      </c>
      <c r="B1166">
        <v>2.9175930000000001</v>
      </c>
      <c r="C1166">
        <f>LOG10(1.197104)</f>
        <v>7.8131881955371213E-2</v>
      </c>
      <c r="D1166">
        <f>LOG10(2.917593)</f>
        <v>0.46502470833114984</v>
      </c>
    </row>
    <row r="1167" spans="1:4">
      <c r="A1167">
        <v>1.1946730000000001</v>
      </c>
      <c r="B1167">
        <v>2.8881670000000002</v>
      </c>
      <c r="C1167">
        <f>LOG10(1.194673)</f>
        <v>7.7249048606720938E-2</v>
      </c>
      <c r="D1167">
        <f>LOG10(2.888167)</f>
        <v>0.46062230146048211</v>
      </c>
    </row>
    <row r="1168" spans="1:4">
      <c r="A1168">
        <v>1.2179219999999999</v>
      </c>
      <c r="B1168">
        <v>3.011628</v>
      </c>
      <c r="C1168">
        <f>LOG10(1.217922)</f>
        <v>8.5619475444392426E-2</v>
      </c>
      <c r="D1168">
        <f>LOG10(3.011628)</f>
        <v>0.47880132625218524</v>
      </c>
    </row>
    <row r="1169" spans="1:4">
      <c r="A1169">
        <v>1.198731</v>
      </c>
      <c r="B1169">
        <v>2.947489</v>
      </c>
      <c r="C1169">
        <f>LOG10(1.198731)</f>
        <v>7.8721736624559349E-2</v>
      </c>
      <c r="D1169">
        <f>LOG10(2.947489)</f>
        <v>0.46945219298740998</v>
      </c>
    </row>
    <row r="1170" spans="1:4">
      <c r="A1170">
        <v>1.1424909999999999</v>
      </c>
      <c r="B1170">
        <v>2.7872029999999999</v>
      </c>
      <c r="C1170">
        <f>LOG10(1.142491)</f>
        <v>5.7852787590262127E-2</v>
      </c>
      <c r="D1170">
        <f>LOG10(2.787203)</f>
        <v>0.44516860077975934</v>
      </c>
    </row>
    <row r="1171" spans="1:4">
      <c r="A1171">
        <v>1.1834610000000001</v>
      </c>
      <c r="B1171">
        <v>2.818171</v>
      </c>
      <c r="C1171">
        <f>LOG10(1.183461)</f>
        <v>7.3153950677546264E-2</v>
      </c>
      <c r="D1171">
        <f>LOG10(2.818171)</f>
        <v>0.4499673415424173</v>
      </c>
    </row>
    <row r="1172" spans="1:4">
      <c r="A1172">
        <v>1.1621360000000001</v>
      </c>
      <c r="B1172">
        <v>2.9151799999999999</v>
      </c>
      <c r="C1172">
        <f>LOG10(1.162136)</f>
        <v>6.5256954726766792E-2</v>
      </c>
      <c r="D1172">
        <f>LOG10(2.91518)</f>
        <v>0.46466537576510736</v>
      </c>
    </row>
    <row r="1173" spans="1:4">
      <c r="A1173">
        <v>1.186029</v>
      </c>
      <c r="B1173">
        <v>2.8284950000000002</v>
      </c>
      <c r="C1173">
        <f>LOG10(1.186029)</f>
        <v>7.4095308240720401E-2</v>
      </c>
      <c r="D1173">
        <f>LOG10(2.828495)</f>
        <v>0.45155541536409688</v>
      </c>
    </row>
    <row r="1174" spans="1:4">
      <c r="A1174">
        <v>1.1561999999999999</v>
      </c>
      <c r="B1174">
        <v>3.1705220000000001</v>
      </c>
      <c r="C1174">
        <f>LOG10(1.1562)</f>
        <v>6.3032965039096556E-2</v>
      </c>
      <c r="D1174">
        <f>LOG10(3.170522)</f>
        <v>0.50113077106830539</v>
      </c>
    </row>
    <row r="1175" spans="1:4">
      <c r="A1175">
        <v>1.188849</v>
      </c>
      <c r="B1175">
        <v>2.8736519999999999</v>
      </c>
      <c r="C1175">
        <f>LOG10(1.188849)</f>
        <v>7.5126696812745516E-2</v>
      </c>
      <c r="D1175">
        <f>LOG10(2.873652)</f>
        <v>0.45843417380845553</v>
      </c>
    </row>
    <row r="1176" spans="1:4">
      <c r="A1176">
        <v>1.1780330000000001</v>
      </c>
      <c r="B1176">
        <v>3.1274220000000001</v>
      </c>
      <c r="C1176">
        <f>LOG10(1.178033)</f>
        <v>7.1157456424907298E-2</v>
      </c>
      <c r="D1176">
        <f>LOG10(3.127422)</f>
        <v>0.4951864869051803</v>
      </c>
    </row>
    <row r="1177" spans="1:4">
      <c r="A1177">
        <v>1.191667</v>
      </c>
      <c r="B1177">
        <v>2.9998719999999999</v>
      </c>
      <c r="C1177">
        <f>LOG10(1.191667)</f>
        <v>7.6154912898393962E-2</v>
      </c>
      <c r="D1177">
        <f>LOG10(2.999872)</f>
        <v>0.47710272442645213</v>
      </c>
    </row>
    <row r="1178" spans="1:4">
      <c r="A1178">
        <v>1.1804760000000001</v>
      </c>
      <c r="B1178">
        <v>3.0618660000000002</v>
      </c>
      <c r="C1178">
        <f>LOG10(1.180476)</f>
        <v>7.2057161958143101E-2</v>
      </c>
      <c r="D1178">
        <f>LOG10(3.061866)</f>
        <v>0.48598618024402074</v>
      </c>
    </row>
    <row r="1179" spans="1:4">
      <c r="A1179">
        <v>1.2037329999999999</v>
      </c>
      <c r="B1179">
        <v>3.2258490000000002</v>
      </c>
      <c r="C1179">
        <f>LOG10(1.203733)</f>
        <v>8.0530166750803808E-2</v>
      </c>
      <c r="D1179">
        <f>LOG10(3.225849)</f>
        <v>0.50864403447216555</v>
      </c>
    </row>
    <row r="1180" spans="1:4">
      <c r="A1180">
        <v>1.174893</v>
      </c>
      <c r="B1180">
        <v>3.276783</v>
      </c>
      <c r="C1180">
        <f>LOG10(1.174893)</f>
        <v>6.9998316288148371E-2</v>
      </c>
      <c r="D1180">
        <f>LOG10(3.276783)</f>
        <v>0.51544768183919065</v>
      </c>
    </row>
    <row r="1181" spans="1:4">
      <c r="A1181">
        <v>1.190299</v>
      </c>
      <c r="B1181">
        <v>3.1400239999999999</v>
      </c>
      <c r="C1181">
        <f>LOG10(1.190299)</f>
        <v>7.5656068736416601E-2</v>
      </c>
      <c r="D1181">
        <f>LOG10(3.140024)</f>
        <v>0.49693296750879851</v>
      </c>
    </row>
    <row r="1182" spans="1:4">
      <c r="A1182">
        <v>1.1578079999999999</v>
      </c>
      <c r="B1182">
        <v>3.1659510000000002</v>
      </c>
      <c r="C1182">
        <f>LOG10(1.157808)</f>
        <v>6.3636546045996265E-2</v>
      </c>
      <c r="D1182">
        <f>LOG10(3.165951)</f>
        <v>0.50050418892359139</v>
      </c>
    </row>
    <row r="1183" spans="1:4">
      <c r="A1183">
        <v>1.1947639999999999</v>
      </c>
      <c r="B1183">
        <v>3.0852900000000001</v>
      </c>
      <c r="C1183">
        <f>LOG10(1.194764)</f>
        <v>7.7282128196492286E-2</v>
      </c>
      <c r="D1183">
        <f>LOG10(3.08529)</f>
        <v>0.48929599153959596</v>
      </c>
    </row>
    <row r="1184" spans="1:4">
      <c r="A1184">
        <v>1.1263190000000001</v>
      </c>
      <c r="B1184">
        <v>3.0832079999999999</v>
      </c>
      <c r="C1184">
        <f>LOG10(1.126319)</f>
        <v>5.1661410336812319E-2</v>
      </c>
      <c r="D1184">
        <f>LOG10(3.083208)</f>
        <v>0.48900282417676039</v>
      </c>
    </row>
    <row r="1185" spans="1:4">
      <c r="A1185">
        <v>1.1526890000000001</v>
      </c>
      <c r="B1185">
        <v>3.2959290000000001</v>
      </c>
      <c r="C1185">
        <f>LOG10(1.152689)</f>
        <v>6.1712148749300234E-2</v>
      </c>
      <c r="D1185">
        <f>LOG10(3.295929)</f>
        <v>0.5179778476730359</v>
      </c>
    </row>
    <row r="1186" spans="1:4">
      <c r="A1186">
        <v>1.1713880000000001</v>
      </c>
      <c r="B1186">
        <v>3.231894</v>
      </c>
      <c r="C1186">
        <f>LOG10(1.171388)</f>
        <v>6.8700770690339003E-2</v>
      </c>
      <c r="D1186">
        <f>LOG10(3.231894)</f>
        <v>0.50945710829994728</v>
      </c>
    </row>
    <row r="1187" spans="1:4">
      <c r="A1187">
        <v>1.1844619999999999</v>
      </c>
      <c r="B1187">
        <v>3.6087310000000001</v>
      </c>
      <c r="C1187">
        <f>LOG10(1.184462)</f>
        <v>7.3521132213669627E-2</v>
      </c>
      <c r="D1187">
        <f>LOG10(3.608731)</f>
        <v>0.55735451033058403</v>
      </c>
    </row>
    <row r="1188" spans="1:4">
      <c r="A1188">
        <v>1.16594</v>
      </c>
      <c r="B1188">
        <v>3.1811579999999999</v>
      </c>
      <c r="C1188">
        <f>LOG10(1.16594)</f>
        <v>6.6676201932965556E-2</v>
      </c>
      <c r="D1188">
        <f>LOG10(3.181158)</f>
        <v>0.50258523994171067</v>
      </c>
    </row>
    <row r="1189" spans="1:4">
      <c r="A1189">
        <v>1.2033199999999999</v>
      </c>
      <c r="B1189">
        <v>3.1084369999999999</v>
      </c>
      <c r="C1189">
        <f>LOG10(1.20332)</f>
        <v>8.0381135032111986E-2</v>
      </c>
      <c r="D1189">
        <f>LOG10(3.108437)</f>
        <v>0.49254206976445386</v>
      </c>
    </row>
    <row r="1190" spans="1:4">
      <c r="A1190">
        <v>1.192866</v>
      </c>
      <c r="B1190">
        <v>3.0090330000000001</v>
      </c>
      <c r="C1190">
        <f>LOG10(1.192866)</f>
        <v>7.6591660158915637E-2</v>
      </c>
      <c r="D1190">
        <f>LOG10(3.009033)</f>
        <v>0.47842695066441249</v>
      </c>
    </row>
    <row r="1191" spans="1:4">
      <c r="A1191">
        <v>1.193017</v>
      </c>
      <c r="B1191">
        <v>3.1160649999999999</v>
      </c>
      <c r="C1191">
        <f>LOG10(1.193017)</f>
        <v>7.6646632231607351E-2</v>
      </c>
      <c r="D1191">
        <f>LOG10(3.116065)</f>
        <v>0.49360650832238073</v>
      </c>
    </row>
    <row r="1192" spans="1:4">
      <c r="A1192">
        <v>1.1667209999999999</v>
      </c>
      <c r="B1192">
        <v>3.193683</v>
      </c>
      <c r="C1192">
        <f>LOG10(1.166721)</f>
        <v>6.6967014874100492E-2</v>
      </c>
      <c r="D1192">
        <f>LOG10(3.193683)</f>
        <v>0.50429180654790584</v>
      </c>
    </row>
    <row r="1193" spans="1:4">
      <c r="A1193">
        <v>1.198159</v>
      </c>
      <c r="B1193">
        <v>3.01979</v>
      </c>
      <c r="C1193">
        <f>LOG10(1.198159)</f>
        <v>7.8514454314261864E-2</v>
      </c>
      <c r="D1193">
        <f>LOG10(3.01979)</f>
        <v>0.47997674262196133</v>
      </c>
    </row>
    <row r="1194" spans="1:4">
      <c r="A1194">
        <v>1.2078610000000001</v>
      </c>
      <c r="B1194">
        <v>3.014729</v>
      </c>
      <c r="C1194">
        <f>LOG10(1.207861)</f>
        <v>8.2016958783168878E-2</v>
      </c>
      <c r="D1194">
        <f>LOG10(3.014729)</f>
        <v>0.47924827863394703</v>
      </c>
    </row>
    <row r="1195" spans="1:4">
      <c r="A1195">
        <v>1.1934439999999999</v>
      </c>
      <c r="B1195">
        <v>3.2566410000000001</v>
      </c>
      <c r="C1195">
        <f>LOG10(1.193444)</f>
        <v>7.6802045410998609E-2</v>
      </c>
      <c r="D1195">
        <f>LOG10(3.256641)</f>
        <v>0.5127698861939024</v>
      </c>
    </row>
    <row r="1196" spans="1:4">
      <c r="A1196">
        <v>1.188423</v>
      </c>
      <c r="B1196">
        <v>3.051266</v>
      </c>
      <c r="C1196">
        <f>LOG10(1.188423)</f>
        <v>7.497104827839933E-2</v>
      </c>
      <c r="D1196">
        <f>LOG10(3.051266)</f>
        <v>0.48448006975207564</v>
      </c>
    </row>
    <row r="1197" spans="1:4">
      <c r="A1197">
        <v>1.1548430000000001</v>
      </c>
      <c r="B1197">
        <v>3.1967840000000001</v>
      </c>
      <c r="C1197">
        <f>LOG10(1.154843)</f>
        <v>6.2522946246998348E-2</v>
      </c>
      <c r="D1197">
        <f>LOG10(3.196784)</f>
        <v>0.50471329289439315</v>
      </c>
    </row>
    <row r="1198" spans="1:4">
      <c r="A1198">
        <v>1.193376</v>
      </c>
      <c r="B1198">
        <v>3.1546180000000001</v>
      </c>
      <c r="C1198">
        <f>LOG10(1.193376)</f>
        <v>7.6777299494023399E-2</v>
      </c>
      <c r="D1198">
        <f>LOG10(3.154618)</f>
        <v>0.498946777039323</v>
      </c>
    </row>
    <row r="1199" spans="1:4">
      <c r="A1199">
        <v>1.177489</v>
      </c>
      <c r="B1199">
        <v>3.1251530000000001</v>
      </c>
      <c r="C1199">
        <f>LOG10(1.177489)</f>
        <v>7.0956858678543011E-2</v>
      </c>
      <c r="D1199">
        <f>LOG10(3.125153)</f>
        <v>0.49487128421742538</v>
      </c>
    </row>
    <row r="1200" spans="1:4">
      <c r="A1200">
        <v>1.1723669999999999</v>
      </c>
      <c r="B1200">
        <v>3.1457139999999999</v>
      </c>
      <c r="C1200">
        <f>LOG10(1.172367)</f>
        <v>6.9063585338210554E-2</v>
      </c>
      <c r="D1200">
        <f>LOG10(3.145714)</f>
        <v>0.49771923517601729</v>
      </c>
    </row>
    <row r="1201" spans="1:4">
      <c r="A1201">
        <v>1.158555</v>
      </c>
      <c r="B1201">
        <v>3.0293199999999998</v>
      </c>
      <c r="C1201">
        <f>LOG10(1.158555)</f>
        <v>6.3916655846772835E-2</v>
      </c>
      <c r="D1201">
        <f>LOG10(3.02932)</f>
        <v>0.48134515213567175</v>
      </c>
    </row>
    <row r="1202" spans="1:4">
      <c r="A1202">
        <v>1.0073939999999999</v>
      </c>
      <c r="B1202">
        <v>3.2797930000000002</v>
      </c>
      <c r="C1202">
        <f>LOG10(1.007394)</f>
        <v>3.1993598881294078E-3</v>
      </c>
      <c r="D1202">
        <f>LOG10(3.279793)</f>
        <v>0.51584643462795232</v>
      </c>
    </row>
    <row r="1203" spans="1:4">
      <c r="A1203">
        <v>1.008027</v>
      </c>
      <c r="B1203">
        <v>3.042424</v>
      </c>
      <c r="C1203">
        <f>LOG10(1.008027)</f>
        <v>3.472164841619788E-3</v>
      </c>
      <c r="D1203">
        <f>LOG10(3.042424)</f>
        <v>0.4832197383259737</v>
      </c>
    </row>
    <row r="1204" spans="1:4">
      <c r="A1204">
        <v>1.0088159999999999</v>
      </c>
      <c r="B1204">
        <v>3.247474</v>
      </c>
      <c r="C1204">
        <f>LOG10(1.008816)</f>
        <v>3.8119616068632667E-3</v>
      </c>
      <c r="D1204">
        <f>LOG10(3.247474)</f>
        <v>0.51154568270065248</v>
      </c>
    </row>
    <row r="1205" spans="1:4">
      <c r="A1205">
        <v>1.0048809999999999</v>
      </c>
      <c r="B1205">
        <v>3.3823690000000002</v>
      </c>
      <c r="C1205">
        <f>LOG10(1.004881)</f>
        <v>2.1146347880384836E-3</v>
      </c>
      <c r="D1205">
        <f>LOG10(3.382369)</f>
        <v>0.52922098526113226</v>
      </c>
    </row>
    <row r="1206" spans="1:4">
      <c r="A1206">
        <v>1.008804</v>
      </c>
      <c r="B1206">
        <v>3.3901780000000001</v>
      </c>
      <c r="C1206">
        <f>LOG10(1.008804)</f>
        <v>3.806795585726623E-3</v>
      </c>
      <c r="D1206">
        <f>LOG10(3.390178)</f>
        <v>0.53022250126748449</v>
      </c>
    </row>
    <row r="1207" spans="1:4">
      <c r="A1207">
        <v>1.008626</v>
      </c>
      <c r="B1207">
        <v>3.2060569999999999</v>
      </c>
      <c r="C1207">
        <f>LOG10(1.008626)</f>
        <v>3.7301590551115514E-3</v>
      </c>
      <c r="D1207">
        <f>LOG10(3.206057)</f>
        <v>0.50597123934233423</v>
      </c>
    </row>
    <row r="1208" spans="1:4">
      <c r="A1208">
        <v>1.0092589999999999</v>
      </c>
      <c r="B1208">
        <v>3.4592869999999998</v>
      </c>
      <c r="C1208">
        <f>LOG10(1.009259)</f>
        <v>4.0026308917743038E-3</v>
      </c>
      <c r="D1208">
        <f>LOG10(3.459287)</f>
        <v>0.53898659478269784</v>
      </c>
    </row>
    <row r="1209" spans="1:4">
      <c r="A1209">
        <v>1.006524</v>
      </c>
      <c r="B1209">
        <v>3.2655029999999998</v>
      </c>
      <c r="C1209">
        <f>LOG10(1.006524)</f>
        <v>2.8241348563658956E-3</v>
      </c>
      <c r="D1209">
        <f>LOG10(3.265503)</f>
        <v>0.5139500870809578</v>
      </c>
    </row>
    <row r="1210" spans="1:4">
      <c r="A1210">
        <v>1.01037</v>
      </c>
      <c r="B1210">
        <v>3.0457999999999998</v>
      </c>
      <c r="C1210">
        <f>LOG10(1.01037)</f>
        <v>4.4804426265678083E-3</v>
      </c>
      <c r="D1210">
        <f>LOG10(3.0458)</f>
        <v>0.48370138233945975</v>
      </c>
    </row>
    <row r="1211" spans="1:4">
      <c r="A1211">
        <v>1.0074559999999999</v>
      </c>
      <c r="B1211">
        <v>3.1745770000000002</v>
      </c>
      <c r="C1211">
        <f>LOG10(1.007456)</f>
        <v>3.2260876920716399E-3</v>
      </c>
      <c r="D1211">
        <f>LOG10(3.174577)</f>
        <v>0.50168586543763449</v>
      </c>
    </row>
    <row r="1212" spans="1:4">
      <c r="A1212">
        <v>1.0080210000000001</v>
      </c>
      <c r="B1212">
        <v>3.233276</v>
      </c>
      <c r="C1212">
        <f>LOG10(1.008021)</f>
        <v>3.4695798169662026E-3</v>
      </c>
      <c r="D1212">
        <f>LOG10(3.233276)</f>
        <v>0.50964277858646156</v>
      </c>
    </row>
    <row r="1213" spans="1:4">
      <c r="A1213">
        <v>1.0076449999999999</v>
      </c>
      <c r="B1213">
        <v>3.4086880000000002</v>
      </c>
      <c r="C1213">
        <f>LOG10(1.007645)</f>
        <v>3.3075542362502198E-3</v>
      </c>
      <c r="D1213">
        <f>LOG10(3.408688)</f>
        <v>0.53258725171895516</v>
      </c>
    </row>
    <row r="1214" spans="1:4">
      <c r="A1214">
        <v>1.00773</v>
      </c>
      <c r="B1214">
        <v>3.8890349999999998</v>
      </c>
      <c r="C1214">
        <f>LOG10(1.00773)</f>
        <v>3.3441876478820139E-3</v>
      </c>
      <c r="D1214">
        <f>LOG10(3.889035)</f>
        <v>0.58984185166853653</v>
      </c>
    </row>
    <row r="1215" spans="1:4">
      <c r="A1215">
        <v>1.0075369999999999</v>
      </c>
      <c r="B1215">
        <v>3.7308210000000002</v>
      </c>
      <c r="C1215">
        <f>LOG10(1.007537)</f>
        <v>3.2610037965475468E-3</v>
      </c>
      <c r="D1215">
        <f>LOG10(3.730821)</f>
        <v>0.57180441264920956</v>
      </c>
    </row>
    <row r="1216" spans="1:4">
      <c r="A1216">
        <v>1.0119590000000001</v>
      </c>
      <c r="B1216">
        <v>3.659062</v>
      </c>
      <c r="C1216">
        <f>LOG10(1.011959)</f>
        <v>5.1629172128080658E-3</v>
      </c>
      <c r="D1216">
        <f>LOG10(3.659062)</f>
        <v>0.56336976833595276</v>
      </c>
    </row>
    <row r="1217" spans="1:4">
      <c r="A1217">
        <v>1.0094019999999999</v>
      </c>
      <c r="B1217">
        <v>3.7393019999999999</v>
      </c>
      <c r="C1217">
        <f>LOG10(1.009402)</f>
        <v>4.0641608970758874E-3</v>
      </c>
      <c r="D1217">
        <f>LOG10(3.739302)</f>
        <v>0.57279054181563449</v>
      </c>
    </row>
    <row r="1218" spans="1:4">
      <c r="A1218">
        <v>1.0089459999999999</v>
      </c>
      <c r="B1218">
        <v>3.5006360000000001</v>
      </c>
      <c r="C1218">
        <f>LOG10(1.008946)</f>
        <v>3.8679228973678209E-3</v>
      </c>
      <c r="D1218">
        <f>LOG10(3.500636)</f>
        <v>0.54414695469249319</v>
      </c>
    </row>
    <row r="1219" spans="1:4">
      <c r="A1219">
        <v>1.0055050000000001</v>
      </c>
      <c r="B1219">
        <v>3.7919160000000001</v>
      </c>
      <c r="C1219">
        <f>LOG10(1.005505)</f>
        <v>2.3842345220303502E-3</v>
      </c>
      <c r="D1219">
        <f>LOG10(3.791916)</f>
        <v>0.57885870811208751</v>
      </c>
    </row>
    <row r="1220" spans="1:4">
      <c r="A1220">
        <v>1.012108</v>
      </c>
      <c r="B1220">
        <v>3.6174550000000001</v>
      </c>
      <c r="C1220">
        <f>LOG10(1.012108)</f>
        <v>5.2268576633173166E-3</v>
      </c>
      <c r="D1220">
        <f>LOG10(3.617455)</f>
        <v>0.55840313733820957</v>
      </c>
    </row>
    <row r="1221" spans="1:4">
      <c r="A1221">
        <v>1.0112410000000001</v>
      </c>
      <c r="B1221">
        <v>3.492953</v>
      </c>
      <c r="C1221">
        <f>LOG10(1.011241)</f>
        <v>4.8546694359228246E-3</v>
      </c>
      <c r="D1221">
        <f>LOG10(3.492953)</f>
        <v>0.54319274195657707</v>
      </c>
    </row>
    <row r="1222" spans="1:4">
      <c r="A1222">
        <v>1.0100089999999999</v>
      </c>
      <c r="B1222">
        <v>3.963813</v>
      </c>
      <c r="C1222">
        <f>LOG10(1.010009)</f>
        <v>4.3252437162291345E-3</v>
      </c>
      <c r="D1222">
        <f>LOG10(3.963813)</f>
        <v>0.59811315767404194</v>
      </c>
    </row>
    <row r="1223" spans="1:4">
      <c r="A1223">
        <v>1.004915</v>
      </c>
      <c r="B1223">
        <v>3.5985269999999998</v>
      </c>
      <c r="C1223">
        <f>LOG10(1.004915)</f>
        <v>2.1293288290119539E-3</v>
      </c>
      <c r="D1223">
        <f>LOG10(3.598527)</f>
        <v>0.55612476557763746</v>
      </c>
    </row>
    <row r="1224" spans="1:4">
      <c r="A1224">
        <v>1.0172289999999999</v>
      </c>
      <c r="B1224">
        <v>3.4982510000000002</v>
      </c>
      <c r="C1224">
        <f>LOG10(1.017229)</f>
        <v>7.4187329040308093E-3</v>
      </c>
      <c r="D1224">
        <f>LOG10(3.498251)</f>
        <v>0.54385096695060442</v>
      </c>
    </row>
    <row r="1225" spans="1:4">
      <c r="A1225">
        <v>1.020778</v>
      </c>
      <c r="B1225">
        <v>3.7025049999999999</v>
      </c>
      <c r="C1225">
        <f>LOG10(1.020778)</f>
        <v>8.9313014813571755E-3</v>
      </c>
      <c r="D1225">
        <f>LOG10(3.702505)</f>
        <v>0.56849565368100929</v>
      </c>
    </row>
    <row r="1226" spans="1:4">
      <c r="A1226">
        <v>1.0110650000000001</v>
      </c>
      <c r="B1226">
        <v>3.7597290000000001</v>
      </c>
      <c r="C1226">
        <f>LOG10(1.011065)</f>
        <v>4.7790766927791753E-3</v>
      </c>
      <c r="D1226">
        <f>LOG10(3.759729)</f>
        <v>0.57515654225581037</v>
      </c>
    </row>
    <row r="1227" spans="1:4">
      <c r="A1227">
        <v>1.0089760000000001</v>
      </c>
      <c r="B1227">
        <v>3.731973</v>
      </c>
      <c r="C1227">
        <f>LOG10(1.008976)</f>
        <v>3.8808360173577341E-3</v>
      </c>
      <c r="D1227">
        <f>LOG10(3.731973)</f>
        <v>0.5719384930612178</v>
      </c>
    </row>
    <row r="1228" spans="1:4">
      <c r="A1228">
        <v>1.013056</v>
      </c>
      <c r="B1228">
        <v>3.5897890000000001</v>
      </c>
      <c r="C1228">
        <f>LOG10(1.013056)</f>
        <v>5.6334530787173886E-3</v>
      </c>
      <c r="D1228">
        <f>LOG10(3.589789)</f>
        <v>0.55506892244218675</v>
      </c>
    </row>
    <row r="1229" spans="1:4">
      <c r="A1229">
        <v>1.0113989999999999</v>
      </c>
      <c r="B1229">
        <v>3.6487850000000002</v>
      </c>
      <c r="C1229">
        <f>LOG10(1.011399)</f>
        <v>4.9225198969838476E-3</v>
      </c>
      <c r="D1229">
        <f>LOG10(3.648785)</f>
        <v>0.56214827387040145</v>
      </c>
    </row>
    <row r="1230" spans="1:4">
      <c r="A1230">
        <v>1.0086790000000001</v>
      </c>
      <c r="B1230">
        <v>3.7563499999999999</v>
      </c>
      <c r="C1230">
        <f>LOG10(1.008679)</f>
        <v>3.7529792112567092E-3</v>
      </c>
      <c r="D1230">
        <f>LOG10(3.75635)</f>
        <v>0.57476605110923862</v>
      </c>
    </row>
    <row r="1231" spans="1:4">
      <c r="A1231">
        <v>1.0106759999999999</v>
      </c>
      <c r="B1231">
        <v>3.5711279999999999</v>
      </c>
      <c r="C1231">
        <f>LOG10(1.010676)</f>
        <v>4.6119528568919549E-3</v>
      </c>
      <c r="D1231">
        <f>LOG10(3.571128)</f>
        <v>0.55280541689606411</v>
      </c>
    </row>
    <row r="1232" spans="1:4">
      <c r="A1232">
        <v>1.0139530000000001</v>
      </c>
      <c r="B1232">
        <v>3.4441250000000001</v>
      </c>
      <c r="C1232">
        <f>LOG10(1.013953)</f>
        <v>6.0178245104143069E-3</v>
      </c>
      <c r="D1232">
        <f>LOG10(3.444125)</f>
        <v>0.53707890521631274</v>
      </c>
    </row>
    <row r="1233" spans="1:4">
      <c r="A1233">
        <v>1.0129870000000001</v>
      </c>
      <c r="B1233">
        <v>3.8328150000000001</v>
      </c>
      <c r="C1233">
        <f>LOG10(1.012987)</f>
        <v>5.6038719501205567E-3</v>
      </c>
      <c r="D1233">
        <f>LOG10(3.832815)</f>
        <v>0.58351785749642615</v>
      </c>
    </row>
    <row r="1234" spans="1:4">
      <c r="A1234">
        <v>1.013447</v>
      </c>
      <c r="B1234">
        <v>3.5327099999999998</v>
      </c>
      <c r="C1234">
        <f>LOG10(1.013447)</f>
        <v>5.8010414262612614E-3</v>
      </c>
      <c r="D1234">
        <f>LOG10(3.53271)</f>
        <v>0.54810798768419833</v>
      </c>
    </row>
    <row r="1235" spans="1:4">
      <c r="A1235">
        <v>1.014734</v>
      </c>
      <c r="B1235">
        <v>3.570592</v>
      </c>
      <c r="C1235">
        <f>LOG10(1.014734)</f>
        <v>6.3522122273198846E-3</v>
      </c>
      <c r="D1235">
        <f>LOG10(3.570592)</f>
        <v>0.55274022760196206</v>
      </c>
    </row>
    <row r="1236" spans="1:4">
      <c r="A1236">
        <v>1.011487</v>
      </c>
      <c r="B1236">
        <v>3.608549</v>
      </c>
      <c r="C1236">
        <f>LOG10(1.011487)</f>
        <v>4.9603054315435135E-3</v>
      </c>
      <c r="D1236">
        <f>LOG10(3.608549)</f>
        <v>0.55733260690000541</v>
      </c>
    </row>
    <row r="1237" spans="1:4">
      <c r="A1237">
        <v>1.010486</v>
      </c>
      <c r="B1237">
        <v>3.3203170000000002</v>
      </c>
      <c r="C1237">
        <f>LOG10(1.010486)</f>
        <v>4.530300864815472E-3</v>
      </c>
      <c r="D1237">
        <f>LOG10(3.320317)</f>
        <v>0.52117954899880103</v>
      </c>
    </row>
    <row r="1238" spans="1:4">
      <c r="A1238">
        <v>1.0059400000000001</v>
      </c>
      <c r="B1238">
        <v>3.6116489999999999</v>
      </c>
      <c r="C1238">
        <f>LOG10(1.00594)</f>
        <v>2.5720776920629355E-3</v>
      </c>
      <c r="D1238">
        <f>LOG10(3.611649)</f>
        <v>0.55770553655557098</v>
      </c>
    </row>
    <row r="1239" spans="1:4">
      <c r="A1239">
        <v>1.012464</v>
      </c>
      <c r="B1239">
        <v>3.5443440000000002</v>
      </c>
      <c r="C1239">
        <f>LOG10(1.012464)</f>
        <v>5.3795900306038815E-3</v>
      </c>
      <c r="D1239">
        <f>LOG10(3.544344)</f>
        <v>0.54953586616410588</v>
      </c>
    </row>
    <row r="1240" spans="1:4">
      <c r="A1240">
        <v>1.007971</v>
      </c>
      <c r="B1240">
        <v>3.866619</v>
      </c>
      <c r="C1240">
        <f>LOG10(1.007971)</f>
        <v>3.4480373464607036E-3</v>
      </c>
      <c r="D1240">
        <f>LOG10(3.866619)</f>
        <v>0.58733138067159119</v>
      </c>
    </row>
    <row r="1241" spans="1:4">
      <c r="A1241">
        <v>1.0112460000000001</v>
      </c>
      <c r="B1241">
        <v>3.541506</v>
      </c>
      <c r="C1241">
        <f>LOG10(1.011246)</f>
        <v>4.8568167648396828E-3</v>
      </c>
      <c r="D1241">
        <f>LOG10(3.541506)</f>
        <v>0.54918798191435569</v>
      </c>
    </row>
    <row r="1242" spans="1:4">
      <c r="A1242">
        <v>1.008902</v>
      </c>
      <c r="B1242">
        <v>3.805361</v>
      </c>
      <c r="C1242">
        <f>LOG10(1.008902)</f>
        <v>3.8489829601607143E-3</v>
      </c>
      <c r="D1242">
        <f>LOG10(3.805361)</f>
        <v>0.58039586291241518</v>
      </c>
    </row>
    <row r="1243" spans="1:4">
      <c r="A1243">
        <v>1.018041</v>
      </c>
      <c r="B1243">
        <v>3.5354670000000001</v>
      </c>
      <c r="C1243">
        <f>LOG10(1.018041)</f>
        <v>7.765268880108706E-3</v>
      </c>
      <c r="D1243">
        <f>LOG10(3.535467)</f>
        <v>0.54844678790024581</v>
      </c>
    </row>
    <row r="1244" spans="1:4">
      <c r="A1244">
        <v>1.012961</v>
      </c>
      <c r="B1244">
        <v>3.6136279999999998</v>
      </c>
      <c r="C1244">
        <f>LOG10(1.012961)</f>
        <v>5.5927249152212012E-3</v>
      </c>
      <c r="D1244">
        <f>LOG10(3.613628)</f>
        <v>0.55794344267354523</v>
      </c>
    </row>
    <row r="1245" spans="1:4">
      <c r="A1245">
        <v>1.0091110000000001</v>
      </c>
      <c r="B1245">
        <v>3.5795330000000001</v>
      </c>
      <c r="C1245">
        <f>LOG10(1.009111)</f>
        <v>3.9389403063644938E-3</v>
      </c>
      <c r="D1245">
        <f>LOG10(3.579533)</f>
        <v>0.55382637056774864</v>
      </c>
    </row>
    <row r="1246" spans="1:4">
      <c r="A1246">
        <v>1.0098400000000001</v>
      </c>
      <c r="B1246">
        <v>3.4825050000000002</v>
      </c>
      <c r="C1246">
        <f>LOG10(1.00984)</f>
        <v>4.2525692067852481E-3</v>
      </c>
      <c r="D1246">
        <f>LOG10(3.482505)</f>
        <v>0.54189174863393386</v>
      </c>
    </row>
    <row r="1247" spans="1:4">
      <c r="A1247">
        <v>1.0090809999999999</v>
      </c>
      <c r="B1247">
        <v>3.6420059999999999</v>
      </c>
      <c r="C1247">
        <f>LOG10(1.009081)</f>
        <v>3.9260289139319178E-3</v>
      </c>
      <c r="D1247">
        <f>LOG10(3.642006)</f>
        <v>0.56134065693521773</v>
      </c>
    </row>
    <row r="1248" spans="1:4">
      <c r="A1248">
        <v>1.013549</v>
      </c>
      <c r="B1248">
        <v>3.630776</v>
      </c>
      <c r="C1248">
        <f>LOG10(1.013549)</f>
        <v>5.8447494919817095E-3</v>
      </c>
      <c r="D1248">
        <f>LOG10(3.630776)</f>
        <v>0.55999945602807266</v>
      </c>
    </row>
    <row r="1249" spans="1:4">
      <c r="A1249">
        <v>1.010232</v>
      </c>
      <c r="B1249">
        <v>3.532254</v>
      </c>
      <c r="C1249">
        <f>LOG10(1.010232)</f>
        <v>4.4211210594350238E-3</v>
      </c>
      <c r="D1249">
        <f>LOG10(3.532254)</f>
        <v>0.54805192560546079</v>
      </c>
    </row>
    <row r="1250" spans="1:4">
      <c r="A1250">
        <v>1.0093749999999999</v>
      </c>
      <c r="B1250">
        <v>3.5651099999999998</v>
      </c>
      <c r="C1250">
        <f>LOG10(1.009375)</f>
        <v>4.0525440111968758E-3</v>
      </c>
      <c r="D1250">
        <f>LOG10(3.56511)</f>
        <v>0.55207293437189642</v>
      </c>
    </row>
    <row r="1251" spans="1:4">
      <c r="A1251">
        <v>1.0122679999999999</v>
      </c>
      <c r="B1251">
        <v>3.3235079999999999</v>
      </c>
      <c r="C1251">
        <f>LOG10(1.012268)</f>
        <v>5.2955080694169583E-3</v>
      </c>
      <c r="D1251">
        <f>LOG10(3.323508)</f>
        <v>0.5215967284995604</v>
      </c>
    </row>
    <row r="1252" spans="1:4">
      <c r="A1252">
        <v>1.012181</v>
      </c>
      <c r="B1252">
        <v>3.3733680000000001</v>
      </c>
      <c r="C1252">
        <f>LOG10(1.012181)</f>
        <v>5.258180757196378E-3</v>
      </c>
      <c r="D1252">
        <f>LOG10(3.373368)</f>
        <v>0.52806372086653275</v>
      </c>
    </row>
    <row r="1253" spans="1:4">
      <c r="A1253">
        <v>1.010103</v>
      </c>
      <c r="B1253">
        <v>3.4800529999999998</v>
      </c>
      <c r="C1253">
        <f>LOG10(1.010103)</f>
        <v>4.3656609617366967E-3</v>
      </c>
      <c r="D1253">
        <f>LOG10(3.480053)</f>
        <v>0.54158585815125471</v>
      </c>
    </row>
    <row r="1254" spans="1:4">
      <c r="A1254">
        <v>1.0152300000000001</v>
      </c>
      <c r="B1254">
        <v>3.5113490000000001</v>
      </c>
      <c r="C1254">
        <f>LOG10(1.01523)</f>
        <v>6.5644426583135549E-3</v>
      </c>
      <c r="D1254">
        <f>LOG10(3.511349)</f>
        <v>0.54547399700781007</v>
      </c>
    </row>
    <row r="1255" spans="1:4">
      <c r="A1255">
        <v>1.0123040000000001</v>
      </c>
      <c r="B1255">
        <v>3.5071880000000002</v>
      </c>
      <c r="C1255">
        <f>LOG10(1.012304)</f>
        <v>5.310952915389567E-3</v>
      </c>
      <c r="D1255">
        <f>LOG10(3.507188)</f>
        <v>0.5449590465128793</v>
      </c>
    </row>
    <row r="1256" spans="1:4">
      <c r="A1256">
        <v>1.012124</v>
      </c>
      <c r="B1256">
        <v>3.3519139999999998</v>
      </c>
      <c r="C1256">
        <f>LOG10(1.012124)</f>
        <v>5.23372319227902E-3</v>
      </c>
      <c r="D1256">
        <f>LOG10(3.351914)</f>
        <v>0.52529286741510783</v>
      </c>
    </row>
    <row r="1257" spans="1:4">
      <c r="A1257">
        <v>1.0123979999999999</v>
      </c>
      <c r="B1257">
        <v>3.3814570000000002</v>
      </c>
      <c r="C1257">
        <f>LOG10(1.012398)</f>
        <v>5.3512785349900385E-3</v>
      </c>
      <c r="D1257">
        <f>LOG10(3.381457)</f>
        <v>0.52910386912896212</v>
      </c>
    </row>
    <row r="1258" spans="1:4">
      <c r="A1258">
        <v>1.007029</v>
      </c>
      <c r="B1258">
        <v>3.4593090000000002</v>
      </c>
      <c r="C1258">
        <f>LOG10(1.007029)</f>
        <v>3.0419773645686378E-3</v>
      </c>
      <c r="D1258">
        <f>LOG10(3.459309)</f>
        <v>0.53898935675307502</v>
      </c>
    </row>
    <row r="1259" spans="1:4">
      <c r="A1259">
        <v>1.020424</v>
      </c>
      <c r="B1259">
        <v>3.4764149999999998</v>
      </c>
      <c r="C1259">
        <f>LOG10(1.020424)</f>
        <v>8.7806645055604794E-3</v>
      </c>
      <c r="D1259">
        <f>LOG10(3.476415)</f>
        <v>0.54113161514483221</v>
      </c>
    </row>
    <row r="1260" spans="1:4">
      <c r="A1260">
        <v>1.0159339999999999</v>
      </c>
      <c r="B1260">
        <v>3.349072</v>
      </c>
      <c r="C1260">
        <f>LOG10(1.015934)</f>
        <v>6.86549498840891E-3</v>
      </c>
      <c r="D1260">
        <f>LOG10(3.349072)</f>
        <v>0.52492448431698668</v>
      </c>
    </row>
    <row r="1261" spans="1:4">
      <c r="A1261">
        <v>1.0076339999999999</v>
      </c>
      <c r="B1261">
        <v>3.3798780000000002</v>
      </c>
      <c r="C1261">
        <f>LOG10(1.007634)</f>
        <v>3.3028132159736469E-3</v>
      </c>
      <c r="D1261">
        <f>LOG10(3.379878)</f>
        <v>0.52890102427675711</v>
      </c>
    </row>
    <row r="1262" spans="1:4">
      <c r="A1262">
        <v>1.00518</v>
      </c>
      <c r="B1262">
        <v>3.4453490000000002</v>
      </c>
      <c r="C1262">
        <f>LOG10(1.00518)</f>
        <v>2.2438388779112361E-3</v>
      </c>
      <c r="D1262">
        <f>LOG10(3.445349)</f>
        <v>0.53723322075664071</v>
      </c>
    </row>
    <row r="1263" spans="1:4">
      <c r="A1263">
        <v>1.011404</v>
      </c>
      <c r="B1263">
        <v>3.3033389999999998</v>
      </c>
      <c r="C1263">
        <f>LOG10(1.011404)</f>
        <v>4.9246668904474071E-3</v>
      </c>
      <c r="D1263">
        <f>LOG10(3.303339)</f>
        <v>0.51895314477064414</v>
      </c>
    </row>
    <row r="1264" spans="1:4">
      <c r="A1264">
        <v>1.014991</v>
      </c>
      <c r="B1264">
        <v>3.4284599999999998</v>
      </c>
      <c r="C1264">
        <f>LOG10(1.014991)</f>
        <v>6.4621913451270597E-3</v>
      </c>
      <c r="D1264">
        <f>LOG10(3.42846)</f>
        <v>0.53509908689732055</v>
      </c>
    </row>
    <row r="1265" spans="1:4">
      <c r="A1265">
        <v>1.008041</v>
      </c>
      <c r="B1265">
        <v>3.5765250000000002</v>
      </c>
      <c r="C1265">
        <f>LOG10(1.008041)</f>
        <v>3.4781965059750828E-3</v>
      </c>
      <c r="D1265">
        <f>LOG10(3.576525)</f>
        <v>0.55346126512044669</v>
      </c>
    </row>
    <row r="1266" spans="1:4">
      <c r="A1266">
        <v>1.010931</v>
      </c>
      <c r="B1266">
        <v>3.362892</v>
      </c>
      <c r="C1266">
        <f>LOG10(1.010931)</f>
        <v>4.721514303278637E-3</v>
      </c>
      <c r="D1266">
        <f>LOG10(3.362892)</f>
        <v>0.52671292007788262</v>
      </c>
    </row>
    <row r="1267" spans="1:4">
      <c r="A1267">
        <v>1.0144089999999999</v>
      </c>
      <c r="B1267">
        <v>3.4256890000000002</v>
      </c>
      <c r="C1267">
        <f>LOG10(1.014409)</f>
        <v>6.2130936853289458E-3</v>
      </c>
      <c r="D1267">
        <f>LOG10(3.425689)</f>
        <v>0.53474793314361091</v>
      </c>
    </row>
    <row r="1268" spans="1:4">
      <c r="A1268">
        <v>1.007889</v>
      </c>
      <c r="B1268">
        <v>3.3261020000000001</v>
      </c>
      <c r="C1268">
        <f>LOG10(1.007889)</f>
        <v>3.4127053814079003E-3</v>
      </c>
      <c r="D1268">
        <f>LOG10(3.326102)</f>
        <v>0.52193556339159231</v>
      </c>
    </row>
    <row r="1269" spans="1:4">
      <c r="A1269">
        <v>1.0065109999999999</v>
      </c>
      <c r="B1269">
        <v>3.215023</v>
      </c>
      <c r="C1269">
        <f>LOG10(1.006511)</f>
        <v>2.8185255865172953E-3</v>
      </c>
      <c r="D1269">
        <f>LOG10(3.215023)</f>
        <v>0.50718408417699179</v>
      </c>
    </row>
    <row r="1270" spans="1:4">
      <c r="A1270">
        <v>1.018283</v>
      </c>
      <c r="B1270">
        <v>3.172247</v>
      </c>
      <c r="C1270">
        <f>LOG10(1.018283)</f>
        <v>7.8684933818239568E-3</v>
      </c>
      <c r="D1270">
        <f>LOG10(3.172247)</f>
        <v>0.50136699534188467</v>
      </c>
    </row>
    <row r="1271" spans="1:4">
      <c r="A1271">
        <v>1.0123249999999999</v>
      </c>
      <c r="B1271">
        <v>3.2756949999999998</v>
      </c>
      <c r="C1271">
        <f>LOG10(1.012325)</f>
        <v>5.3199621552258236E-3</v>
      </c>
      <c r="D1271">
        <f>LOG10(3.275695)</f>
        <v>0.51530345780649545</v>
      </c>
    </row>
    <row r="1272" spans="1:4">
      <c r="A1272">
        <v>1.0182990000000001</v>
      </c>
      <c r="B1272">
        <v>2.9963869999999999</v>
      </c>
      <c r="C1272">
        <f>LOG10(1.018299)</f>
        <v>7.8753172776558963E-3</v>
      </c>
      <c r="D1272">
        <f>LOG10(2.996387)</f>
        <v>0.47659790419108572</v>
      </c>
    </row>
    <row r="1273" spans="1:4">
      <c r="A1273">
        <v>1.0108699999999999</v>
      </c>
      <c r="B1273">
        <v>3.1273499999999999</v>
      </c>
      <c r="C1273">
        <f>LOG10(1.01087)</f>
        <v>4.6953080016651988E-3</v>
      </c>
      <c r="D1273">
        <f>LOG10(3.12735)</f>
        <v>0.49517648839437972</v>
      </c>
    </row>
    <row r="1274" spans="1:4">
      <c r="A1274">
        <v>1.0211440000000001</v>
      </c>
      <c r="B1274">
        <v>3.3535379999999999</v>
      </c>
      <c r="C1274">
        <f>LOG10(1.021144)</f>
        <v>9.0869898789344566E-3</v>
      </c>
      <c r="D1274">
        <f>LOG10(3.353538)</f>
        <v>0.52550323183271941</v>
      </c>
    </row>
    <row r="1275" spans="1:4">
      <c r="A1275">
        <v>1.0127299999999999</v>
      </c>
      <c r="B1275">
        <v>3.1466949999999998</v>
      </c>
      <c r="C1275">
        <f>LOG10(1.01273)</f>
        <v>5.4936752321702769E-3</v>
      </c>
      <c r="D1275">
        <f>LOG10(3.146695)</f>
        <v>0.49785465005136909</v>
      </c>
    </row>
    <row r="1276" spans="1:4">
      <c r="A1276">
        <v>1.0072049999999999</v>
      </c>
      <c r="B1276">
        <v>3.231004</v>
      </c>
      <c r="C1276">
        <f>LOG10(1.007205)</f>
        <v>3.1178730440274095E-3</v>
      </c>
      <c r="D1276">
        <f>LOG10(3.231004)</f>
        <v>0.50933749567683695</v>
      </c>
    </row>
    <row r="1277" spans="1:4">
      <c r="A1277">
        <v>1.0130760000000001</v>
      </c>
      <c r="B1277">
        <v>3.3996189999999999</v>
      </c>
      <c r="C1277">
        <f>LOG10(1.013076)</f>
        <v>5.642026942254812E-3</v>
      </c>
      <c r="D1277">
        <f>LOG10(3.399619)</f>
        <v>0.53143024778658698</v>
      </c>
    </row>
    <row r="1278" spans="1:4">
      <c r="A1278">
        <v>1.014696</v>
      </c>
      <c r="B1278">
        <v>3.042926</v>
      </c>
      <c r="C1278">
        <f>LOG10(1.014696)</f>
        <v>6.3359483598159601E-3</v>
      </c>
      <c r="D1278">
        <f>LOG10(3.042926)</f>
        <v>0.48329139101001323</v>
      </c>
    </row>
    <row r="1279" spans="1:4">
      <c r="A1279">
        <v>1.0162770000000001</v>
      </c>
      <c r="B1279">
        <v>3.0735169999999998</v>
      </c>
      <c r="C1279">
        <f>LOG10(1.016277)</f>
        <v>7.0120969000287362E-3</v>
      </c>
      <c r="D1279">
        <f>LOG10(3.073517)</f>
        <v>0.48763561959963664</v>
      </c>
    </row>
    <row r="1280" spans="1:4">
      <c r="A1280">
        <v>1.0121249999999999</v>
      </c>
      <c r="B1280">
        <v>3.4022359999999998</v>
      </c>
      <c r="C1280">
        <f>LOG10(1.012125)</f>
        <v>5.2341522842354622E-3</v>
      </c>
      <c r="D1280">
        <f>LOG10(3.402236)</f>
        <v>0.53176443565599096</v>
      </c>
    </row>
    <row r="1281" spans="1:4">
      <c r="A1281">
        <v>1.0132110000000001</v>
      </c>
      <c r="B1281">
        <v>3.3332419999999998</v>
      </c>
      <c r="C1281">
        <f>LOG10(1.013211)</f>
        <v>5.6998960941999077E-3</v>
      </c>
      <c r="D1281">
        <f>LOG10(3.333242)</f>
        <v>0.52286684544850492</v>
      </c>
    </row>
    <row r="1282" spans="1:4">
      <c r="A1282">
        <v>1.018492</v>
      </c>
      <c r="B1282">
        <v>3.2261359999999999</v>
      </c>
      <c r="C1282">
        <f>LOG10(1.018492)</f>
        <v>7.9576220750142371E-3</v>
      </c>
      <c r="D1282">
        <f>LOG10(3.226136)</f>
        <v>0.5086826714238597</v>
      </c>
    </row>
    <row r="1283" spans="1:4">
      <c r="A1283">
        <v>1.0088090000000001</v>
      </c>
      <c r="B1283">
        <v>3.1606369999999999</v>
      </c>
      <c r="C1283">
        <f>LOG10(1.008809)</f>
        <v>3.8089481020015825E-3</v>
      </c>
      <c r="D1283">
        <f>LOG10(3.160637)</f>
        <v>0.49977461986691502</v>
      </c>
    </row>
    <row r="1284" spans="1:4">
      <c r="A1284">
        <v>1.014221</v>
      </c>
      <c r="B1284">
        <v>3.152326</v>
      </c>
      <c r="C1284">
        <f>LOG10(1.014221)</f>
        <v>6.1325986095078378E-3</v>
      </c>
      <c r="D1284">
        <f>LOG10(3.152326)</f>
        <v>0.49863112400788911</v>
      </c>
    </row>
    <row r="1285" spans="1:4">
      <c r="A1285">
        <v>1.0154209999999999</v>
      </c>
      <c r="B1285">
        <v>3.1269559999999998</v>
      </c>
      <c r="C1285">
        <f>LOG10(1.015421)</f>
        <v>6.646140839131497E-3</v>
      </c>
      <c r="D1285">
        <f>LOG10(3.126956)</f>
        <v>0.49512177024464538</v>
      </c>
    </row>
    <row r="1286" spans="1:4">
      <c r="A1286">
        <v>1.020421</v>
      </c>
      <c r="B1286">
        <v>3.2546710000000001</v>
      </c>
      <c r="C1286">
        <f>LOG10(1.020421)</f>
        <v>8.7793876977228427E-3</v>
      </c>
      <c r="D1286">
        <f>LOG10(3.254671)</f>
        <v>0.51250709425413521</v>
      </c>
    </row>
    <row r="1287" spans="1:4">
      <c r="A1287">
        <v>1.0144089999999999</v>
      </c>
      <c r="B1287">
        <v>3.114805</v>
      </c>
      <c r="C1287">
        <f>LOG10(1.014409)</f>
        <v>6.2130936853289458E-3</v>
      </c>
      <c r="D1287">
        <f>LOG10(3.114805)</f>
        <v>0.49343086317020873</v>
      </c>
    </row>
    <row r="1288" spans="1:4">
      <c r="A1288">
        <v>1.0105740000000001</v>
      </c>
      <c r="B1288">
        <v>3.2042609999999998</v>
      </c>
      <c r="C1288">
        <f>LOG10(1.010574)</f>
        <v>4.5681205380875929E-3</v>
      </c>
      <c r="D1288">
        <f>LOG10(3.204261)</f>
        <v>0.50572788389260226</v>
      </c>
    </row>
    <row r="1289" spans="1:4">
      <c r="A1289">
        <v>1.0155719999999999</v>
      </c>
      <c r="B1289">
        <v>3.2649499999999998</v>
      </c>
      <c r="C1289">
        <f>LOG10(1.015572)</f>
        <v>6.7107185771032455E-3</v>
      </c>
      <c r="D1289">
        <f>LOG10(3.26495)</f>
        <v>0.51387653480240481</v>
      </c>
    </row>
    <row r="1290" spans="1:4">
      <c r="A1290">
        <v>1.0099469999999999</v>
      </c>
      <c r="B1290">
        <v>3.490478</v>
      </c>
      <c r="C1290">
        <f>LOG10(1.009947)</f>
        <v>4.2985834742372692E-3</v>
      </c>
      <c r="D1290">
        <f>LOG10(3.490478)</f>
        <v>0.54288490505299358</v>
      </c>
    </row>
    <row r="1291" spans="1:4">
      <c r="A1291">
        <v>1.0112270000000001</v>
      </c>
      <c r="B1291">
        <v>3.3666420000000001</v>
      </c>
      <c r="C1291">
        <f>LOG10(1.011227)</f>
        <v>4.8486568584711915E-3</v>
      </c>
      <c r="D1291">
        <f>LOG10(3.366642)</f>
        <v>0.52719693709175308</v>
      </c>
    </row>
    <row r="1292" spans="1:4">
      <c r="A1292">
        <v>1.0075460000000001</v>
      </c>
      <c r="B1292">
        <v>3.328668</v>
      </c>
      <c r="C1292">
        <f>LOG10(1.007546)</f>
        <v>3.2648831904357584E-3</v>
      </c>
      <c r="D1292">
        <f>LOG10(3.328668)</f>
        <v>0.52227048096073225</v>
      </c>
    </row>
    <row r="1293" spans="1:4">
      <c r="A1293">
        <v>1.0194319999999999</v>
      </c>
      <c r="B1293">
        <v>3.2063100000000002</v>
      </c>
      <c r="C1293">
        <f>LOG10(1.019432)</f>
        <v>8.3582619830191544E-3</v>
      </c>
      <c r="D1293">
        <f>LOG10(3.20631)</f>
        <v>0.50600550952804835</v>
      </c>
    </row>
    <row r="1294" spans="1:4">
      <c r="A1294">
        <v>1.0065679999999999</v>
      </c>
      <c r="B1294">
        <v>3.0334469999999998</v>
      </c>
      <c r="C1294">
        <f>LOG10(1.006568)</f>
        <v>2.8431195398346655E-3</v>
      </c>
      <c r="D1294">
        <f>LOG10(3.033447)</f>
        <v>0.48193641140842697</v>
      </c>
    </row>
    <row r="1295" spans="1:4">
      <c r="A1295">
        <v>1.014286</v>
      </c>
      <c r="B1295">
        <v>3.1289479999999998</v>
      </c>
      <c r="C1295">
        <f>LOG10(1.014286)</f>
        <v>6.1604310412750095E-3</v>
      </c>
      <c r="D1295">
        <f>LOG10(3.128948)</f>
        <v>0.49539834566434154</v>
      </c>
    </row>
    <row r="1296" spans="1:4">
      <c r="A1296">
        <v>1.017026</v>
      </c>
      <c r="B1296">
        <v>3.4023249999999998</v>
      </c>
      <c r="C1296">
        <f>LOG10(1.017026)</f>
        <v>7.3320556879305819E-3</v>
      </c>
      <c r="D1296">
        <f>LOG10(3.402325)</f>
        <v>0.53177579633271699</v>
      </c>
    </row>
    <row r="1297" spans="1:4">
      <c r="A1297">
        <v>1.0208140000000001</v>
      </c>
      <c r="B1297">
        <v>3.226216</v>
      </c>
      <c r="C1297">
        <f>LOG10(1.020814)</f>
        <v>8.9466175693416524E-3</v>
      </c>
      <c r="D1297">
        <f>LOG10(3.226216)</f>
        <v>0.50869344069328404</v>
      </c>
    </row>
    <row r="1298" spans="1:4">
      <c r="A1298">
        <v>1.0120169999999999</v>
      </c>
      <c r="B1298">
        <v>3.1881029999999999</v>
      </c>
      <c r="C1298">
        <f>LOG10(1.012017)</f>
        <v>5.1878079031692529E-3</v>
      </c>
      <c r="D1298">
        <f>LOG10(3.188103)</f>
        <v>0.50353234396906554</v>
      </c>
    </row>
    <row r="1299" spans="1:4">
      <c r="A1299">
        <v>1.0167580000000001</v>
      </c>
      <c r="B1299">
        <v>3.2971379999999999</v>
      </c>
      <c r="C1299">
        <f>LOG10(1.016758)</f>
        <v>7.2175981822920968E-3</v>
      </c>
      <c r="D1299">
        <f>LOG10(3.297138)</f>
        <v>0.51813712469373241</v>
      </c>
    </row>
    <row r="1300" spans="1:4">
      <c r="A1300">
        <v>1.0196510000000001</v>
      </c>
      <c r="B1300">
        <v>3.2628689999999998</v>
      </c>
      <c r="C1300">
        <f>LOG10(1.019651)</f>
        <v>8.4515494969679191E-3</v>
      </c>
      <c r="D1300">
        <f>LOG10(3.262869)</f>
        <v>0.51359963777218498</v>
      </c>
    </row>
    <row r="1301" spans="1:4">
      <c r="A1301">
        <v>1.015916</v>
      </c>
      <c r="B1301">
        <v>3.1002540000000001</v>
      </c>
      <c r="C1301">
        <f>LOG10(1.015916)</f>
        <v>6.8578002268129276E-3</v>
      </c>
      <c r="D1301">
        <f>LOG10(3.100254)</f>
        <v>0.49139727650506815</v>
      </c>
    </row>
    <row r="1302" spans="1:4">
      <c r="A1302">
        <v>1.0160389999999999</v>
      </c>
      <c r="B1302">
        <v>3.1667580000000002</v>
      </c>
      <c r="C1302">
        <f>LOG10(1.016039)</f>
        <v>6.9103783806985109E-3</v>
      </c>
      <c r="D1302">
        <f>LOG10(3.166758)</f>
        <v>0.50061487635571345</v>
      </c>
    </row>
    <row r="1303" spans="1:4">
      <c r="A1303">
        <v>1.0135510000000001</v>
      </c>
      <c r="B1303">
        <v>3.1884199999999998</v>
      </c>
      <c r="C1303">
        <f>LOG10(1.013551)</f>
        <v>5.8456064689081872E-3</v>
      </c>
      <c r="D1303">
        <f>LOG10(3.18842)</f>
        <v>0.50357552466515232</v>
      </c>
    </row>
    <row r="1304" spans="1:4">
      <c r="A1304">
        <v>1.0122800000000001</v>
      </c>
      <c r="B1304">
        <v>3.0948359999999999</v>
      </c>
      <c r="C1304">
        <f>LOG10(1.01228)</f>
        <v>5.3006564124376751E-3</v>
      </c>
      <c r="D1304">
        <f>LOG10(3.094836)</f>
        <v>0.49063764005011418</v>
      </c>
    </row>
    <row r="1305" spans="1:4">
      <c r="A1305">
        <v>1.017161</v>
      </c>
      <c r="B1305">
        <v>3.3047119999999999</v>
      </c>
      <c r="C1305">
        <f>LOG10(1.017161)</f>
        <v>7.3897000983441903E-3</v>
      </c>
      <c r="D1305">
        <f>LOG10(3.304712)</f>
        <v>0.51913361744927022</v>
      </c>
    </row>
    <row r="1306" spans="1:4">
      <c r="A1306">
        <v>1.0099739999999999</v>
      </c>
      <c r="B1306">
        <v>3.316735</v>
      </c>
      <c r="C1306">
        <f>LOG10(1.009974)</f>
        <v>4.3101937807909271E-3</v>
      </c>
      <c r="D1306">
        <f>LOG10(3.316735)</f>
        <v>0.52071077370964647</v>
      </c>
    </row>
    <row r="1307" spans="1:4">
      <c r="A1307">
        <v>1.0188870000000001</v>
      </c>
      <c r="B1307">
        <v>3.0986829999999999</v>
      </c>
      <c r="C1307">
        <f>LOG10(1.018887)</f>
        <v>8.1260211038657309E-3</v>
      </c>
      <c r="D1307">
        <f>LOG10(3.098683)</f>
        <v>0.49117714952340114</v>
      </c>
    </row>
    <row r="1308" spans="1:4">
      <c r="A1308">
        <v>1.0126029999999999</v>
      </c>
      <c r="B1308">
        <v>3.2142360000000001</v>
      </c>
      <c r="C1308">
        <f>LOG10(1.012603)</f>
        <v>5.4392097203023538E-3</v>
      </c>
      <c r="D1308">
        <f>LOG10(3.214236)</f>
        <v>0.50707776095717283</v>
      </c>
    </row>
    <row r="1309" spans="1:4">
      <c r="A1309">
        <v>1.0149539999999999</v>
      </c>
      <c r="B1309">
        <v>3.1207859999999998</v>
      </c>
      <c r="C1309">
        <f>LOG10(1.014954)</f>
        <v>6.446359491719969E-3</v>
      </c>
      <c r="D1309">
        <f>LOG10(3.120786)</f>
        <v>0.4942639890416276</v>
      </c>
    </row>
    <row r="1310" spans="1:4">
      <c r="A1310">
        <v>1.0174859999999999</v>
      </c>
      <c r="B1310">
        <v>3.2259120000000001</v>
      </c>
      <c r="C1310">
        <f>LOG10(1.017486)</f>
        <v>7.52844230553683E-3</v>
      </c>
      <c r="D1310">
        <f>LOG10(3.225912)</f>
        <v>0.50865251604870276</v>
      </c>
    </row>
    <row r="1311" spans="1:4">
      <c r="A1311">
        <v>1.008958</v>
      </c>
      <c r="B1311">
        <v>3.0439259999999999</v>
      </c>
      <c r="C1311">
        <f>LOG10(1.008958)</f>
        <v>3.8730881914382561E-3</v>
      </c>
      <c r="D1311">
        <f>LOG10(3.043926)</f>
        <v>0.48343409021998596</v>
      </c>
    </row>
    <row r="1312" spans="1:4">
      <c r="A1312">
        <v>1.0146040000000001</v>
      </c>
      <c r="B1312">
        <v>2.979968</v>
      </c>
      <c r="C1312">
        <f>LOG10(1.014604)</f>
        <v>6.2965701581085094E-3</v>
      </c>
      <c r="D1312">
        <f>LOG10(2.979968)</f>
        <v>0.47421160048630945</v>
      </c>
    </row>
    <row r="1313" spans="1:4">
      <c r="A1313">
        <v>1.0279590000000001</v>
      </c>
      <c r="B1313">
        <v>3.1347100000000001</v>
      </c>
      <c r="C1313">
        <f>LOG10(1.027959)</f>
        <v>1.1975793230414851E-2</v>
      </c>
      <c r="D1313">
        <f>LOG10(3.13471)</f>
        <v>0.49619736933728165</v>
      </c>
    </row>
    <row r="1314" spans="1:4">
      <c r="A1314">
        <v>1.0120910000000001</v>
      </c>
      <c r="B1314">
        <v>3.08385</v>
      </c>
      <c r="C1314">
        <f>LOG10(1.012091)</f>
        <v>5.2195629198731192E-3</v>
      </c>
      <c r="D1314">
        <f>LOG10(3.08385)</f>
        <v>0.48909324559273831</v>
      </c>
    </row>
    <row r="1315" spans="1:4">
      <c r="A1315">
        <v>1.0077069999999999</v>
      </c>
      <c r="B1315">
        <v>2.8849740000000001</v>
      </c>
      <c r="C1315">
        <f>LOG10(1.007707)</f>
        <v>3.334275382617206E-3</v>
      </c>
      <c r="D1315">
        <f>LOG10(2.884974)</f>
        <v>0.46014190355503942</v>
      </c>
    </row>
    <row r="1316" spans="1:4">
      <c r="A1316">
        <v>1.019557</v>
      </c>
      <c r="B1316">
        <v>3.073159</v>
      </c>
      <c r="C1316">
        <f>LOG10(1.019557)</f>
        <v>8.4115107355195173E-3</v>
      </c>
      <c r="D1316">
        <f>LOG10(3.073159)</f>
        <v>0.48758503049271212</v>
      </c>
    </row>
    <row r="1317" spans="1:4">
      <c r="A1317">
        <v>1.0125660000000001</v>
      </c>
      <c r="B1317">
        <v>3.0426199999999999</v>
      </c>
      <c r="C1317">
        <f>LOG10(1.012566)</f>
        <v>5.4233405302919003E-3</v>
      </c>
      <c r="D1317">
        <f>LOG10(3.04262)</f>
        <v>0.48324771568110286</v>
      </c>
    </row>
    <row r="1318" spans="1:4">
      <c r="A1318">
        <v>1.009711</v>
      </c>
      <c r="B1318">
        <v>3.0467569999999999</v>
      </c>
      <c r="C1318">
        <f>LOG10(1.009711)</f>
        <v>4.1970875791940325E-3</v>
      </c>
      <c r="D1318">
        <f>LOG10(3.046757)</f>
        <v>0.48383781760714772</v>
      </c>
    </row>
    <row r="1319" spans="1:4">
      <c r="A1319">
        <v>1.00881</v>
      </c>
      <c r="B1319">
        <v>3.345386</v>
      </c>
      <c r="C1319">
        <f>LOG10(1.00881)</f>
        <v>3.8093786039763034E-3</v>
      </c>
      <c r="D1319">
        <f>LOG10(3.345386)</f>
        <v>0.52444623510784516</v>
      </c>
    </row>
    <row r="1320" spans="1:4">
      <c r="A1320">
        <v>1.0208219999999999</v>
      </c>
      <c r="B1320">
        <v>3.0881059999999998</v>
      </c>
      <c r="C1320">
        <f>LOG10(1.020822)</f>
        <v>8.9500210710972555E-3</v>
      </c>
      <c r="D1320">
        <f>LOG10(3.088106)</f>
        <v>0.48969219918474372</v>
      </c>
    </row>
    <row r="1321" spans="1:4">
      <c r="A1321">
        <v>1.0103599999999999</v>
      </c>
      <c r="B1321">
        <v>3.2579750000000001</v>
      </c>
      <c r="C1321">
        <f>LOG10(1.01036)</f>
        <v>4.4761442345816489E-3</v>
      </c>
      <c r="D1321">
        <f>LOG10(3.257975)</f>
        <v>0.51294774743605587</v>
      </c>
    </row>
    <row r="1322" spans="1:4">
      <c r="A1322">
        <v>1.01227</v>
      </c>
      <c r="B1322">
        <v>3.3299319999999999</v>
      </c>
      <c r="C1322">
        <f>LOG10(1.01227)</f>
        <v>5.2963661308253699E-3</v>
      </c>
      <c r="D1322">
        <f>LOG10(3.329932)</f>
        <v>0.52243536493986287</v>
      </c>
    </row>
    <row r="1323" spans="1:4">
      <c r="A1323">
        <v>1.012937</v>
      </c>
      <c r="B1323">
        <v>3.3798059999999999</v>
      </c>
      <c r="C1323">
        <f>LOG10(1.012937)</f>
        <v>5.5824350905941209E-3</v>
      </c>
      <c r="D1323">
        <f>LOG10(3.379806)</f>
        <v>0.52889177260088049</v>
      </c>
    </row>
    <row r="1324" spans="1:4">
      <c r="A1324">
        <v>1.0242910000000001</v>
      </c>
      <c r="B1324">
        <v>3.509919</v>
      </c>
      <c r="C1324">
        <f>LOG10(1.024291)</f>
        <v>1.0423356776886369E-2</v>
      </c>
      <c r="D1324">
        <f>LOG10(3.509919)</f>
        <v>0.54529709416983019</v>
      </c>
    </row>
    <row r="1325" spans="1:4">
      <c r="A1325">
        <v>1.0101279999999999</v>
      </c>
      <c r="B1325">
        <v>3.5516239999999999</v>
      </c>
      <c r="C1325">
        <f>LOG10(1.010128)</f>
        <v>4.376409595975168E-3</v>
      </c>
      <c r="D1325">
        <f>LOG10(3.551624)</f>
        <v>0.55042698205908114</v>
      </c>
    </row>
    <row r="1326" spans="1:4">
      <c r="A1326">
        <v>1.0081720000000001</v>
      </c>
      <c r="B1326">
        <v>3.3898609999999998</v>
      </c>
      <c r="C1326">
        <f>LOG10(1.008172)</f>
        <v>3.5346315921583665E-3</v>
      </c>
      <c r="D1326">
        <f>LOG10(3.389861)</f>
        <v>0.53018189048313247</v>
      </c>
    </row>
    <row r="1327" spans="1:4">
      <c r="A1327">
        <v>1.012537</v>
      </c>
      <c r="B1327">
        <v>3.3560509999999999</v>
      </c>
      <c r="C1327">
        <f>LOG10(1.012537)</f>
        <v>5.410902111133882E-3</v>
      </c>
      <c r="D1327">
        <f>LOG10(3.356051)</f>
        <v>0.52582855193326672</v>
      </c>
    </row>
    <row r="1328" spans="1:4">
      <c r="A1328">
        <v>1.021323</v>
      </c>
      <c r="B1328">
        <v>3.3696980000000001</v>
      </c>
      <c r="C1328">
        <f>LOG10(1.021323)</f>
        <v>9.1631122470899051E-3</v>
      </c>
      <c r="D1328">
        <f>LOG10(3.369698)</f>
        <v>0.52759098015601202</v>
      </c>
    </row>
    <row r="1329" spans="1:4">
      <c r="A1329">
        <v>1.007711</v>
      </c>
      <c r="B1329">
        <v>3.4609619999999999</v>
      </c>
      <c r="C1329">
        <f>LOG10(1.007711)</f>
        <v>3.3359992710886447E-3</v>
      </c>
      <c r="D1329">
        <f>LOG10(3.460962)</f>
        <v>0.53919683093789794</v>
      </c>
    </row>
    <row r="1330" spans="1:4">
      <c r="A1330">
        <v>1.01206</v>
      </c>
      <c r="B1330">
        <v>3.5269210000000002</v>
      </c>
      <c r="C1330">
        <f>LOG10(1.01206)</f>
        <v>5.2062604252073527E-3</v>
      </c>
      <c r="D1330">
        <f>LOG10(3.526921)</f>
        <v>0.54739573195319524</v>
      </c>
    </row>
    <row r="1331" spans="1:4">
      <c r="A1331">
        <v>1.0143899999999999</v>
      </c>
      <c r="B1331">
        <v>3.5035910000000001</v>
      </c>
      <c r="C1331">
        <f>LOG10(1.01439)</f>
        <v>6.2049592223718964E-3</v>
      </c>
      <c r="D1331">
        <f>LOG10(3.503591)</f>
        <v>0.54451340205925181</v>
      </c>
    </row>
    <row r="1332" spans="1:4">
      <c r="A1332">
        <v>1.0130699999999999</v>
      </c>
      <c r="B1332">
        <v>3.9192170000000002</v>
      </c>
      <c r="C1332">
        <f>LOG10(1.01307)</f>
        <v>5.6394548009663743E-3</v>
      </c>
      <c r="D1332">
        <f>LOG10(3.919217)</f>
        <v>0.59319931024858552</v>
      </c>
    </row>
    <row r="1333" spans="1:4">
      <c r="A1333">
        <v>1.0074449999999999</v>
      </c>
      <c r="B1333">
        <v>3.53349</v>
      </c>
      <c r="C1333">
        <f>LOG10(1.007445)</f>
        <v>3.2213457823689041E-3</v>
      </c>
      <c r="D1333">
        <f>LOG10(3.53349)</f>
        <v>0.54820386657165132</v>
      </c>
    </row>
    <row r="1334" spans="1:4">
      <c r="A1334">
        <v>1.0121990000000001</v>
      </c>
      <c r="B1334">
        <v>3.4409100000000001</v>
      </c>
      <c r="C1334">
        <f>LOG10(1.012199)</f>
        <v>5.2659039126064259E-3</v>
      </c>
      <c r="D1334">
        <f>LOG10(3.44091)</f>
        <v>0.53667331341879776</v>
      </c>
    </row>
    <row r="1335" spans="1:4">
      <c r="A1335">
        <v>1.018192</v>
      </c>
      <c r="B1335">
        <v>3.3112140000000001</v>
      </c>
      <c r="C1335">
        <f>LOG10(1.018192)</f>
        <v>7.8296804350610188E-3</v>
      </c>
      <c r="D1335">
        <f>LOG10(3.311214)</f>
        <v>0.51998724961820886</v>
      </c>
    </row>
    <row r="1336" spans="1:4">
      <c r="A1336">
        <v>1.0088029999999999</v>
      </c>
      <c r="B1336">
        <v>3.3712019999999998</v>
      </c>
      <c r="C1336">
        <f>LOG10(1.008803)</f>
        <v>3.8063650811913353E-3</v>
      </c>
      <c r="D1336">
        <f>LOG10(3.371202)</f>
        <v>0.52778477591373607</v>
      </c>
    </row>
    <row r="1337" spans="1:4">
      <c r="A1337">
        <v>1.0150140000000001</v>
      </c>
      <c r="B1337">
        <v>3.4638770000000001</v>
      </c>
      <c r="C1337">
        <f>LOG10(1.015014)</f>
        <v>6.4720324766358471E-3</v>
      </c>
      <c r="D1337">
        <f>LOG10(3.463877)</f>
        <v>0.53956246210694703</v>
      </c>
    </row>
    <row r="1338" spans="1:4">
      <c r="A1338">
        <v>1.013387</v>
      </c>
      <c r="B1338">
        <v>3.2811689999999998</v>
      </c>
      <c r="C1338">
        <f>LOG10(1.013387)</f>
        <v>5.7753287443921154E-3</v>
      </c>
      <c r="D1338">
        <f>LOG10(3.281169)</f>
        <v>0.51602859974820758</v>
      </c>
    </row>
    <row r="1339" spans="1:4">
      <c r="A1339">
        <v>1.0223789999999999</v>
      </c>
      <c r="B1339">
        <v>3.2669250000000001</v>
      </c>
      <c r="C1339">
        <f>LOG10(1.022379)</f>
        <v>9.6119203548324286E-3</v>
      </c>
      <c r="D1339">
        <f>LOG10(3.266925)</f>
        <v>0.51413916433156703</v>
      </c>
    </row>
    <row r="1340" spans="1:4">
      <c r="A1340">
        <v>1.00918</v>
      </c>
      <c r="B1340">
        <v>3.4831889999999999</v>
      </c>
      <c r="C1340">
        <f>LOG10(1.00918)</f>
        <v>3.9686350523282267E-3</v>
      </c>
      <c r="D1340">
        <f>LOG10(3.483189)</f>
        <v>0.54197704018609694</v>
      </c>
    </row>
    <row r="1341" spans="1:4">
      <c r="A1341">
        <v>1.0148489999999999</v>
      </c>
      <c r="B1341">
        <v>3.397227</v>
      </c>
      <c r="C1341">
        <f>LOG10(1.014849)</f>
        <v>6.4014281159751052E-3</v>
      </c>
      <c r="D1341">
        <f>LOG10(3.397227)</f>
        <v>0.53112456705066913</v>
      </c>
    </row>
    <row r="1342" spans="1:4">
      <c r="A1342">
        <v>1.008543</v>
      </c>
      <c r="B1342">
        <v>3.5064769999999998</v>
      </c>
      <c r="C1342">
        <f>LOG10(1.008543)</f>
        <v>3.6944194199909079E-3</v>
      </c>
      <c r="D1342">
        <f>LOG10(3.506477)</f>
        <v>0.54487099458063237</v>
      </c>
    </row>
    <row r="1343" spans="1:4">
      <c r="A1343">
        <v>1.019684</v>
      </c>
      <c r="B1343">
        <v>3.4916770000000001</v>
      </c>
      <c r="C1343">
        <f>LOG10(1.019684)</f>
        <v>8.4656047825429105E-3</v>
      </c>
      <c r="D1343">
        <f>LOG10(3.491677)</f>
        <v>0.54303406217967454</v>
      </c>
    </row>
    <row r="1344" spans="1:4">
      <c r="A1344">
        <v>1.0069079999999999</v>
      </c>
      <c r="B1344">
        <v>3.4243929999999998</v>
      </c>
      <c r="C1344">
        <f>LOG10(1.006908)</f>
        <v>2.9897913901577792E-3</v>
      </c>
      <c r="D1344">
        <f>LOG10(3.424393)</f>
        <v>0.53458360061291643</v>
      </c>
    </row>
    <row r="1345" spans="1:4">
      <c r="A1345">
        <v>1.185835</v>
      </c>
      <c r="B1345">
        <v>3.0809600000000001</v>
      </c>
      <c r="C1345">
        <f>LOG10(1.185835)</f>
        <v>7.4024264429037159E-2</v>
      </c>
      <c r="D1345">
        <f>LOG10(3.08096)</f>
        <v>0.48868605992289837</v>
      </c>
    </row>
    <row r="1346" spans="1:4">
      <c r="A1346">
        <v>1.2118640000000001</v>
      </c>
      <c r="B1346">
        <v>3.1084040000000002</v>
      </c>
      <c r="C1346">
        <f>LOG10(1.211864)</f>
        <v>8.3453884381743226E-2</v>
      </c>
      <c r="D1346">
        <f>LOG10(3.108404)</f>
        <v>0.49253745915340469</v>
      </c>
    </row>
    <row r="1347" spans="1:4">
      <c r="A1347">
        <v>1.172973</v>
      </c>
      <c r="B1347">
        <v>3.0827719999999998</v>
      </c>
      <c r="C1347">
        <f>LOG10(1.172973)</f>
        <v>6.9288015452300913E-2</v>
      </c>
      <c r="D1347">
        <f>LOG10(3.082772)</f>
        <v>0.48894140575035439</v>
      </c>
    </row>
    <row r="1348" spans="1:4">
      <c r="A1348">
        <v>1.191829</v>
      </c>
      <c r="B1348">
        <v>3.3624489999999998</v>
      </c>
      <c r="C1348">
        <f>LOG10(1.191829)</f>
        <v>7.6213948622537539E-2</v>
      </c>
      <c r="D1348">
        <f>LOG10(3.362449)</f>
        <v>0.52665570589178812</v>
      </c>
    </row>
    <row r="1349" spans="1:4">
      <c r="A1349">
        <v>1.1699580000000001</v>
      </c>
      <c r="B1349">
        <v>3.128546</v>
      </c>
      <c r="C1349">
        <f>LOG10(1.169958)</f>
        <v>6.8170271408008673E-2</v>
      </c>
      <c r="D1349">
        <f>LOG10(3.128546)</f>
        <v>0.49534254492942592</v>
      </c>
    </row>
    <row r="1350" spans="1:4">
      <c r="A1350">
        <v>1.1979329999999999</v>
      </c>
      <c r="B1350">
        <v>3.32422</v>
      </c>
      <c r="C1350">
        <f>LOG10(1.197933)</f>
        <v>7.8432528784523253E-2</v>
      </c>
      <c r="D1350">
        <f>LOG10(3.32422)</f>
        <v>0.52168975807968088</v>
      </c>
    </row>
    <row r="1351" spans="1:4">
      <c r="A1351">
        <v>1.2131080000000001</v>
      </c>
      <c r="B1351">
        <v>3.0396939999999999</v>
      </c>
      <c r="C1351">
        <f>LOG10(1.213108)</f>
        <v>8.3899466749605855E-2</v>
      </c>
      <c r="D1351">
        <f>LOG10(3.039694)</f>
        <v>0.48282986624022345</v>
      </c>
    </row>
    <row r="1352" spans="1:4">
      <c r="A1352">
        <v>1.2118390000000001</v>
      </c>
      <c r="B1352">
        <v>2.998767</v>
      </c>
      <c r="C1352">
        <f>LOG10(1.211839)</f>
        <v>8.3444925064493594E-2</v>
      </c>
      <c r="D1352">
        <f>LOG10(2.998767)</f>
        <v>0.4769427229968175</v>
      </c>
    </row>
    <row r="1353" spans="1:4">
      <c r="A1353">
        <v>1.204712</v>
      </c>
      <c r="B1353">
        <v>2.9311180000000001</v>
      </c>
      <c r="C1353">
        <f>LOG10(1.204712)</f>
        <v>8.0883236321585505E-2</v>
      </c>
      <c r="D1353">
        <f>LOG10(2.931118)</f>
        <v>0.46703330247709579</v>
      </c>
    </row>
    <row r="1354" spans="1:4">
      <c r="A1354">
        <v>1.2509980000000001</v>
      </c>
      <c r="B1354">
        <v>3.3763519999999998</v>
      </c>
      <c r="C1354">
        <f>LOG10(1.250998)</f>
        <v>9.7256615377146499E-2</v>
      </c>
      <c r="D1354">
        <f>LOG10(3.376352)</f>
        <v>0.52844771748222263</v>
      </c>
    </row>
    <row r="1355" spans="1:4">
      <c r="A1355">
        <v>1.2334099999999999</v>
      </c>
      <c r="B1355">
        <v>3.1668289999999999</v>
      </c>
      <c r="C1355">
        <f>LOG10(1.23341)</f>
        <v>9.1107465192291376E-2</v>
      </c>
      <c r="D1355">
        <f>LOG10(3.166829)</f>
        <v>0.50062461330515973</v>
      </c>
    </row>
    <row r="1356" spans="1:4">
      <c r="A1356">
        <v>1.1940360000000001</v>
      </c>
      <c r="B1356">
        <v>3.0895980000000001</v>
      </c>
      <c r="C1356">
        <f>LOG10(1.194036)</f>
        <v>7.701742090193972E-2</v>
      </c>
      <c r="D1356">
        <f>LOG10(3.089598)</f>
        <v>0.48990197530208385</v>
      </c>
    </row>
    <row r="1357" spans="1:4">
      <c r="A1357">
        <v>1.1722669999999999</v>
      </c>
      <c r="B1357">
        <v>3.0921880000000002</v>
      </c>
      <c r="C1357">
        <f>LOG10(1.172267)</f>
        <v>6.9026539515095603E-2</v>
      </c>
      <c r="D1357">
        <f>LOG10(3.092188)</f>
        <v>0.49026589044697755</v>
      </c>
    </row>
    <row r="1358" spans="1:4">
      <c r="A1358">
        <v>1.16421</v>
      </c>
      <c r="B1358">
        <v>3.2169210000000001</v>
      </c>
      <c r="C1358">
        <f>LOG10(1.16421)</f>
        <v>6.6031325344126396E-2</v>
      </c>
      <c r="D1358">
        <f>LOG10(3.216921)</f>
        <v>0.50744039578374034</v>
      </c>
    </row>
    <row r="1359" spans="1:4">
      <c r="A1359">
        <v>1.2117439999999999</v>
      </c>
      <c r="B1359">
        <v>3.3924189999999999</v>
      </c>
      <c r="C1359">
        <f>LOG10(1.211744)</f>
        <v>8.3410877973222511E-2</v>
      </c>
      <c r="D1359">
        <f>LOG10(3.392419)</f>
        <v>0.53050948690716226</v>
      </c>
    </row>
    <row r="1360" spans="1:4">
      <c r="A1360">
        <v>1.1291279999999999</v>
      </c>
      <c r="B1360">
        <v>3.9051719999999999</v>
      </c>
      <c r="C1360">
        <f>LOG10(1.129128)</f>
        <v>5.2743177126642095E-2</v>
      </c>
      <c r="D1360">
        <f>LOG10(3.905172)</f>
        <v>0.59164016676795261</v>
      </c>
    </row>
    <row r="1361" spans="1:4">
      <c r="A1361">
        <v>1.1686829999999999</v>
      </c>
      <c r="B1361">
        <v>3.9338340000000001</v>
      </c>
      <c r="C1361">
        <f>LOG10(1.168683)</f>
        <v>6.7696726713215361E-2</v>
      </c>
      <c r="D1361">
        <f>LOG10(3.933834)</f>
        <v>0.59481602960338331</v>
      </c>
    </row>
    <row r="1362" spans="1:4">
      <c r="A1362">
        <v>1.1752959999999999</v>
      </c>
      <c r="B1362">
        <v>3.2775189999999998</v>
      </c>
      <c r="C1362">
        <f>LOG10(1.175296)</f>
        <v>7.0147258077870311E-2</v>
      </c>
      <c r="D1362">
        <f>LOG10(3.277519)</f>
        <v>0.51554521800399478</v>
      </c>
    </row>
    <row r="1363" spans="1:4">
      <c r="A1363">
        <v>1.191676</v>
      </c>
      <c r="B1363">
        <v>3.4482490000000001</v>
      </c>
      <c r="C1363">
        <f>LOG10(1.191676)</f>
        <v>7.6158192871387462E-2</v>
      </c>
      <c r="D1363">
        <f>LOG10(3.448249)</f>
        <v>0.53759861893385241</v>
      </c>
    </row>
    <row r="1364" spans="1:4">
      <c r="A1364">
        <v>1.193149</v>
      </c>
      <c r="B1364">
        <v>3.3270219999999999</v>
      </c>
      <c r="C1364">
        <f>LOG10(1.193149)</f>
        <v>7.6694681589170657E-2</v>
      </c>
      <c r="D1364">
        <f>LOG10(3.327022)</f>
        <v>0.52205567265932806</v>
      </c>
    </row>
    <row r="1365" spans="1:4">
      <c r="A1365">
        <v>1.142244</v>
      </c>
      <c r="B1365">
        <v>3.358908</v>
      </c>
      <c r="C1365">
        <f>LOG10(1.142244)</f>
        <v>5.775888546380286E-2</v>
      </c>
      <c r="D1365">
        <f>LOG10(3.358908)</f>
        <v>0.5261981087420774</v>
      </c>
    </row>
    <row r="1366" spans="1:4">
      <c r="A1366">
        <v>1.202469</v>
      </c>
      <c r="B1366">
        <v>3.3795769999999998</v>
      </c>
      <c r="C1366">
        <f>LOG10(1.202469)</f>
        <v>8.0073888952331584E-2</v>
      </c>
      <c r="D1366">
        <f>LOG10(3.379577)</f>
        <v>0.52886234582142622</v>
      </c>
    </row>
    <row r="1367" spans="1:4">
      <c r="A1367">
        <v>1.155135</v>
      </c>
      <c r="B1367">
        <v>3.406415</v>
      </c>
      <c r="C1367">
        <f>LOG10(1.155135)</f>
        <v>6.2632742954491824E-2</v>
      </c>
      <c r="D1367">
        <f>LOG10(3.406415)</f>
        <v>0.53229755649528232</v>
      </c>
    </row>
    <row r="1368" spans="1:4">
      <c r="A1368">
        <v>1.125289</v>
      </c>
      <c r="B1368">
        <v>3.6084670000000001</v>
      </c>
      <c r="C1368">
        <f>LOG10(1.125289)</f>
        <v>5.126407354678237E-2</v>
      </c>
      <c r="D1368">
        <f>LOG10(3.608467)</f>
        <v>0.55732273796040011</v>
      </c>
    </row>
    <row r="1369" spans="1:4">
      <c r="A1369">
        <v>1.130735</v>
      </c>
      <c r="B1369">
        <v>3.3787880000000001</v>
      </c>
      <c r="C1369">
        <f>LOG10(1.130735)</f>
        <v>5.3360835232515155E-2</v>
      </c>
      <c r="D1369">
        <f>LOG10(3.378788)</f>
        <v>0.52876094308636279</v>
      </c>
    </row>
    <row r="1370" spans="1:4">
      <c r="A1370">
        <v>1.1731020000000001</v>
      </c>
      <c r="B1370">
        <v>3.4238149999999998</v>
      </c>
      <c r="C1370">
        <f>LOG10(1.173102)</f>
        <v>6.9335775211236156E-2</v>
      </c>
      <c r="D1370">
        <f>LOG10(3.423815)</f>
        <v>0.53451029027796859</v>
      </c>
    </row>
    <row r="1371" spans="1:4">
      <c r="A1371">
        <v>1.134436</v>
      </c>
      <c r="B1371">
        <v>3.5280399999999998</v>
      </c>
      <c r="C1371">
        <f>LOG10(1.134436)</f>
        <v>5.4779999885247489E-2</v>
      </c>
      <c r="D1371">
        <f>LOG10(3.52804)</f>
        <v>0.54753350040558635</v>
      </c>
    </row>
    <row r="1372" spans="1:4">
      <c r="A1372">
        <v>1.1515869999999999</v>
      </c>
      <c r="B1372">
        <v>3.4614660000000002</v>
      </c>
      <c r="C1372">
        <f>LOG10(1.151587)</f>
        <v>6.1296753583491528E-2</v>
      </c>
      <c r="D1372">
        <f>LOG10(3.461466)</f>
        <v>0.53926007014219624</v>
      </c>
    </row>
    <row r="1373" spans="1:4">
      <c r="A1373">
        <v>1.188645</v>
      </c>
      <c r="B1373">
        <v>3.5508860000000002</v>
      </c>
      <c r="C1373">
        <f>LOG10(1.188645)</f>
        <v>7.5052167855342702E-2</v>
      </c>
      <c r="D1373">
        <f>LOG10(3.550886)</f>
        <v>0.55033672964724423</v>
      </c>
    </row>
    <row r="1374" spans="1:4">
      <c r="A1374">
        <v>1.148763</v>
      </c>
      <c r="B1374">
        <v>3.4541300000000001</v>
      </c>
      <c r="C1374">
        <f>LOG10(1.148763)</f>
        <v>6.0230439124369241E-2</v>
      </c>
      <c r="D1374">
        <f>LOG10(3.45413)</f>
        <v>0.53833867869183349</v>
      </c>
    </row>
    <row r="1375" spans="1:4">
      <c r="A1375">
        <v>1.1402319999999999</v>
      </c>
      <c r="B1375">
        <v>3.438501</v>
      </c>
      <c r="C1375">
        <f>LOG10(1.140232)</f>
        <v>5.6993225081029456E-2</v>
      </c>
      <c r="D1375">
        <f>LOG10(3.438501)</f>
        <v>0.53636915498149307</v>
      </c>
    </row>
    <row r="1376" spans="1:4">
      <c r="A1376">
        <v>1.1333690000000001</v>
      </c>
      <c r="B1376">
        <v>3.1943670000000002</v>
      </c>
      <c r="C1376">
        <f>LOG10(1.133369)</f>
        <v>5.4371329610347886E-2</v>
      </c>
      <c r="D1376">
        <f>LOG10(3.194367)</f>
        <v>0.50438481064986407</v>
      </c>
    </row>
    <row r="1377" spans="1:4">
      <c r="A1377">
        <v>1.1467560000000001</v>
      </c>
      <c r="B1377">
        <v>3.4380510000000002</v>
      </c>
      <c r="C1377">
        <f>LOG10(1.146756)</f>
        <v>5.9471021104063396E-2</v>
      </c>
      <c r="D1377">
        <f>LOG10(3.438051)</f>
        <v>0.53631231471703045</v>
      </c>
    </row>
    <row r="1378" spans="1:4">
      <c r="A1378">
        <v>1.175605</v>
      </c>
      <c r="B1378">
        <v>3.5303369999999998</v>
      </c>
      <c r="C1378">
        <f>LOG10(1.175605)</f>
        <v>7.0261424515062648E-2</v>
      </c>
      <c r="D1378">
        <f>LOG10(3.530337)</f>
        <v>0.54781616438348024</v>
      </c>
    </row>
    <row r="1379" spans="1:4">
      <c r="A1379">
        <v>1.177807</v>
      </c>
      <c r="B1379">
        <v>3.46522</v>
      </c>
      <c r="C1379">
        <f>LOG10(1.177807)</f>
        <v>7.1074131111463906E-2</v>
      </c>
      <c r="D1379">
        <f>LOG10(3.46522)</f>
        <v>0.53973081232530873</v>
      </c>
    </row>
    <row r="1380" spans="1:4">
      <c r="A1380">
        <v>1.154444</v>
      </c>
      <c r="B1380">
        <v>3.297291</v>
      </c>
      <c r="C1380">
        <f>LOG10(1.154444)</f>
        <v>6.2372870920714724E-2</v>
      </c>
      <c r="D1380">
        <f>LOG10(3.297291)</f>
        <v>0.5181572771756966</v>
      </c>
    </row>
    <row r="1381" spans="1:4">
      <c r="A1381">
        <v>1.141243</v>
      </c>
      <c r="B1381">
        <v>3.334654</v>
      </c>
      <c r="C1381">
        <f>LOG10(1.141243)</f>
        <v>5.7378126734516012E-2</v>
      </c>
      <c r="D1381">
        <f>LOG10(3.334654)</f>
        <v>0.52305077867650185</v>
      </c>
    </row>
    <row r="1382" spans="1:4">
      <c r="A1382">
        <v>1.1491180000000001</v>
      </c>
      <c r="B1382">
        <v>3.2563819999999999</v>
      </c>
      <c r="C1382">
        <f>LOG10(1.149118)</f>
        <v>6.0364627572162904E-2</v>
      </c>
      <c r="D1382">
        <f>LOG10(3.256382)</f>
        <v>0.51273534546807586</v>
      </c>
    </row>
    <row r="1383" spans="1:4">
      <c r="A1383">
        <v>1.162336</v>
      </c>
      <c r="B1383">
        <v>3.2306970000000002</v>
      </c>
      <c r="C1383">
        <f>LOG10(1.162336)</f>
        <v>6.5331689029090062E-2</v>
      </c>
      <c r="D1383">
        <f>LOG10(3.230697)</f>
        <v>0.50929622839874888</v>
      </c>
    </row>
    <row r="1384" spans="1:4">
      <c r="A1384">
        <v>1.1471180000000001</v>
      </c>
      <c r="B1384">
        <v>3.4188100000000001</v>
      </c>
      <c r="C1384">
        <f>LOG10(1.147118)</f>
        <v>5.9608094547290082E-2</v>
      </c>
      <c r="D1384">
        <f>LOG10(3.41881)</f>
        <v>0.53387496559787373</v>
      </c>
    </row>
    <row r="1385" spans="1:4">
      <c r="A1385">
        <v>1.184663</v>
      </c>
      <c r="B1385">
        <v>3.4222779999999999</v>
      </c>
      <c r="C1385">
        <f>LOG10(1.184663)</f>
        <v>7.3594824560905048E-2</v>
      </c>
      <c r="D1385">
        <f>LOG10(3.422278)</f>
        <v>0.5343152854394716</v>
      </c>
    </row>
    <row r="1386" spans="1:4">
      <c r="A1386">
        <v>1.1872210000000001</v>
      </c>
      <c r="B1386">
        <v>3.2674880000000002</v>
      </c>
      <c r="C1386">
        <f>LOG10(1.187221)</f>
        <v>7.4531569962798E-2</v>
      </c>
      <c r="D1386">
        <f>LOG10(3.267488)</f>
        <v>0.51421400128904626</v>
      </c>
    </row>
    <row r="1387" spans="1:4">
      <c r="A1387">
        <v>1.1397969999999999</v>
      </c>
      <c r="B1387">
        <v>3.138388</v>
      </c>
      <c r="C1387">
        <f>LOG10(1.139797)</f>
        <v>5.6827509555551416E-2</v>
      </c>
      <c r="D1387">
        <f>LOG10(3.138388)</f>
        <v>0.49670663454801967</v>
      </c>
    </row>
    <row r="1388" spans="1:4">
      <c r="A1388">
        <v>1.083183</v>
      </c>
      <c r="B1388">
        <v>3.094042</v>
      </c>
      <c r="C1388">
        <f>LOG10(1.083183)</f>
        <v>3.4701835366061445E-2</v>
      </c>
      <c r="D1388">
        <f>LOG10(3.094042)</f>
        <v>0.49052620472354186</v>
      </c>
    </row>
    <row r="1389" spans="1:4">
      <c r="A1389">
        <v>1.088824</v>
      </c>
      <c r="B1389">
        <v>3.3441589999999999</v>
      </c>
      <c r="C1389">
        <f>LOG10(1.088824)</f>
        <v>3.6957685076148536E-2</v>
      </c>
      <c r="D1389">
        <f>LOG10(3.344159)</f>
        <v>0.52428691804359906</v>
      </c>
    </row>
    <row r="1390" spans="1:4">
      <c r="A1390">
        <v>1.0816680000000001</v>
      </c>
      <c r="B1390">
        <v>3.3349839999999999</v>
      </c>
      <c r="C1390">
        <f>LOG10(1.081668)</f>
        <v>3.4093981756280922E-2</v>
      </c>
      <c r="D1390">
        <f>LOG10(3.334984)</f>
        <v>0.5230937546758424</v>
      </c>
    </row>
    <row r="1391" spans="1:4">
      <c r="A1391">
        <v>1.0981339999999999</v>
      </c>
      <c r="B1391">
        <v>3.250877</v>
      </c>
      <c r="C1391">
        <f>LOG10(1.098134)</f>
        <v>4.0655338210407142E-2</v>
      </c>
      <c r="D1391">
        <f>LOG10(3.250877)</f>
        <v>0.51200053786529742</v>
      </c>
    </row>
    <row r="1392" spans="1:4">
      <c r="A1392">
        <v>1.0921190000000001</v>
      </c>
      <c r="B1392">
        <v>3.2676090000000002</v>
      </c>
      <c r="C1392">
        <f>LOG10(1.092119)</f>
        <v>3.826996275296457E-2</v>
      </c>
      <c r="D1392">
        <f>LOG10(3.267609)</f>
        <v>0.51423008356978872</v>
      </c>
    </row>
    <row r="1393" spans="1:4">
      <c r="A1393">
        <v>1.099221</v>
      </c>
      <c r="B1393">
        <v>3.118652</v>
      </c>
      <c r="C1393">
        <f>LOG10(1.099221)</f>
        <v>4.1085016746953938E-2</v>
      </c>
      <c r="D1393">
        <f>LOG10(3.118652)</f>
        <v>0.49396691598456105</v>
      </c>
    </row>
    <row r="1394" spans="1:4">
      <c r="A1394">
        <v>1.095116</v>
      </c>
      <c r="B1394">
        <v>2.9684409999999999</v>
      </c>
      <c r="C1394">
        <f>LOG10(1.095116)</f>
        <v>3.9460124191349012E-2</v>
      </c>
      <c r="D1394">
        <f>LOG10(2.968441)</f>
        <v>0.47252842141802409</v>
      </c>
    </row>
    <row r="1395" spans="1:4">
      <c r="A1395">
        <v>1.0838099999999999</v>
      </c>
      <c r="B1395">
        <v>3.0895709999999998</v>
      </c>
      <c r="C1395">
        <f>LOG10(1.08381)</f>
        <v>3.4953153803871082E-2</v>
      </c>
      <c r="D1395">
        <f>LOG10(3.089571)</f>
        <v>0.4898981799855901</v>
      </c>
    </row>
    <row r="1396" spans="1:4">
      <c r="A1396">
        <v>1.0856159999999999</v>
      </c>
      <c r="B1396">
        <v>3.1455099999999998</v>
      </c>
      <c r="C1396">
        <f>LOG10(1.085616)</f>
        <v>3.5676235407488037E-2</v>
      </c>
      <c r="D1396">
        <f>LOG10(3.14551)</f>
        <v>0.49769107020387854</v>
      </c>
    </row>
    <row r="1397" spans="1:4">
      <c r="A1397">
        <v>1.103783</v>
      </c>
      <c r="B1397">
        <v>3.3003140000000002</v>
      </c>
      <c r="C1397">
        <f>LOG10(1.103783)</f>
        <v>4.2883700960403413E-2</v>
      </c>
      <c r="D1397">
        <f>LOG10(3.300314)</f>
        <v>0.51855526168997723</v>
      </c>
    </row>
    <row r="1398" spans="1:4">
      <c r="A1398">
        <v>1.085207</v>
      </c>
      <c r="B1398">
        <v>3.3342209999999999</v>
      </c>
      <c r="C1398">
        <f>LOG10(1.085207)</f>
        <v>3.5512586464022687E-2</v>
      </c>
      <c r="D1398">
        <f>LOG10(3.334221)</f>
        <v>0.52299438250445529</v>
      </c>
    </row>
    <row r="1399" spans="1:4">
      <c r="A1399">
        <v>1.1209769999999999</v>
      </c>
      <c r="B1399">
        <v>3.2223440000000001</v>
      </c>
      <c r="C1399">
        <f>LOG10(1.120977)</f>
        <v>4.9596701912049845E-2</v>
      </c>
      <c r="D1399">
        <f>LOG10(3.222344)</f>
        <v>0.50817190148576519</v>
      </c>
    </row>
    <row r="1400" spans="1:4">
      <c r="A1400">
        <v>1.1358269999999999</v>
      </c>
      <c r="B1400">
        <v>3.1433789999999999</v>
      </c>
      <c r="C1400">
        <f>LOG10(1.135827)</f>
        <v>5.5312188182305794E-2</v>
      </c>
      <c r="D1400">
        <f>LOG10(3.143379)</f>
        <v>0.49739674744627949</v>
      </c>
    </row>
    <row r="1401" spans="1:4">
      <c r="A1401">
        <v>1.1497360000000001</v>
      </c>
      <c r="B1401">
        <v>3.207757</v>
      </c>
      <c r="C1401">
        <f>LOG10(1.149736)</f>
        <v>6.0598130001009422E-2</v>
      </c>
      <c r="D1401">
        <f>LOG10(3.207757)</f>
        <v>0.50620146137138733</v>
      </c>
    </row>
    <row r="1402" spans="1:4">
      <c r="A1402">
        <v>1.1357930000000001</v>
      </c>
      <c r="B1402">
        <v>3.080301</v>
      </c>
      <c r="C1402">
        <f>LOG10(1.135793)</f>
        <v>5.5299187757599413E-2</v>
      </c>
      <c r="D1402">
        <f>LOG10(3.080301)</f>
        <v>0.48859315684196553</v>
      </c>
    </row>
    <row r="1403" spans="1:4">
      <c r="A1403">
        <v>1.1583870000000001</v>
      </c>
      <c r="B1403">
        <v>3.3224580000000001</v>
      </c>
      <c r="C1403">
        <f>LOG10(1.158387)</f>
        <v>6.3853675009887326E-2</v>
      </c>
      <c r="D1403">
        <f>LOG10(3.322458)</f>
        <v>0.52145949962725124</v>
      </c>
    </row>
    <row r="1404" spans="1:4">
      <c r="A1404">
        <v>1.15872</v>
      </c>
      <c r="B1404">
        <v>2.9036940000000002</v>
      </c>
      <c r="C1404">
        <f>LOG10(1.15872)</f>
        <v>6.3978503136917622E-2</v>
      </c>
      <c r="D1404">
        <f>LOG10(2.903694)</f>
        <v>0.46295084718177276</v>
      </c>
    </row>
    <row r="1405" spans="1:4">
      <c r="A1405">
        <v>1.1455770000000001</v>
      </c>
      <c r="B1405">
        <v>3.1692610000000001</v>
      </c>
      <c r="C1405">
        <f>LOG10(1.145577)</f>
        <v>5.9024285626004099E-2</v>
      </c>
      <c r="D1405">
        <f>LOG10(3.169261)</f>
        <v>0.50095800636992305</v>
      </c>
    </row>
    <row r="1406" spans="1:4">
      <c r="A1406">
        <v>1.1475409999999999</v>
      </c>
      <c r="B1406">
        <v>3.2044839999999999</v>
      </c>
      <c r="C1406">
        <f>LOG10(1.147541)</f>
        <v>5.9768211207696605E-2</v>
      </c>
      <c r="D1406">
        <f>LOG10(3.204484)</f>
        <v>0.50575810749160754</v>
      </c>
    </row>
    <row r="1407" spans="1:4">
      <c r="A1407">
        <v>1.15401</v>
      </c>
      <c r="B1407">
        <v>3.1139809999999999</v>
      </c>
      <c r="C1407">
        <f>LOG10(1.15401)</f>
        <v>6.2209572187132217E-2</v>
      </c>
      <c r="D1407">
        <f>LOG10(3.113981)</f>
        <v>0.49331595838613818</v>
      </c>
    </row>
    <row r="1408" spans="1:4">
      <c r="A1408">
        <v>1.155397</v>
      </c>
      <c r="B1408">
        <v>3.3397320000000001</v>
      </c>
      <c r="C1408">
        <f>LOG10(1.155397)</f>
        <v>6.2731235556841708E-2</v>
      </c>
      <c r="D1408">
        <f>LOG10(3.339732)</f>
        <v>0.52371161783223041</v>
      </c>
    </row>
    <row r="1409" spans="1:4">
      <c r="A1409">
        <v>1.1637580000000001</v>
      </c>
      <c r="B1409">
        <v>3.1922790000000001</v>
      </c>
      <c r="C1409">
        <f>LOG10(1.163758)</f>
        <v>6.586267946214952E-2</v>
      </c>
      <c r="D1409">
        <f>LOG10(3.192279)</f>
        <v>0.50410084096984054</v>
      </c>
    </row>
    <row r="1410" spans="1:4">
      <c r="A1410">
        <v>1.1342350000000001</v>
      </c>
      <c r="B1410">
        <v>3.25142</v>
      </c>
      <c r="C1410">
        <f>LOG10(1.134235)</f>
        <v>5.4703044530248095E-2</v>
      </c>
      <c r="D1410">
        <f>LOG10(3.25142)</f>
        <v>0.51207307281847525</v>
      </c>
    </row>
    <row r="1411" spans="1:4">
      <c r="A1411">
        <v>1.1273500000000001</v>
      </c>
      <c r="B1411">
        <v>3.147526</v>
      </c>
      <c r="C1411">
        <f>LOG10(1.12735)</f>
        <v>5.2058769169967059E-2</v>
      </c>
      <c r="D1411">
        <f>LOG10(3.147526)</f>
        <v>0.49796932626517176</v>
      </c>
    </row>
    <row r="1412" spans="1:4">
      <c r="A1412">
        <v>1.1239859999999999</v>
      </c>
      <c r="B1412">
        <v>3.0908259999999999</v>
      </c>
      <c r="C1412">
        <f>LOG10(1.123986)</f>
        <v>5.0760901837479541E-2</v>
      </c>
      <c r="D1412">
        <f>LOG10(3.090826)</f>
        <v>0.49007455686956047</v>
      </c>
    </row>
    <row r="1413" spans="1:4">
      <c r="A1413">
        <v>1.1767049999999999</v>
      </c>
      <c r="B1413">
        <v>3.1038920000000001</v>
      </c>
      <c r="C1413">
        <f>LOG10(1.176705)</f>
        <v>7.0667598841503809E-2</v>
      </c>
      <c r="D1413">
        <f>LOG10(3.103892)</f>
        <v>0.49190660156165161</v>
      </c>
    </row>
    <row r="1414" spans="1:4">
      <c r="A1414">
        <v>1.1359410000000001</v>
      </c>
      <c r="B1414">
        <v>3.2199599999999999</v>
      </c>
      <c r="C1414">
        <f>LOG10(1.135941)</f>
        <v>5.5355775001891774E-2</v>
      </c>
      <c r="D1414">
        <f>LOG10(3.21996)</f>
        <v>0.50785047669981342</v>
      </c>
    </row>
    <row r="1415" spans="1:4">
      <c r="A1415">
        <v>1.1487700000000001</v>
      </c>
      <c r="B1415">
        <v>3.2230859999999999</v>
      </c>
      <c r="C1415">
        <f>LOG10(1.14877)</f>
        <v>6.0233085494517898E-2</v>
      </c>
      <c r="D1415">
        <f>LOG10(3.223086)</f>
        <v>0.50827189373050152</v>
      </c>
    </row>
    <row r="1416" spans="1:4">
      <c r="A1416">
        <v>1.175994</v>
      </c>
      <c r="B1416">
        <v>3.226496</v>
      </c>
      <c r="C1416">
        <f>LOG10(1.175994)</f>
        <v>7.0405105946294164E-2</v>
      </c>
      <c r="D1416">
        <f>LOG10(3.226496)</f>
        <v>0.5087311310334105</v>
      </c>
    </row>
    <row r="1417" spans="1:4">
      <c r="A1417">
        <v>1.167638</v>
      </c>
      <c r="B1417">
        <v>3.1682830000000002</v>
      </c>
      <c r="C1417">
        <f>LOG10(1.167638)</f>
        <v>6.7308220370247668E-2</v>
      </c>
      <c r="D1417">
        <f>LOG10(3.168283)</f>
        <v>0.50082396706173904</v>
      </c>
    </row>
    <row r="1418" spans="1:4">
      <c r="A1418">
        <v>1.177616</v>
      </c>
      <c r="B1418">
        <v>3.1094879999999998</v>
      </c>
      <c r="C1418">
        <f>LOG10(1.177616)</f>
        <v>7.1003697693580697E-2</v>
      </c>
      <c r="D1418">
        <f>LOG10(3.109488)</f>
        <v>0.4926888851425188</v>
      </c>
    </row>
    <row r="1419" spans="1:4">
      <c r="A1419">
        <v>1.13022</v>
      </c>
      <c r="B1419">
        <v>3.178185</v>
      </c>
      <c r="C1419">
        <f>LOG10(1.13022)</f>
        <v>5.3162988161654989E-2</v>
      </c>
      <c r="D1419">
        <f>LOG10(3.178185)</f>
        <v>0.50217917359530906</v>
      </c>
    </row>
    <row r="1420" spans="1:4">
      <c r="A1420">
        <v>1.1724140000000001</v>
      </c>
      <c r="B1420">
        <v>3.1624880000000002</v>
      </c>
      <c r="C1420">
        <f>LOG10(1.172414)</f>
        <v>6.9080995783494983E-2</v>
      </c>
      <c r="D1420">
        <f>LOG10(3.162488)</f>
        <v>0.50002888626492725</v>
      </c>
    </row>
    <row r="1421" spans="1:4">
      <c r="A1421">
        <v>1.1602140000000001</v>
      </c>
      <c r="B1421">
        <v>3.248075</v>
      </c>
      <c r="C1421">
        <f>LOG10(1.160214)</f>
        <v>6.4538101681537632E-2</v>
      </c>
      <c r="D1421">
        <f>LOG10(3.248075)</f>
        <v>0.5116260488050014</v>
      </c>
    </row>
    <row r="1422" spans="1:4">
      <c r="A1422">
        <v>1.1413720000000001</v>
      </c>
      <c r="B1422">
        <v>3.1224980000000002</v>
      </c>
      <c r="C1422">
        <f>LOG10(1.141372)</f>
        <v>5.7427214283861987E-2</v>
      </c>
      <c r="D1422">
        <f>LOG10(3.122498)</f>
        <v>0.49450216887507886</v>
      </c>
    </row>
    <row r="1423" spans="1:4">
      <c r="A1423">
        <v>1.1481809999999999</v>
      </c>
      <c r="B1423">
        <v>3.0753879999999998</v>
      </c>
      <c r="C1423">
        <f>LOG10(1.148181)</f>
        <v>6.001035592349286E-2</v>
      </c>
      <c r="D1423">
        <f>LOG10(3.075388)</f>
        <v>0.48789991543790989</v>
      </c>
    </row>
    <row r="1424" spans="1:4">
      <c r="A1424">
        <v>1.128174</v>
      </c>
      <c r="B1424">
        <v>3.2469229999999998</v>
      </c>
      <c r="C1424">
        <f>LOG10(1.128174)</f>
        <v>5.2376086714811178E-2</v>
      </c>
      <c r="D1424">
        <f>LOG10(3.246923)</f>
        <v>0.5114719895586709</v>
      </c>
    </row>
    <row r="1425" spans="1:4">
      <c r="A1425">
        <v>1.190512</v>
      </c>
      <c r="B1425">
        <v>3.2772480000000002</v>
      </c>
      <c r="C1425">
        <f>LOG10(1.190512)</f>
        <v>7.573377731966173E-2</v>
      </c>
      <c r="D1425">
        <f>LOG10(3.277248)</f>
        <v>0.51550930709986575</v>
      </c>
    </row>
    <row r="1426" spans="1:4">
      <c r="A1426">
        <v>1.206232</v>
      </c>
      <c r="B1426">
        <v>3.222127</v>
      </c>
      <c r="C1426">
        <f>LOG10(1.206232)</f>
        <v>8.1430845639723942E-2</v>
      </c>
      <c r="D1426">
        <f>LOG10(3.222127)</f>
        <v>0.50814265411926796</v>
      </c>
    </row>
    <row r="1427" spans="1:4">
      <c r="A1427">
        <v>1.17824</v>
      </c>
      <c r="B1427">
        <v>2.9782109999999999</v>
      </c>
      <c r="C1427">
        <f>LOG10(1.17824)</f>
        <v>7.123376248790185E-2</v>
      </c>
      <c r="D1427">
        <f>LOG10(2.978211)</f>
        <v>0.4739554633589011</v>
      </c>
    </row>
    <row r="1428" spans="1:4">
      <c r="A1428">
        <v>1.1466510000000001</v>
      </c>
      <c r="B1428">
        <v>3.185076</v>
      </c>
      <c r="C1428">
        <f>LOG10(1.146651)</f>
        <v>5.9431254136724662E-2</v>
      </c>
      <c r="D1428">
        <f>LOG10(3.185076)</f>
        <v>0.5031197996185699</v>
      </c>
    </row>
    <row r="1429" spans="1:4">
      <c r="A1429">
        <v>1.1550750000000001</v>
      </c>
      <c r="B1429">
        <v>3.1829499999999999</v>
      </c>
      <c r="C1429">
        <f>LOG10(1.155075)</f>
        <v>6.2610184252971157E-2</v>
      </c>
      <c r="D1429">
        <f>LOG10(3.18295)</f>
        <v>0.50282981647376801</v>
      </c>
    </row>
    <row r="1430" spans="1:4">
      <c r="A1430">
        <v>1.160371</v>
      </c>
      <c r="B1430">
        <v>3.0858279999999998</v>
      </c>
      <c r="C1430">
        <f>LOG10(1.160371)</f>
        <v>6.4596866375580583E-2</v>
      </c>
      <c r="D1430">
        <f>LOG10(3.085828)</f>
        <v>0.4893717153976897</v>
      </c>
    </row>
    <row r="1431" spans="1:4">
      <c r="A1431">
        <v>1.1816169999999999</v>
      </c>
      <c r="B1431">
        <v>3.1356030000000001</v>
      </c>
      <c r="C1431">
        <f>LOG10(1.181617)</f>
        <v>7.2476730571565867E-2</v>
      </c>
      <c r="D1431">
        <f>LOG10(3.135603)</f>
        <v>0.49632107128803327</v>
      </c>
    </row>
    <row r="1432" spans="1:4">
      <c r="A1432">
        <v>1.121721</v>
      </c>
      <c r="B1432">
        <v>3.101429</v>
      </c>
      <c r="C1432">
        <f>LOG10(1.121721)</f>
        <v>4.9884850478097868E-2</v>
      </c>
      <c r="D1432">
        <f>LOG10(3.101429)</f>
        <v>0.49156184345321507</v>
      </c>
    </row>
    <row r="1433" spans="1:4">
      <c r="A1433">
        <v>1.11456</v>
      </c>
      <c r="B1433">
        <v>3.2858369999999999</v>
      </c>
      <c r="C1433">
        <f>LOG10(1.11456)</f>
        <v>4.7103452778142249E-2</v>
      </c>
      <c r="D1433">
        <f>LOG10(3.285837)</f>
        <v>0.51664601565523416</v>
      </c>
    </row>
    <row r="1434" spans="1:4">
      <c r="A1434">
        <v>1.191754</v>
      </c>
      <c r="B1434">
        <v>2.9998089999999999</v>
      </c>
      <c r="C1434">
        <f>LOG10(1.191754)</f>
        <v>7.6186618266385883E-2</v>
      </c>
      <c r="D1434">
        <f>LOG10(2.999809)</f>
        <v>0.47709360375741627</v>
      </c>
    </row>
    <row r="1435" spans="1:4">
      <c r="A1435">
        <v>1.20339</v>
      </c>
      <c r="B1435">
        <v>3.0610879999999998</v>
      </c>
      <c r="C1435">
        <f>LOG10(1.20339)</f>
        <v>8.0406398245163657E-2</v>
      </c>
      <c r="D1435">
        <f>LOG10(3.061088)</f>
        <v>0.48587581485217257</v>
      </c>
    </row>
    <row r="1436" spans="1:4">
      <c r="A1436">
        <v>1.200637</v>
      </c>
      <c r="B1436">
        <v>3.1744829999999999</v>
      </c>
      <c r="C1436">
        <f>LOG10(1.200637)</f>
        <v>7.9411722868122966E-2</v>
      </c>
      <c r="D1436">
        <f>LOG10(3.174483)</f>
        <v>0.501673005681607</v>
      </c>
    </row>
    <row r="1437" spans="1:4">
      <c r="A1437">
        <v>1.177762</v>
      </c>
      <c r="B1437">
        <v>3.1815389999999999</v>
      </c>
      <c r="C1437">
        <f>LOG10(1.177762)</f>
        <v>7.1057537879265609E-2</v>
      </c>
      <c r="D1437">
        <f>LOG10(3.181539)</f>
        <v>0.50263725128149406</v>
      </c>
    </row>
    <row r="1438" spans="1:4">
      <c r="A1438">
        <v>1.104112</v>
      </c>
      <c r="B1438">
        <v>3.4214950000000002</v>
      </c>
      <c r="C1438">
        <f>LOG10(1.104112)</f>
        <v>4.3013130018944433E-2</v>
      </c>
      <c r="D1438">
        <f>LOG10(3.421495)</f>
        <v>0.53421590967677057</v>
      </c>
    </row>
    <row r="1439" spans="1:4">
      <c r="A1439">
        <v>1.1413530000000001</v>
      </c>
      <c r="B1439">
        <v>3.1373199999999999</v>
      </c>
      <c r="C1439">
        <f>LOG10(1.141353)</f>
        <v>5.7419984683137984E-2</v>
      </c>
      <c r="D1439">
        <f>LOG10(3.13732)</f>
        <v>0.49655881807499375</v>
      </c>
    </row>
    <row r="1440" spans="1:4">
      <c r="A1440">
        <v>1.1765509999999999</v>
      </c>
      <c r="B1440">
        <v>3.1661760000000001</v>
      </c>
      <c r="C1440">
        <f>LOG10(1.176551)</f>
        <v>7.061075729913989E-2</v>
      </c>
      <c r="D1440">
        <f>LOG10(3.166176)</f>
        <v>0.50053505256813591</v>
      </c>
    </row>
    <row r="1441" spans="1:4">
      <c r="A1441">
        <v>1.1712880000000001</v>
      </c>
      <c r="B1441">
        <v>3.1110319999999998</v>
      </c>
      <c r="C1441">
        <f>LOG10(1.171288)</f>
        <v>6.8663693904461059E-2</v>
      </c>
      <c r="D1441">
        <f>LOG10(3.111032)</f>
        <v>0.49290447827422779</v>
      </c>
    </row>
    <row r="1442" spans="1:4">
      <c r="A1442">
        <v>1.211606</v>
      </c>
      <c r="B1442">
        <v>3.028146</v>
      </c>
      <c r="C1442">
        <f>LOG10(1.211606)</f>
        <v>8.3361415337971798E-2</v>
      </c>
      <c r="D1442">
        <f>LOG10(3.028146)</f>
        <v>0.48117681054592509</v>
      </c>
    </row>
    <row r="1443" spans="1:4">
      <c r="A1443">
        <v>1.2258359999999999</v>
      </c>
      <c r="B1443">
        <v>3.2521059999999999</v>
      </c>
      <c r="C1443">
        <f>LOG10(1.225836)</f>
        <v>8.8432371439137403E-2</v>
      </c>
      <c r="D1443">
        <f>LOG10(3.252106)</f>
        <v>0.51216469266152365</v>
      </c>
    </row>
    <row r="1444" spans="1:4">
      <c r="A1444">
        <v>1.1032310000000001</v>
      </c>
      <c r="B1444">
        <v>3.0833159999999999</v>
      </c>
      <c r="C1444">
        <f>LOG10(1.103231)</f>
        <v>4.266645670276898E-2</v>
      </c>
      <c r="D1444">
        <f>LOG10(3.083316)</f>
        <v>0.4890180365732581</v>
      </c>
    </row>
    <row r="1445" spans="1:4">
      <c r="A1445">
        <v>1.1929959999999999</v>
      </c>
      <c r="B1445">
        <v>2.9901260000000001</v>
      </c>
      <c r="C1445">
        <f>LOG10(1.192996)</f>
        <v>7.663898752546347E-2</v>
      </c>
      <c r="D1445">
        <f>LOG10(2.990126)</f>
        <v>0.47568948931164229</v>
      </c>
    </row>
    <row r="1446" spans="1:4">
      <c r="A1446">
        <v>1.182086</v>
      </c>
      <c r="B1446">
        <v>3.0767790000000002</v>
      </c>
      <c r="C1446">
        <f>LOG10(1.182086)</f>
        <v>7.2649073809853956E-2</v>
      </c>
      <c r="D1446">
        <f>LOG10(3.076779)</f>
        <v>0.48809630270588283</v>
      </c>
    </row>
    <row r="1447" spans="1:4">
      <c r="A1447">
        <v>1.2034739999999999</v>
      </c>
      <c r="B1447">
        <v>3.1077240000000002</v>
      </c>
      <c r="C1447">
        <f>LOG10(1.203474)</f>
        <v>8.0436712161109619E-2</v>
      </c>
      <c r="D1447">
        <f>LOG10(3.107724)</f>
        <v>0.49244244172491147</v>
      </c>
    </row>
    <row r="1448" spans="1:4">
      <c r="A1448">
        <v>1.2375309999999999</v>
      </c>
      <c r="B1448">
        <v>2.9758610000000001</v>
      </c>
      <c r="C1448">
        <f>LOG10(1.237531)</f>
        <v>9.2556086765454973E-2</v>
      </c>
      <c r="D1448">
        <f>LOG10(2.975861)</f>
        <v>0.47361264181241391</v>
      </c>
    </row>
    <row r="1449" spans="1:4">
      <c r="A1449">
        <v>1.2251380000000001</v>
      </c>
      <c r="B1449">
        <v>3.1356380000000001</v>
      </c>
      <c r="C1449">
        <f>LOG10(1.225138)</f>
        <v>8.8185010547864401E-2</v>
      </c>
      <c r="D1449">
        <f>LOG10(3.135638)</f>
        <v>0.49632591891129213</v>
      </c>
    </row>
    <row r="1450" spans="1:4">
      <c r="A1450">
        <v>1.2196359999999999</v>
      </c>
      <c r="B1450">
        <v>3.04148</v>
      </c>
      <c r="C1450">
        <f>LOG10(1.219636)</f>
        <v>8.6230234954250695E-2</v>
      </c>
      <c r="D1450">
        <f>LOG10(3.04148)</f>
        <v>0.48308496499812142</v>
      </c>
    </row>
    <row r="1451" spans="1:4">
      <c r="A1451">
        <v>1.1363749999999999</v>
      </c>
      <c r="B1451">
        <v>2.9423530000000002</v>
      </c>
      <c r="C1451">
        <f>LOG10(1.136375)</f>
        <v>5.5521670772935794E-2</v>
      </c>
      <c r="D1451">
        <f>LOG10(2.942353)</f>
        <v>0.46869477469862642</v>
      </c>
    </row>
    <row r="1452" spans="1:4">
      <c r="A1452">
        <v>1.0905389999999999</v>
      </c>
      <c r="B1452">
        <v>3.369456</v>
      </c>
      <c r="C1452">
        <f>LOG10(1.090539)</f>
        <v>3.7641201489162265E-2</v>
      </c>
      <c r="D1452">
        <f>LOG10(3.369456)</f>
        <v>0.52755978951556493</v>
      </c>
    </row>
    <row r="1453" spans="1:4">
      <c r="A1453">
        <v>1.1596200000000001</v>
      </c>
      <c r="B1453">
        <v>2.9532590000000001</v>
      </c>
      <c r="C1453">
        <f>LOG10(1.15962)</f>
        <v>6.431569703716368E-2</v>
      </c>
      <c r="D1453">
        <f>LOG10(2.953259)</f>
        <v>0.47030153614162323</v>
      </c>
    </row>
    <row r="1454" spans="1:4">
      <c r="A1454">
        <v>1.165446</v>
      </c>
      <c r="B1454">
        <v>2.9586960000000002</v>
      </c>
      <c r="C1454">
        <f>LOG10(1.165446)</f>
        <v>6.649215563838283E-2</v>
      </c>
      <c r="D1454">
        <f>LOG10(2.958696)</f>
        <v>0.47110034457768496</v>
      </c>
    </row>
    <row r="1455" spans="1:4">
      <c r="A1455">
        <v>1.1600999999999999</v>
      </c>
      <c r="B1455">
        <v>3.0038360000000002</v>
      </c>
      <c r="C1455">
        <f>LOG10(1.1601)</f>
        <v>6.4495426792727864E-2</v>
      </c>
      <c r="D1455">
        <f>LOG10(3.003836)</f>
        <v>0.47767621786631587</v>
      </c>
    </row>
    <row r="1456" spans="1:4">
      <c r="A1456">
        <v>1.188334</v>
      </c>
      <c r="B1456">
        <v>3.128314</v>
      </c>
      <c r="C1456">
        <f>LOG10(1.188334)</f>
        <v>7.4938523111621691E-2</v>
      </c>
      <c r="D1456">
        <f>LOG10(3.128314)</f>
        <v>0.49531033825711812</v>
      </c>
    </row>
    <row r="1457" spans="1:4">
      <c r="A1457">
        <v>1.1816899999999999</v>
      </c>
      <c r="B1457">
        <v>2.9832930000000002</v>
      </c>
      <c r="C1457">
        <f>LOG10(1.18169)</f>
        <v>7.2503560346274795E-2</v>
      </c>
      <c r="D1457">
        <f>LOG10(2.983293)</f>
        <v>0.47469590908926218</v>
      </c>
    </row>
    <row r="1458" spans="1:4">
      <c r="A1458">
        <v>1.161025</v>
      </c>
      <c r="B1458">
        <v>3.1034830000000002</v>
      </c>
      <c r="C1458">
        <f>LOG10(1.161025)</f>
        <v>6.484157137091888E-2</v>
      </c>
      <c r="D1458">
        <f>LOG10(3.103483)</f>
        <v>0.49184937078588714</v>
      </c>
    </row>
    <row r="1459" spans="1:4">
      <c r="A1459">
        <v>1.179281</v>
      </c>
      <c r="B1459">
        <v>3.115583</v>
      </c>
      <c r="C1459">
        <f>LOG10(1.179281)</f>
        <v>7.1617301455355262E-2</v>
      </c>
      <c r="D1459">
        <f>LOG10(3.115583)</f>
        <v>0.49353932547100826</v>
      </c>
    </row>
    <row r="1460" spans="1:4">
      <c r="A1460">
        <v>1.1030599999999999</v>
      </c>
      <c r="B1460">
        <v>3.1038860000000001</v>
      </c>
      <c r="C1460">
        <f>LOG10(1.10306)</f>
        <v>4.2599136157515233E-2</v>
      </c>
      <c r="D1460">
        <f>LOG10(3.103886)</f>
        <v>0.49190576204487396</v>
      </c>
    </row>
    <row r="1461" spans="1:4">
      <c r="A1461">
        <v>1.10887</v>
      </c>
      <c r="B1461">
        <v>3.2900330000000002</v>
      </c>
      <c r="C1461">
        <f>LOG10(1.10887)</f>
        <v>4.4880633983242248E-2</v>
      </c>
      <c r="D1461">
        <f>LOG10(3.290033)</f>
        <v>0.51720025407338677</v>
      </c>
    </row>
    <row r="1462" spans="1:4">
      <c r="A1462">
        <v>1.1278680000000001</v>
      </c>
      <c r="B1462">
        <v>3.2056249999999999</v>
      </c>
      <c r="C1462">
        <f>LOG10(1.127868)</f>
        <v>5.2258274978790917E-2</v>
      </c>
      <c r="D1462">
        <f>LOG10(3.205625)</f>
        <v>0.50591271640982871</v>
      </c>
    </row>
    <row r="1463" spans="1:4">
      <c r="A1463">
        <v>1.203533</v>
      </c>
      <c r="B1463">
        <v>3.1597659999999999</v>
      </c>
      <c r="C1463">
        <f>LOG10(1.203533)</f>
        <v>8.0458002813307505E-2</v>
      </c>
      <c r="D1463">
        <f>LOG10(3.159766)</f>
        <v>0.49965492164636405</v>
      </c>
    </row>
    <row r="1464" spans="1:4">
      <c r="A1464">
        <v>1.1868909999999999</v>
      </c>
      <c r="B1464">
        <v>2.8930289999999999</v>
      </c>
      <c r="C1464">
        <f>LOG10(1.186891)</f>
        <v>7.4410836669717345E-2</v>
      </c>
      <c r="D1464">
        <f>LOG10(2.893029)</f>
        <v>0.46135278707931732</v>
      </c>
    </row>
    <row r="1465" spans="1:4">
      <c r="A1465">
        <v>1.1603079999999999</v>
      </c>
      <c r="B1465">
        <v>2.83588</v>
      </c>
      <c r="C1465">
        <f>LOG10(1.160308)</f>
        <v>6.4573286593657547E-2</v>
      </c>
      <c r="D1465">
        <f>LOG10(2.83588)</f>
        <v>0.45268784976898357</v>
      </c>
    </row>
    <row r="1466" spans="1:4">
      <c r="A1466">
        <v>1.230872</v>
      </c>
      <c r="B1466">
        <v>3.0391439999999998</v>
      </c>
      <c r="C1466">
        <f>LOG10(1.230872)</f>
        <v>9.0212892424406346E-2</v>
      </c>
      <c r="D1466">
        <f>LOG10(3.039144)</f>
        <v>0.48275127820556996</v>
      </c>
    </row>
    <row r="1467" spans="1:4">
      <c r="A1467">
        <v>1.179052</v>
      </c>
      <c r="B1467">
        <v>3.1214919999999999</v>
      </c>
      <c r="C1467">
        <f>LOG10(1.179052)</f>
        <v>7.1532959306330135E-2</v>
      </c>
      <c r="D1467">
        <f>LOG10(3.121492)</f>
        <v>0.49436222622540288</v>
      </c>
    </row>
    <row r="1468" spans="1:4">
      <c r="A1468">
        <v>1.1630180000000001</v>
      </c>
      <c r="B1468">
        <v>3.199255</v>
      </c>
      <c r="C1468">
        <f>LOG10(1.163018)</f>
        <v>6.5586436345112131E-2</v>
      </c>
      <c r="D1468">
        <f>LOG10(3.199255)</f>
        <v>0.50504885736426985</v>
      </c>
    </row>
    <row r="1469" spans="1:4">
      <c r="A1469">
        <v>1.1508620000000001</v>
      </c>
      <c r="B1469">
        <v>3.3229220000000002</v>
      </c>
      <c r="C1469">
        <f>LOG10(1.150862)</f>
        <v>6.1023250448537299E-2</v>
      </c>
      <c r="D1469">
        <f>LOG10(3.322922)</f>
        <v>0.52152014706650396</v>
      </c>
    </row>
    <row r="1470" spans="1:4">
      <c r="A1470">
        <v>1.178695</v>
      </c>
      <c r="B1470">
        <v>2.881443</v>
      </c>
      <c r="C1470">
        <f>LOG10(1.178695)</f>
        <v>7.1401441267096646E-2</v>
      </c>
      <c r="D1470">
        <f>LOG10(2.881443)</f>
        <v>0.459610032895229</v>
      </c>
    </row>
    <row r="1471" spans="1:4">
      <c r="A1471">
        <v>1.1957629999999999</v>
      </c>
      <c r="B1471">
        <v>3.0941130000000001</v>
      </c>
      <c r="C1471">
        <f>LOG10(1.195763)</f>
        <v>7.7645111097482553E-2</v>
      </c>
      <c r="D1471">
        <f>LOG10(3.094113)</f>
        <v>0.49053617050759757</v>
      </c>
    </row>
    <row r="1472" spans="1:4">
      <c r="A1472">
        <v>1.2327459999999999</v>
      </c>
      <c r="B1472">
        <v>2.9655420000000001</v>
      </c>
      <c r="C1472">
        <f>LOG10(1.232746)</f>
        <v>9.0873602011736651E-2</v>
      </c>
      <c r="D1472">
        <f>LOG10(2.965542)</f>
        <v>0.47210407918340619</v>
      </c>
    </row>
    <row r="1473" spans="1:4">
      <c r="A1473">
        <v>1.2173719999999999</v>
      </c>
      <c r="B1473">
        <v>3.001541</v>
      </c>
      <c r="C1473">
        <f>LOG10(1.217372)</f>
        <v>8.5423308600382664E-2</v>
      </c>
      <c r="D1473">
        <f>LOG10(3.001541)</f>
        <v>0.47734428004309876</v>
      </c>
    </row>
    <row r="1474" spans="1:4">
      <c r="A1474">
        <v>1.2051609999999999</v>
      </c>
      <c r="B1474">
        <v>2.9727800000000002</v>
      </c>
      <c r="C1474">
        <f>LOG10(1.205161)</f>
        <v>8.1045069102508735E-2</v>
      </c>
      <c r="D1474">
        <f>LOG10(2.97278)</f>
        <v>0.47316277051630068</v>
      </c>
    </row>
    <row r="1475" spans="1:4">
      <c r="A1475">
        <v>1.219795</v>
      </c>
      <c r="B1475">
        <v>3.0810849999999999</v>
      </c>
      <c r="C1475">
        <f>LOG10(1.219795)</f>
        <v>8.6286848830782081E-2</v>
      </c>
      <c r="D1475">
        <f>LOG10(3.081085)</f>
        <v>0.48870367966123046</v>
      </c>
    </row>
    <row r="1476" spans="1:4">
      <c r="A1476">
        <v>1.256397</v>
      </c>
      <c r="B1476">
        <v>3.2351269999999999</v>
      </c>
      <c r="C1476">
        <f>LOG10(1.256397)</f>
        <v>9.9126890727898861E-2</v>
      </c>
      <c r="D1476">
        <f>LOG10(3.235127)</f>
        <v>0.50989133425250333</v>
      </c>
    </row>
    <row r="1477" spans="1:4">
      <c r="A1477">
        <v>1.235714</v>
      </c>
      <c r="B1477">
        <v>3.1148750000000001</v>
      </c>
      <c r="C1477">
        <f>LOG10(1.235714)</f>
        <v>9.1917967035636663E-2</v>
      </c>
      <c r="D1477">
        <f>LOG10(3.114875)</f>
        <v>0.49344062309808129</v>
      </c>
    </row>
    <row r="1478" spans="1:4">
      <c r="A1478">
        <v>1.1977979999999999</v>
      </c>
      <c r="B1478">
        <v>3.1516479999999998</v>
      </c>
      <c r="C1478">
        <f>LOG10(1.197798)</f>
        <v>7.8383583593999787E-2</v>
      </c>
      <c r="D1478">
        <f>LOG10(3.151648)</f>
        <v>0.49853770621782023</v>
      </c>
    </row>
    <row r="1479" spans="1:4">
      <c r="A1479">
        <v>1.2280949999999999</v>
      </c>
      <c r="B1479">
        <v>2.8723559999999999</v>
      </c>
      <c r="C1479">
        <f>LOG10(1.228095)</f>
        <v>8.9231963205777809E-2</v>
      </c>
      <c r="D1479">
        <f>LOG10(2.872356)</f>
        <v>0.45823826539409518</v>
      </c>
    </row>
    <row r="1480" spans="1:4">
      <c r="A1480">
        <v>1.230315</v>
      </c>
      <c r="B1480">
        <v>3.0800329999999998</v>
      </c>
      <c r="C1480">
        <f>LOG10(1.230315)</f>
        <v>9.0016318957579181E-2</v>
      </c>
      <c r="D1480">
        <f>LOG10(3.080033)</f>
        <v>0.48855536963068003</v>
      </c>
    </row>
    <row r="1481" spans="1:4">
      <c r="A1481">
        <v>1.227506</v>
      </c>
      <c r="B1481">
        <v>3.1549649999999998</v>
      </c>
      <c r="C1481">
        <f>LOG10(1.227506)</f>
        <v>8.9023623614169392E-2</v>
      </c>
      <c r="D1481">
        <f>LOG10(3.154965)</f>
        <v>0.4989945457065621</v>
      </c>
    </row>
    <row r="1482" spans="1:4">
      <c r="A1482">
        <v>1.2171810000000001</v>
      </c>
      <c r="B1482">
        <v>2.893707</v>
      </c>
      <c r="C1482">
        <f>LOG10(1.217181)</f>
        <v>8.5355164471901071E-2</v>
      </c>
      <c r="D1482">
        <f>LOG10(2.893707)</f>
        <v>0.46145455486691911</v>
      </c>
    </row>
    <row r="1483" spans="1:4">
      <c r="A1483">
        <v>1.1721090000000001</v>
      </c>
      <c r="B1483">
        <v>2.9015970000000002</v>
      </c>
      <c r="C1483">
        <f>LOG10(1.172109)</f>
        <v>6.8968000672994717E-2</v>
      </c>
      <c r="D1483">
        <f>LOG10(2.901597)</f>
        <v>0.46263709354972865</v>
      </c>
    </row>
    <row r="1484" spans="1:4">
      <c r="A1484">
        <v>1.193673</v>
      </c>
      <c r="B1484">
        <v>3.1146889999999998</v>
      </c>
      <c r="C1484">
        <f>LOG10(1.193673)</f>
        <v>7.6885370557324445E-2</v>
      </c>
      <c r="D1484">
        <f>LOG10(3.114689)</f>
        <v>0.49341468909253672</v>
      </c>
    </row>
    <row r="1485" spans="1:4">
      <c r="A1485">
        <v>1.1718649999999999</v>
      </c>
      <c r="B1485">
        <v>3.100819</v>
      </c>
      <c r="C1485">
        <f>LOG10(1.171865)</f>
        <v>6.8877583412421672E-2</v>
      </c>
      <c r="D1485">
        <f>LOG10(3.100819)</f>
        <v>0.49147641648066731</v>
      </c>
    </row>
    <row r="1486" spans="1:4">
      <c r="A1486">
        <v>1.2030350000000001</v>
      </c>
      <c r="B1486">
        <v>3.0874679999999999</v>
      </c>
      <c r="C1486">
        <f>LOG10(1.203035)</f>
        <v>8.0278262490096272E-2</v>
      </c>
      <c r="D1486">
        <f>LOG10(3.087468)</f>
        <v>0.48960246505462401</v>
      </c>
    </row>
    <row r="1487" spans="1:4">
      <c r="A1487">
        <v>1.1906840000000001</v>
      </c>
      <c r="B1487">
        <v>2.436655</v>
      </c>
      <c r="C1487">
        <f>LOG10(1.190684)</f>
        <v>7.5796517766913693E-2</v>
      </c>
      <c r="D1487">
        <f>LOG10(2.436655)</f>
        <v>0.38679404284787572</v>
      </c>
    </row>
    <row r="1488" spans="1:4">
      <c r="A1488">
        <v>1.0098290000000001</v>
      </c>
      <c r="B1488">
        <v>3.5376650000000001</v>
      </c>
      <c r="C1488">
        <f>LOG10(1.009829)</f>
        <v>4.2478384917017612E-3</v>
      </c>
      <c r="D1488">
        <f>LOG10(3.537665)</f>
        <v>0.54871670490503255</v>
      </c>
    </row>
    <row r="1489" spans="1:4">
      <c r="A1489">
        <v>1.0202519999999999</v>
      </c>
      <c r="B1489">
        <v>3.2812860000000001</v>
      </c>
      <c r="C1489">
        <f>LOG10(1.020252)</f>
        <v>8.7074547936176975E-3</v>
      </c>
      <c r="D1489">
        <f>LOG10(3.281286)</f>
        <v>0.51604408555478098</v>
      </c>
    </row>
    <row r="1490" spans="1:4">
      <c r="A1490">
        <v>1.013579</v>
      </c>
      <c r="B1490">
        <v>3.3758439999999998</v>
      </c>
      <c r="C1490">
        <f>LOG10(1.013579)</f>
        <v>5.8576039683226585E-3</v>
      </c>
      <c r="D1490">
        <f>LOG10(3.375844)</f>
        <v>0.52838236937999838</v>
      </c>
    </row>
    <row r="1491" spans="1:4">
      <c r="A1491">
        <v>1.0102390000000001</v>
      </c>
      <c r="B1491">
        <v>3.291318</v>
      </c>
      <c r="C1491">
        <f>LOG10(1.010239)</f>
        <v>4.4241303195267289E-3</v>
      </c>
      <c r="D1491">
        <f>LOG10(3.291318)</f>
        <v>0.51736984491160132</v>
      </c>
    </row>
    <row r="1492" spans="1:4">
      <c r="A1492">
        <v>1.012165</v>
      </c>
      <c r="B1492">
        <v>3.5192559999999999</v>
      </c>
      <c r="C1492">
        <f>LOG10(1.012165)</f>
        <v>5.251315614863394E-3</v>
      </c>
      <c r="D1492">
        <f>LOG10(3.519256)</f>
        <v>0.54645085971485285</v>
      </c>
    </row>
    <row r="1493" spans="1:4">
      <c r="A1493">
        <v>1.014006</v>
      </c>
      <c r="B1493">
        <v>3.2968519999999999</v>
      </c>
      <c r="C1493">
        <f>LOG10(1.014006)</f>
        <v>6.0405247795480036E-3</v>
      </c>
      <c r="D1493">
        <f>LOG10(3.296852)</f>
        <v>0.51809945153320225</v>
      </c>
    </row>
    <row r="1494" spans="1:4">
      <c r="A1494">
        <v>1.01597</v>
      </c>
      <c r="B1494">
        <v>3.6920989999999998</v>
      </c>
      <c r="C1494">
        <f>LOG10(1.01597)</f>
        <v>6.8808841026094004E-3</v>
      </c>
      <c r="D1494">
        <f>LOG10(3.692099)</f>
        <v>0.56727333768899546</v>
      </c>
    </row>
    <row r="1495" spans="1:4">
      <c r="A1495">
        <v>1.011647</v>
      </c>
      <c r="B1495">
        <v>3.3306119999999999</v>
      </c>
      <c r="C1495">
        <f>LOG10(1.011647)</f>
        <v>5.0289979820610396E-3</v>
      </c>
      <c r="D1495">
        <f>LOG10(3.330612)</f>
        <v>0.52252404245590967</v>
      </c>
    </row>
    <row r="1496" spans="1:4">
      <c r="A1496">
        <v>1.0180469999999999</v>
      </c>
      <c r="B1496">
        <v>3.2652030000000001</v>
      </c>
      <c r="C1496">
        <f>LOG10(1.018047)</f>
        <v>7.7678284619061583E-3</v>
      </c>
      <c r="D1496">
        <f>LOG10(3.265203)</f>
        <v>0.51391018684822265</v>
      </c>
    </row>
    <row r="1497" spans="1:4">
      <c r="A1497">
        <v>1.0138290000000001</v>
      </c>
      <c r="B1497">
        <v>3.3211550000000001</v>
      </c>
      <c r="C1497">
        <f>LOG10(1.013829)</f>
        <v>5.9647098108823703E-3</v>
      </c>
      <c r="D1497">
        <f>LOG10(3.321155)</f>
        <v>0.52128914481664568</v>
      </c>
    </row>
    <row r="1498" spans="1:4">
      <c r="A1498">
        <v>1.011736</v>
      </c>
      <c r="B1498">
        <v>3.5939369999999999</v>
      </c>
      <c r="C1498">
        <f>LOG10(1.011736)</f>
        <v>5.067203511033379E-3</v>
      </c>
      <c r="D1498">
        <f>LOG10(3.593937)</f>
        <v>0.55557045986472819</v>
      </c>
    </row>
    <row r="1499" spans="1:4">
      <c r="A1499">
        <v>1.022418</v>
      </c>
      <c r="B1499">
        <v>3.4796399999999998</v>
      </c>
      <c r="C1499">
        <f>LOG10(1.022418)</f>
        <v>9.6284867766301269E-3</v>
      </c>
      <c r="D1499">
        <f>LOG10(3.47964)</f>
        <v>0.54153431460724022</v>
      </c>
    </row>
    <row r="1500" spans="1:4">
      <c r="A1500">
        <v>1.016904</v>
      </c>
      <c r="B1500">
        <v>3.4124210000000001</v>
      </c>
      <c r="C1500">
        <f>LOG10(1.016904)</f>
        <v>7.2799556384148941E-3</v>
      </c>
      <c r="D1500">
        <f>LOG10(3.412421)</f>
        <v>0.53306260593563759</v>
      </c>
    </row>
    <row r="1501" spans="1:4">
      <c r="A1501">
        <v>1.011317</v>
      </c>
      <c r="B1501">
        <v>3.4376419999999999</v>
      </c>
      <c r="C1501">
        <f>LOG10(1.011317)</f>
        <v>4.8873076896986537E-3</v>
      </c>
      <c r="D1501">
        <f>LOG10(3.437642)</f>
        <v>0.53626064677801455</v>
      </c>
    </row>
    <row r="1502" spans="1:4">
      <c r="A1502">
        <v>1.009639</v>
      </c>
      <c r="B1502">
        <v>3.5209260000000002</v>
      </c>
      <c r="C1502">
        <f>LOG10(1.009639)</f>
        <v>4.1661180070937864E-3</v>
      </c>
      <c r="D1502">
        <f>LOG10(3.520926)</f>
        <v>0.54665689751284785</v>
      </c>
    </row>
    <row r="1503" spans="1:4">
      <c r="A1503">
        <v>1.0109399999999999</v>
      </c>
      <c r="B1503">
        <v>3.6991869999999998</v>
      </c>
      <c r="C1503">
        <f>LOG10(1.01094)</f>
        <v>4.7253806729304331E-3</v>
      </c>
      <c r="D1503">
        <f>LOG10(3.699187)</f>
        <v>0.56810628617220782</v>
      </c>
    </row>
    <row r="1504" spans="1:4">
      <c r="A1504">
        <v>1.0109399999999999</v>
      </c>
      <c r="B1504">
        <v>4.2097660000000001</v>
      </c>
      <c r="C1504">
        <f>LOG10(1.01094)</f>
        <v>4.7253806729304331E-3</v>
      </c>
      <c r="D1504">
        <f>LOG10(4.209766)</f>
        <v>0.62425795623160063</v>
      </c>
    </row>
    <row r="1505" spans="1:4">
      <c r="A1505">
        <v>1.0093179999999999</v>
      </c>
      <c r="B1505">
        <v>4.3058630000000004</v>
      </c>
      <c r="C1505">
        <f>LOG10(1.009318)</f>
        <v>4.0280184538436254E-3</v>
      </c>
      <c r="D1505">
        <f>LOG10(4.305863)</f>
        <v>0.63406020772375671</v>
      </c>
    </row>
    <row r="1506" spans="1:4">
      <c r="A1506">
        <v>1.013495</v>
      </c>
      <c r="B1506">
        <v>3.5617030000000001</v>
      </c>
      <c r="C1506">
        <f>LOG10(1.013495)</f>
        <v>5.8216104757311269E-3</v>
      </c>
      <c r="D1506">
        <f>LOG10(3.561703)</f>
        <v>0.55165770208993214</v>
      </c>
    </row>
    <row r="1507" spans="1:4">
      <c r="A1507">
        <v>1.007314</v>
      </c>
      <c r="B1507">
        <v>3.8165589999999998</v>
      </c>
      <c r="C1507">
        <f>LOG10(1.007314)</f>
        <v>3.1648699684284297E-3</v>
      </c>
      <c r="D1507">
        <f>LOG10(3.816559)</f>
        <v>0.58167198050678814</v>
      </c>
    </row>
    <row r="1508" spans="1:4">
      <c r="A1508">
        <v>1.0235129999999999</v>
      </c>
      <c r="B1508">
        <v>3.7398229999999999</v>
      </c>
      <c r="C1508">
        <f>LOG10(1.023513)</f>
        <v>1.0093363161113346E-2</v>
      </c>
      <c r="D1508">
        <f>LOG10(3.739823)</f>
        <v>0.57285104820520216</v>
      </c>
    </row>
    <row r="1509" spans="1:4">
      <c r="A1509">
        <v>1.009404</v>
      </c>
      <c r="B1509">
        <v>3.628425</v>
      </c>
      <c r="C1509">
        <f>LOG10(1.009404)</f>
        <v>4.0650213947798089E-3</v>
      </c>
      <c r="D1509">
        <f>LOG10(3.628425)</f>
        <v>0.55971815058890584</v>
      </c>
    </row>
    <row r="1510" spans="1:4">
      <c r="A1510">
        <v>1.011233</v>
      </c>
      <c r="B1510">
        <v>3.7368570000000001</v>
      </c>
      <c r="C1510">
        <f>LOG10(1.011233)</f>
        <v>4.8512336875717972E-3</v>
      </c>
      <c r="D1510">
        <f>LOG10(3.736857)</f>
        <v>0.57250647882390038</v>
      </c>
    </row>
    <row r="1511" spans="1:4">
      <c r="A1511">
        <v>1.008122</v>
      </c>
      <c r="B1511">
        <v>3.6995710000000002</v>
      </c>
      <c r="C1511">
        <f>LOG10(1.008122)</f>
        <v>3.5130923482785954E-3</v>
      </c>
      <c r="D1511">
        <f>LOG10(3.699571)</f>
        <v>0.56815136646303521</v>
      </c>
    </row>
    <row r="1512" spans="1:4">
      <c r="A1512">
        <v>1.0128330000000001</v>
      </c>
      <c r="B1512">
        <v>3.929535</v>
      </c>
      <c r="C1512">
        <f>LOG10(1.012833)</f>
        <v>5.5378430330973978E-3</v>
      </c>
      <c r="D1512">
        <f>LOG10(3.929535)</f>
        <v>0.59434116134685933</v>
      </c>
    </row>
    <row r="1513" spans="1:4">
      <c r="A1513">
        <v>1.0074989999999999</v>
      </c>
      <c r="B1513">
        <v>3.7581190000000002</v>
      </c>
      <c r="C1513">
        <f>LOG10(1.007499)</f>
        <v>3.2446237514125991E-3</v>
      </c>
      <c r="D1513">
        <f>LOG10(3.758119)</f>
        <v>0.57497052782014901</v>
      </c>
    </row>
    <row r="1514" spans="1:4">
      <c r="A1514">
        <v>1.008426</v>
      </c>
      <c r="B1514">
        <v>3.6577199999999999</v>
      </c>
      <c r="C1514">
        <f>LOG10(1.008426)</f>
        <v>3.6440344567717012E-3</v>
      </c>
      <c r="D1514">
        <f>LOG10(3.65772)</f>
        <v>0.56321045698808159</v>
      </c>
    </row>
    <row r="1515" spans="1:4">
      <c r="A1515">
        <v>1.0090950000000001</v>
      </c>
      <c r="B1515">
        <v>3.707382</v>
      </c>
      <c r="C1515">
        <f>LOG10(1.009095)</f>
        <v>3.9320542781685567E-3</v>
      </c>
      <c r="D1515">
        <f>LOG10(3.707382)</f>
        <v>0.56906733702627088</v>
      </c>
    </row>
    <row r="1516" spans="1:4">
      <c r="A1516">
        <v>1.0127489999999999</v>
      </c>
      <c r="B1516">
        <v>3.7985570000000002</v>
      </c>
      <c r="C1516">
        <f>LOG10(1.012749)</f>
        <v>5.5018230284756449E-3</v>
      </c>
      <c r="D1516">
        <f>LOG10(3.798557)</f>
        <v>0.57961864768113203</v>
      </c>
    </row>
    <row r="1517" spans="1:4">
      <c r="A1517">
        <v>1.0145329999999999</v>
      </c>
      <c r="B1517">
        <v>3.7747709999999999</v>
      </c>
      <c r="C1517">
        <f>LOG10(1.014533)</f>
        <v>6.2661780177771451E-3</v>
      </c>
      <c r="D1517">
        <f>LOG10(3.774771)</f>
        <v>0.57689060988493879</v>
      </c>
    </row>
    <row r="1518" spans="1:4">
      <c r="A1518">
        <v>1.0096590000000001</v>
      </c>
      <c r="B1518">
        <v>3.724151</v>
      </c>
      <c r="C1518">
        <f>LOG10(1.009659)</f>
        <v>4.1747208875387784E-3</v>
      </c>
      <c r="D1518">
        <f>LOG10(3.724151)</f>
        <v>0.57102728163725136</v>
      </c>
    </row>
    <row r="1519" spans="1:4">
      <c r="A1519">
        <v>1.0114669999999999</v>
      </c>
      <c r="B1519">
        <v>3.8305310000000001</v>
      </c>
      <c r="C1519">
        <f>LOG10(1.011467)</f>
        <v>4.9517180987238797E-3</v>
      </c>
      <c r="D1519">
        <f>LOG10(3.830531)</f>
        <v>0.58325898137990007</v>
      </c>
    </row>
    <row r="1520" spans="1:4">
      <c r="A1520">
        <v>1.0092190000000001</v>
      </c>
      <c r="B1520">
        <v>3.4236740000000001</v>
      </c>
      <c r="C1520">
        <f>LOG10(1.009219)</f>
        <v>3.9854181410994638E-3</v>
      </c>
      <c r="D1520">
        <f>LOG10(3.423674)</f>
        <v>0.53449240473716464</v>
      </c>
    </row>
    <row r="1521" spans="1:4">
      <c r="A1521">
        <v>1.0070129999999999</v>
      </c>
      <c r="B1521">
        <v>3.6681400000000002</v>
      </c>
      <c r="C1521">
        <f>LOG10(1.007013)</f>
        <v>3.0350770996182492E-3</v>
      </c>
      <c r="D1521">
        <f>LOG10(3.66814)</f>
        <v>0.56444590280691675</v>
      </c>
    </row>
    <row r="1522" spans="1:4">
      <c r="A1522">
        <v>1.005916</v>
      </c>
      <c r="B1522">
        <v>3.7901539999999998</v>
      </c>
      <c r="C1522">
        <f>LOG10(1.005916)</f>
        <v>2.5617160483208555E-3</v>
      </c>
      <c r="D1522">
        <f>LOG10(3.790154)</f>
        <v>0.57865685640381026</v>
      </c>
    </row>
    <row r="1523" spans="1:4">
      <c r="A1523">
        <v>1.018173</v>
      </c>
      <c r="B1523">
        <v>3.7038340000000001</v>
      </c>
      <c r="C1523">
        <f>LOG10(1.018173)</f>
        <v>7.8215761952450738E-3</v>
      </c>
      <c r="D1523">
        <f>LOG10(3.703834)</f>
        <v>0.56865151405214387</v>
      </c>
    </row>
    <row r="1524" spans="1:4">
      <c r="A1524">
        <v>1.011541</v>
      </c>
      <c r="B1524">
        <v>3.5563989999999999</v>
      </c>
      <c r="C1524">
        <f>LOG10(1.011541)</f>
        <v>4.9834903820517073E-3</v>
      </c>
      <c r="D1524">
        <f>LOG10(3.556399)</f>
        <v>0.55101047945717296</v>
      </c>
    </row>
    <row r="1525" spans="1:4">
      <c r="A1525">
        <v>1.0059640000000001</v>
      </c>
      <c r="B1525">
        <v>3.6401469999999998</v>
      </c>
      <c r="C1525">
        <f>LOG10(1.005964)</f>
        <v>2.5824390885969481E-3</v>
      </c>
      <c r="D1525">
        <f>LOG10(3.640147)</f>
        <v>0.56111892211053171</v>
      </c>
    </row>
    <row r="1526" spans="1:4">
      <c r="A1526">
        <v>1.010235</v>
      </c>
      <c r="B1526">
        <v>3.6050990000000001</v>
      </c>
      <c r="C1526">
        <f>LOG10(1.010235)</f>
        <v>4.4224107448846747E-3</v>
      </c>
      <c r="D1526">
        <f>LOG10(3.605099)</f>
        <v>0.55691719542531082</v>
      </c>
    </row>
    <row r="1527" spans="1:4">
      <c r="A1527">
        <v>1.014262</v>
      </c>
      <c r="B1527">
        <v>3.5070939999999999</v>
      </c>
      <c r="C1527">
        <f>LOG10(1.014262)</f>
        <v>6.1501546587923919E-3</v>
      </c>
      <c r="D1527">
        <f>LOG10(3.507094)</f>
        <v>0.5449474063531875</v>
      </c>
    </row>
    <row r="1528" spans="1:4">
      <c r="A1528">
        <v>1.0104139999999999</v>
      </c>
      <c r="B1528">
        <v>3.6058620000000001</v>
      </c>
      <c r="C1528">
        <f>LOG10(1.010414)</f>
        <v>4.4993550459127103E-3</v>
      </c>
      <c r="D1528">
        <f>LOG10(3.605862)</f>
        <v>0.55700910181363517</v>
      </c>
    </row>
    <row r="1529" spans="1:4">
      <c r="A1529">
        <v>1.0134350000000001</v>
      </c>
      <c r="B1529">
        <v>3.5302020000000001</v>
      </c>
      <c r="C1529">
        <f>LOG10(1.013435)</f>
        <v>5.7958990116728868E-3</v>
      </c>
      <c r="D1529">
        <f>LOG10(3.530202)</f>
        <v>0.54779955665563851</v>
      </c>
    </row>
    <row r="1530" spans="1:4">
      <c r="A1530">
        <v>1.0151650000000001</v>
      </c>
      <c r="B1530">
        <v>3.4571909999999999</v>
      </c>
      <c r="C1530">
        <f>LOG10(1.015165)</f>
        <v>6.5366361070431402E-3</v>
      </c>
      <c r="D1530">
        <f>LOG10(3.457191)</f>
        <v>0.53872337374391632</v>
      </c>
    </row>
    <row r="1531" spans="1:4">
      <c r="A1531">
        <v>1.013854</v>
      </c>
      <c r="B1531">
        <v>3.485509</v>
      </c>
      <c r="C1531">
        <f>LOG10(1.013854)</f>
        <v>5.9754189424853933E-3</v>
      </c>
      <c r="D1531">
        <f>LOG10(3.485509)</f>
        <v>0.54226620847412998</v>
      </c>
    </row>
    <row r="1532" spans="1:4">
      <c r="A1532">
        <v>1.0044470000000001</v>
      </c>
      <c r="B1532">
        <v>3.3370150000000001</v>
      </c>
      <c r="C1532">
        <f>LOG10(1.004447)</f>
        <v>1.9270259874075921E-3</v>
      </c>
      <c r="D1532">
        <f>LOG10(3.337015)</f>
        <v>0.52335815882817827</v>
      </c>
    </row>
    <row r="1533" spans="1:4">
      <c r="A1533">
        <v>1.006419</v>
      </c>
      <c r="B1533">
        <v>3.6392220000000002</v>
      </c>
      <c r="C1533">
        <f>LOG10(1.006419)</f>
        <v>2.7788271445814985E-3</v>
      </c>
      <c r="D1533">
        <f>LOG10(3.639222)</f>
        <v>0.56100854924774024</v>
      </c>
    </row>
    <row r="1534" spans="1:4">
      <c r="A1534">
        <v>1.008265</v>
      </c>
      <c r="B1534">
        <v>3.6633550000000001</v>
      </c>
      <c r="C1534">
        <f>LOG10(1.008265)</f>
        <v>3.5746917446407862E-3</v>
      </c>
      <c r="D1534">
        <f>LOG10(3.663355)</f>
        <v>0.56387900631691679</v>
      </c>
    </row>
    <row r="1535" spans="1:4">
      <c r="A1535">
        <v>1.0082949999999999</v>
      </c>
      <c r="B1535">
        <v>3.473862</v>
      </c>
      <c r="C1535">
        <f>LOG10(1.008295)</f>
        <v>3.5876135862503069E-3</v>
      </c>
      <c r="D1535">
        <f>LOG10(3.473862)</f>
        <v>0.54081256200143502</v>
      </c>
    </row>
    <row r="1536" spans="1:4">
      <c r="A1536">
        <v>1.0046079999999999</v>
      </c>
      <c r="B1536">
        <v>3.5253009999999998</v>
      </c>
      <c r="C1536">
        <f>LOG10(1.004608)</f>
        <v>1.9966322567591416E-3</v>
      </c>
      <c r="D1536">
        <f>LOG10(3.525301)</f>
        <v>0.54719620418079706</v>
      </c>
    </row>
    <row r="1537" spans="1:4">
      <c r="A1537">
        <v>1.010661</v>
      </c>
      <c r="B1537">
        <v>3.3125360000000001</v>
      </c>
      <c r="C1537">
        <f>LOG10(1.010661)</f>
        <v>4.6055072050994886E-3</v>
      </c>
      <c r="D1537">
        <f>LOG10(3.312536)</f>
        <v>0.52016060679886922</v>
      </c>
    </row>
    <row r="1538" spans="1:4">
      <c r="A1538">
        <v>1.007682</v>
      </c>
      <c r="B1538">
        <v>3.1317789999999999</v>
      </c>
      <c r="C1538">
        <f>LOG10(1.007682)</f>
        <v>3.3235009246360293E-3</v>
      </c>
      <c r="D1538">
        <f>LOG10(3.131779)</f>
        <v>0.49579110764296352</v>
      </c>
    </row>
    <row r="1539" spans="1:4">
      <c r="A1539">
        <v>1.0074050000000001</v>
      </c>
      <c r="B1539">
        <v>3.2703519999999999</v>
      </c>
      <c r="C1539">
        <f>LOG10(1.007405)</f>
        <v>3.2041020378933021E-3</v>
      </c>
      <c r="D1539">
        <f>LOG10(3.270352)</f>
        <v>0.51459449988666706</v>
      </c>
    </row>
    <row r="1540" spans="1:4">
      <c r="A1540">
        <v>1.0064310000000001</v>
      </c>
      <c r="B1540">
        <v>3.2506879999999998</v>
      </c>
      <c r="C1540">
        <f>LOG10(1.006431)</f>
        <v>2.7840054080218485E-3</v>
      </c>
      <c r="D1540">
        <f>LOG10(3.250688)</f>
        <v>0.51197528805018278</v>
      </c>
    </row>
    <row r="1541" spans="1:4">
      <c r="A1541">
        <v>1.0080720000000001</v>
      </c>
      <c r="B1541">
        <v>3.5901420000000002</v>
      </c>
      <c r="C1541">
        <f>LOG10(1.008072)</f>
        <v>3.4915520360868486E-3</v>
      </c>
      <c r="D1541">
        <f>LOG10(3.590142)</f>
        <v>0.55511162646043855</v>
      </c>
    </row>
    <row r="1542" spans="1:4">
      <c r="A1542">
        <v>1.007069</v>
      </c>
      <c r="B1542">
        <v>3.5219619999999998</v>
      </c>
      <c r="C1542">
        <f>LOG10(1.007069)</f>
        <v>3.0592275473089328E-3</v>
      </c>
      <c r="D1542">
        <f>LOG10(3.521962)</f>
        <v>0.5467846658619957</v>
      </c>
    </row>
    <row r="1543" spans="1:4">
      <c r="A1543">
        <v>1.0084489999999999</v>
      </c>
      <c r="B1543">
        <v>3.3706909999999999</v>
      </c>
      <c r="C1543">
        <f>LOG10(1.008449)</f>
        <v>3.6539396547479344E-3</v>
      </c>
      <c r="D1543">
        <f>LOG10(3.370691)</f>
        <v>0.52771894144241549</v>
      </c>
    </row>
    <row r="1544" spans="1:4">
      <c r="A1544">
        <v>1.008648</v>
      </c>
      <c r="B1544">
        <v>3.3920240000000002</v>
      </c>
      <c r="C1544">
        <f>LOG10(1.008648)</f>
        <v>3.739631718321642E-3</v>
      </c>
      <c r="D1544">
        <f>LOG10(3.392024)</f>
        <v>0.53045891641212073</v>
      </c>
    </row>
    <row r="1545" spans="1:4">
      <c r="A1545">
        <v>1.0084649999999999</v>
      </c>
      <c r="B1545">
        <v>3.4695269999999998</v>
      </c>
      <c r="C1545">
        <f>LOG10(1.008465)</f>
        <v>3.6608300940136687E-3</v>
      </c>
      <c r="D1545">
        <f>LOG10(3.469527)</f>
        <v>0.54027027153674456</v>
      </c>
    </row>
    <row r="1546" spans="1:4">
      <c r="A1546">
        <v>1.0122960000000001</v>
      </c>
      <c r="B1546">
        <v>3.2735180000000001</v>
      </c>
      <c r="C1546">
        <f>LOG10(1.012296)</f>
        <v>5.3075207748627994E-3</v>
      </c>
      <c r="D1546">
        <f>LOG10(3.273518)</f>
        <v>0.51501473330725378</v>
      </c>
    </row>
    <row r="1547" spans="1:4">
      <c r="A1547">
        <v>1.0060359999999999</v>
      </c>
      <c r="B1547">
        <v>3.4881359999999999</v>
      </c>
      <c r="C1547">
        <f>LOG10(1.006036)</f>
        <v>2.6135217950684357E-3</v>
      </c>
      <c r="D1547">
        <f>LOG10(3.488136)</f>
        <v>0.54259340943085377</v>
      </c>
    </row>
    <row r="1548" spans="1:4">
      <c r="A1548">
        <v>1.0108550000000001</v>
      </c>
      <c r="B1548">
        <v>3.1411760000000002</v>
      </c>
      <c r="C1548">
        <f>LOG10(1.010855)</f>
        <v>4.6888635868920581E-3</v>
      </c>
      <c r="D1548">
        <f>LOG10(3.141176)</f>
        <v>0.49709227058743394</v>
      </c>
    </row>
    <row r="1549" spans="1:4">
      <c r="A1549">
        <v>1.01217</v>
      </c>
      <c r="B1549">
        <v>3.3901430000000001</v>
      </c>
      <c r="C1549">
        <f>LOG10(1.01217)</f>
        <v>5.2534609835000424E-3</v>
      </c>
      <c r="D1549">
        <f>LOG10(3.390143)</f>
        <v>0.53021801761343135</v>
      </c>
    </row>
    <row r="1550" spans="1:4">
      <c r="A1550">
        <v>1.005657</v>
      </c>
      <c r="B1550">
        <v>3.3897349999999999</v>
      </c>
      <c r="C1550">
        <f>LOG10(1.005657)</f>
        <v>2.4498809109089721E-3</v>
      </c>
      <c r="D1550">
        <f>LOG10(3.389735)</f>
        <v>0.53016574760242796</v>
      </c>
    </row>
    <row r="1551" spans="1:4">
      <c r="A1551">
        <v>1.011536</v>
      </c>
      <c r="B1551">
        <v>3.2309070000000002</v>
      </c>
      <c r="C1551">
        <f>LOG10(1.011536)</f>
        <v>4.9813436793710534E-3</v>
      </c>
      <c r="D1551">
        <f>LOG10(3.230907)</f>
        <v>0.5093244572537613</v>
      </c>
    </row>
    <row r="1552" spans="1:4">
      <c r="A1552">
        <v>1.007863</v>
      </c>
      <c r="B1552">
        <v>3.5031979999999998</v>
      </c>
      <c r="C1552">
        <f>LOG10(1.007863)</f>
        <v>3.4015019630011262E-3</v>
      </c>
      <c r="D1552">
        <f>LOG10(3.503198)</f>
        <v>0.54446468424241234</v>
      </c>
    </row>
    <row r="1553" spans="1:4">
      <c r="A1553">
        <v>1.0097259999999999</v>
      </c>
      <c r="B1553">
        <v>3.3029120000000001</v>
      </c>
      <c r="C1553">
        <f>LOG10(1.009726)</f>
        <v>4.2035392954185196E-3</v>
      </c>
      <c r="D1553">
        <f>LOG10(3.302912)</f>
        <v>0.5188970028698805</v>
      </c>
    </row>
    <row r="1554" spans="1:4">
      <c r="A1554">
        <v>1.008332</v>
      </c>
      <c r="B1554">
        <v>3.316589</v>
      </c>
      <c r="C1554">
        <f>LOG10(1.008332)</f>
        <v>3.6035499947504922E-3</v>
      </c>
      <c r="D1554">
        <f>LOG10(3.316589)</f>
        <v>0.52069165599600309</v>
      </c>
    </row>
    <row r="1555" spans="1:4">
      <c r="A1555">
        <v>1.0108729999999999</v>
      </c>
      <c r="B1555">
        <v>3.277711</v>
      </c>
      <c r="C1555">
        <f>LOG10(1.010873)</f>
        <v>4.6965968731446104E-3</v>
      </c>
      <c r="D1555">
        <f>LOG10(3.277711)</f>
        <v>0.51557065861875562</v>
      </c>
    </row>
    <row r="1556" spans="1:4">
      <c r="A1556">
        <v>1.0084010000000001</v>
      </c>
      <c r="B1556">
        <v>3.1840109999999999</v>
      </c>
      <c r="C1556">
        <f>LOG10(1.008401)</f>
        <v>3.633267680991615E-3</v>
      </c>
      <c r="D1556">
        <f>LOG10(3.184011)</f>
        <v>0.50297455945226732</v>
      </c>
    </row>
    <row r="1557" spans="1:4">
      <c r="A1557">
        <v>1.009201</v>
      </c>
      <c r="B1557">
        <v>3.2352270000000001</v>
      </c>
      <c r="C1557">
        <f>LOG10(1.009201)</f>
        <v>3.9776721807200602E-3</v>
      </c>
      <c r="D1557">
        <f>LOG10(3.235227)</f>
        <v>0.50990475838608051</v>
      </c>
    </row>
    <row r="1558" spans="1:4">
      <c r="A1558">
        <v>1.0132060000000001</v>
      </c>
      <c r="B1558">
        <v>3.3185349999999998</v>
      </c>
      <c r="C1558">
        <f>LOG10(1.013206)</f>
        <v>5.6977529297776441E-3</v>
      </c>
      <c r="D1558">
        <f>LOG10(3.318535)</f>
        <v>0.5209464024290813</v>
      </c>
    </row>
    <row r="1559" spans="1:4">
      <c r="A1559">
        <v>1.007228</v>
      </c>
      <c r="B1559">
        <v>3.3347180000000001</v>
      </c>
      <c r="C1559">
        <f>LOG10(1.007228)</f>
        <v>3.1277902495976668E-3</v>
      </c>
      <c r="D1559">
        <f>LOG10(3.334718)</f>
        <v>0.52305911374818248</v>
      </c>
    </row>
    <row r="1560" spans="1:4">
      <c r="A1560">
        <v>1.0089109999999999</v>
      </c>
      <c r="B1560">
        <v>3.3781569999999999</v>
      </c>
      <c r="C1560">
        <f>LOG10(1.008911)</f>
        <v>3.8528571054230582E-3</v>
      </c>
      <c r="D1560">
        <f>LOG10(3.378157)</f>
        <v>0.52867982955979786</v>
      </c>
    </row>
    <row r="1561" spans="1:4">
      <c r="A1561">
        <v>1.0088710000000001</v>
      </c>
      <c r="B1561">
        <v>3.3064939999999998</v>
      </c>
      <c r="C1561">
        <f>LOG10(1.008871)</f>
        <v>3.8356384174990637E-3</v>
      </c>
      <c r="D1561">
        <f>LOG10(3.306494)</f>
        <v>0.51936773896522181</v>
      </c>
    </row>
    <row r="1562" spans="1:4">
      <c r="A1562">
        <v>1.0180899999999999</v>
      </c>
      <c r="B1562">
        <v>3.192726</v>
      </c>
      <c r="C1562">
        <f>LOG10(1.01809)</f>
        <v>7.7861716900137195E-3</v>
      </c>
      <c r="D1562">
        <f>LOG10(3.192726)</f>
        <v>0.50416164895158144</v>
      </c>
    </row>
    <row r="1563" spans="1:4">
      <c r="A1563">
        <v>1.00824</v>
      </c>
      <c r="B1563">
        <v>3.307185</v>
      </c>
      <c r="C1563">
        <f>LOG10(1.00824)</f>
        <v>3.5639232495980142E-3</v>
      </c>
      <c r="D1563">
        <f>LOG10(3.307185)</f>
        <v>0.51945848951059514</v>
      </c>
    </row>
    <row r="1564" spans="1:4">
      <c r="A1564">
        <v>1.0079400000000001</v>
      </c>
      <c r="B1564">
        <v>3.2911049999999999</v>
      </c>
      <c r="C1564">
        <f>LOG10(1.00794)</f>
        <v>3.4346804780870351E-3</v>
      </c>
      <c r="D1564">
        <f>LOG10(3.291105)</f>
        <v>0.51734173832389718</v>
      </c>
    </row>
    <row r="1565" spans="1:4">
      <c r="A1565">
        <v>1.016338</v>
      </c>
      <c r="B1565">
        <v>3.336608</v>
      </c>
      <c r="C1565">
        <f>LOG10(1.016338)</f>
        <v>7.0381637778230985E-3</v>
      </c>
      <c r="D1565">
        <f>LOG10(3.336608)</f>
        <v>0.52330518674559168</v>
      </c>
    </row>
    <row r="1566" spans="1:4">
      <c r="A1566">
        <v>1.010561</v>
      </c>
      <c r="B1566">
        <v>3.2162449999999998</v>
      </c>
      <c r="C1566">
        <f>LOG10(1.010561)</f>
        <v>4.5625337482246321E-3</v>
      </c>
      <c r="D1566">
        <f>LOG10(3.216245)</f>
        <v>0.50734912406127974</v>
      </c>
    </row>
    <row r="1567" spans="1:4">
      <c r="A1567">
        <v>1.0083770000000001</v>
      </c>
      <c r="B1567">
        <v>3.1687379999999998</v>
      </c>
      <c r="C1567">
        <f>LOG10(1.008377)</f>
        <v>3.6229313251148845E-3</v>
      </c>
      <c r="D1567">
        <f>LOG10(3.168738)</f>
        <v>0.50088633200880339</v>
      </c>
    </row>
    <row r="1568" spans="1:4">
      <c r="A1568">
        <v>1.0078309999999999</v>
      </c>
      <c r="B1568">
        <v>3.3170480000000002</v>
      </c>
      <c r="C1568">
        <f>LOG10(1.007831)</f>
        <v>3.3877127435838084E-3</v>
      </c>
      <c r="D1568">
        <f>LOG10(3.317048)</f>
        <v>0.52075175610926272</v>
      </c>
    </row>
    <row r="1569" spans="1:4">
      <c r="A1569">
        <v>1.0123</v>
      </c>
      <c r="B1569">
        <v>3.3904610000000002</v>
      </c>
      <c r="C1569">
        <f>LOG10(1.0123)</f>
        <v>5.309236848516574E-3</v>
      </c>
      <c r="D1569">
        <f>LOG10(3.390461)</f>
        <v>0.53025875311290793</v>
      </c>
    </row>
    <row r="1570" spans="1:4">
      <c r="A1570">
        <v>1.0157020000000001</v>
      </c>
      <c r="B1570">
        <v>3.2877719999999999</v>
      </c>
      <c r="C1570">
        <f>LOG10(1.015702)</f>
        <v>6.766307614056985E-3</v>
      </c>
      <c r="D1570">
        <f>LOG10(3.287772)</f>
        <v>0.51690169251303164</v>
      </c>
    </row>
    <row r="1571" spans="1:4">
      <c r="A1571">
        <v>1.006615</v>
      </c>
      <c r="B1571">
        <v>2.9993080000000001</v>
      </c>
      <c r="C1571">
        <f>LOG10(1.006615)</f>
        <v>2.8633977168838636E-3</v>
      </c>
      <c r="D1571">
        <f>LOG10(2.999308)</f>
        <v>0.4770210659036157</v>
      </c>
    </row>
    <row r="1572" spans="1:4">
      <c r="A1572">
        <v>1.011938</v>
      </c>
      <c r="B1572">
        <v>3.221384</v>
      </c>
      <c r="C1572">
        <f>LOG10(1.011938)</f>
        <v>5.1539047145235028E-3</v>
      </c>
      <c r="D1572">
        <f>LOG10(3.221384)</f>
        <v>0.50804249729436801</v>
      </c>
    </row>
    <row r="1573" spans="1:4">
      <c r="A1573">
        <v>1.0097510000000001</v>
      </c>
      <c r="B1573">
        <v>3.276049</v>
      </c>
      <c r="C1573">
        <f>LOG10(1.009751)</f>
        <v>4.2142919428101036E-3</v>
      </c>
      <c r="D1573">
        <f>LOG10(3.276049)</f>
        <v>0.51535038889743656</v>
      </c>
    </row>
    <row r="1574" spans="1:4">
      <c r="A1574">
        <v>1.0075879999999999</v>
      </c>
      <c r="B1574">
        <v>3.1435569999999999</v>
      </c>
      <c r="C1574">
        <f>LOG10(1.007588)</f>
        <v>3.282986570402077E-3</v>
      </c>
      <c r="D1574">
        <f>LOG10(3.143557)</f>
        <v>0.49742133952668222</v>
      </c>
    </row>
    <row r="1575" spans="1:4">
      <c r="A1575">
        <v>1.0056620000000001</v>
      </c>
      <c r="B1575">
        <v>3.232469</v>
      </c>
      <c r="C1575">
        <f>LOG10(1.005662)</f>
        <v>2.452040163031122E-3</v>
      </c>
      <c r="D1575">
        <f>LOG10(3.232469)</f>
        <v>0.50953436860471446</v>
      </c>
    </row>
    <row r="1576" spans="1:4">
      <c r="A1576">
        <v>1.014224</v>
      </c>
      <c r="B1576">
        <v>3.1228850000000001</v>
      </c>
      <c r="C1576">
        <f>LOG10(1.014224)</f>
        <v>6.1338832225446222E-3</v>
      </c>
      <c r="D1576">
        <f>LOG10(3.122885)</f>
        <v>0.49455599166375702</v>
      </c>
    </row>
    <row r="1577" spans="1:4">
      <c r="A1577">
        <v>1.008491</v>
      </c>
      <c r="B1577">
        <v>3.318981</v>
      </c>
      <c r="C1577">
        <f>LOG10(1.008491)</f>
        <v>3.6720268246613827E-3</v>
      </c>
      <c r="D1577">
        <f>LOG10(3.318981)</f>
        <v>0.52100476623241387</v>
      </c>
    </row>
    <row r="1578" spans="1:4">
      <c r="A1578">
        <v>1.0084249999999999</v>
      </c>
      <c r="B1578">
        <v>3.0788479999999998</v>
      </c>
      <c r="C1578">
        <f>LOG10(1.008425)</f>
        <v>3.6436037908653316E-3</v>
      </c>
      <c r="D1578">
        <f>LOG10(3.078848)</f>
        <v>0.4883882486983529</v>
      </c>
    </row>
    <row r="1579" spans="1:4">
      <c r="A1579">
        <v>1.011668</v>
      </c>
      <c r="B1579">
        <v>3.095825</v>
      </c>
      <c r="C1579">
        <f>LOG10(1.011668)</f>
        <v>5.0380130727615156E-3</v>
      </c>
      <c r="D1579">
        <f>LOG10(3.095825)</f>
        <v>0.49077640301783493</v>
      </c>
    </row>
    <row r="1580" spans="1:4">
      <c r="A1580">
        <v>1.0109889999999999</v>
      </c>
      <c r="B1580">
        <v>3.1915460000000002</v>
      </c>
      <c r="C1580">
        <f>LOG10(1.010989)</f>
        <v>4.7464303038694125E-3</v>
      </c>
      <c r="D1580">
        <f>LOG10(3.191546)</f>
        <v>0.50400110833098088</v>
      </c>
    </row>
    <row r="1581" spans="1:4">
      <c r="A1581">
        <v>1.016858</v>
      </c>
      <c r="B1581">
        <v>3.312913</v>
      </c>
      <c r="C1581">
        <f>LOG10(1.016858)</f>
        <v>7.2603097347438139E-3</v>
      </c>
      <c r="D1581">
        <f>LOG10(3.312913)</f>
        <v>0.5202100310778438</v>
      </c>
    </row>
    <row r="1582" spans="1:4">
      <c r="A1582">
        <v>1.005004</v>
      </c>
      <c r="B1582">
        <v>3.4584920000000001</v>
      </c>
      <c r="C1582">
        <f>LOG10(1.005004)</f>
        <v>2.1677902883191743E-3</v>
      </c>
      <c r="D1582">
        <f>LOG10(3.458492)</f>
        <v>0.53888677542893326</v>
      </c>
    </row>
    <row r="1583" spans="1:4">
      <c r="A1583">
        <v>1.01</v>
      </c>
      <c r="B1583">
        <v>3.2799119999999999</v>
      </c>
      <c r="C1583">
        <f>LOG10(1.01)</f>
        <v>4.3213737826425782E-3</v>
      </c>
      <c r="D1583">
        <f>LOG10(3.279912)</f>
        <v>0.51586219175219861</v>
      </c>
    </row>
    <row r="1584" spans="1:4">
      <c r="A1584">
        <v>1.0111190000000001</v>
      </c>
      <c r="B1584">
        <v>3.2482579999999999</v>
      </c>
      <c r="C1584">
        <f>LOG10(1.011119)</f>
        <v>4.8022713200023652E-3</v>
      </c>
      <c r="D1584">
        <f>LOG10(3.248258)</f>
        <v>0.51165051672873907</v>
      </c>
    </row>
    <row r="1585" spans="1:4">
      <c r="A1585">
        <v>1.010942</v>
      </c>
      <c r="B1585">
        <v>3.1981980000000001</v>
      </c>
      <c r="C1585">
        <f>LOG10(1.010942)</f>
        <v>4.7262398615119938E-3</v>
      </c>
      <c r="D1585">
        <f>LOG10(3.198198)</f>
        <v>0.50490534735441162</v>
      </c>
    </row>
    <row r="1586" spans="1:4">
      <c r="A1586">
        <v>1.0103150000000001</v>
      </c>
      <c r="B1586">
        <v>3.1450490000000002</v>
      </c>
      <c r="C1586">
        <f>LOG10(1.010315)</f>
        <v>4.4568009441575953E-3</v>
      </c>
      <c r="D1586">
        <f>LOG10(3.145049)</f>
        <v>0.49762741616088629</v>
      </c>
    </row>
    <row r="1587" spans="1:4">
      <c r="A1587">
        <v>1.0127630000000001</v>
      </c>
      <c r="B1587">
        <v>3.2715800000000002</v>
      </c>
      <c r="C1587">
        <f>LOG10(1.012763)</f>
        <v>5.5078265700461921E-3</v>
      </c>
      <c r="D1587">
        <f>LOG10(3.27158)</f>
        <v>0.51475754457439571</v>
      </c>
    </row>
    <row r="1588" spans="1:4">
      <c r="A1588">
        <v>1.0100629999999999</v>
      </c>
      <c r="B1588">
        <v>3.226575</v>
      </c>
      <c r="C1588">
        <f>LOG10(1.010063)</f>
        <v>4.3484625936041597E-3</v>
      </c>
      <c r="D1588">
        <f>LOG10(3.226575)</f>
        <v>0.50874176450205577</v>
      </c>
    </row>
    <row r="1589" spans="1:4">
      <c r="A1589">
        <v>1.0113460000000001</v>
      </c>
      <c r="B1589">
        <v>3.0083829999999998</v>
      </c>
      <c r="C1589">
        <f>LOG10(1.011346)</f>
        <v>4.8997611137006573E-3</v>
      </c>
      <c r="D1589">
        <f>LOG10(3.008383)</f>
        <v>0.47833312586840859</v>
      </c>
    </row>
    <row r="1590" spans="1:4">
      <c r="A1590">
        <v>1.012305</v>
      </c>
      <c r="B1590">
        <v>3.1373899999999999</v>
      </c>
      <c r="C1590">
        <f>LOG10(1.012305)</f>
        <v>5.3113819310482624E-3</v>
      </c>
      <c r="D1590">
        <f>LOG10(3.13739)</f>
        <v>0.49656850796145363</v>
      </c>
    </row>
    <row r="1591" spans="1:4">
      <c r="A1591">
        <v>1.017223</v>
      </c>
      <c r="B1591">
        <v>3.1970339999999999</v>
      </c>
      <c r="C1591">
        <f>LOG10(1.017223)</f>
        <v>7.4161712639514111E-3</v>
      </c>
      <c r="D1591">
        <f>LOG10(3.197034)</f>
        <v>0.50474725495603801</v>
      </c>
    </row>
    <row r="1592" spans="1:4">
      <c r="A1592">
        <v>1.01447</v>
      </c>
      <c r="B1592">
        <v>3.064473</v>
      </c>
      <c r="C1592">
        <f>LOG10(1.01447)</f>
        <v>6.2392085629575473E-3</v>
      </c>
      <c r="D1592">
        <f>LOG10(3.064473)</f>
        <v>0.48635579928817196</v>
      </c>
    </row>
    <row r="1593" spans="1:4">
      <c r="A1593">
        <v>1.009584</v>
      </c>
      <c r="B1593">
        <v>3.2189679999999998</v>
      </c>
      <c r="C1593">
        <f>LOG10(1.009584)</f>
        <v>4.1424592071390024E-3</v>
      </c>
      <c r="D1593">
        <f>LOG10(3.218968)</f>
        <v>0.50771665935336796</v>
      </c>
    </row>
    <row r="1594" spans="1:4">
      <c r="A1594">
        <v>1.013385</v>
      </c>
      <c r="B1594">
        <v>3.1662349999999999</v>
      </c>
      <c r="C1594">
        <f>LOG10(1.013385)</f>
        <v>5.7744716287778958E-3</v>
      </c>
      <c r="D1594">
        <f>LOG10(3.166235)</f>
        <v>0.5005431453386251</v>
      </c>
    </row>
    <row r="1595" spans="1:4">
      <c r="A1595">
        <v>1.011026</v>
      </c>
      <c r="B1595">
        <v>3.0189430000000002</v>
      </c>
      <c r="C1595">
        <f>LOG10(1.011026)</f>
        <v>4.7623242471213096E-3</v>
      </c>
      <c r="D1595">
        <f>LOG10(3.018943)</f>
        <v>0.47985491328173907</v>
      </c>
    </row>
    <row r="1596" spans="1:4">
      <c r="A1596">
        <v>1.007296</v>
      </c>
      <c r="B1596">
        <v>3.4400490000000001</v>
      </c>
      <c r="C1596">
        <f>LOG10(1.007296)</f>
        <v>3.1571093590057639E-3</v>
      </c>
      <c r="D1596">
        <f>LOG10(3.440049)</f>
        <v>0.53656462869887123</v>
      </c>
    </row>
    <row r="1597" spans="1:4">
      <c r="A1597">
        <v>1.009385</v>
      </c>
      <c r="B1597">
        <v>3.1180059999999998</v>
      </c>
      <c r="C1597">
        <f>LOG10(1.009385)</f>
        <v>4.0568465977540661E-3</v>
      </c>
      <c r="D1597">
        <f>LOG10(3.118006)</f>
        <v>0.49387694656943104</v>
      </c>
    </row>
    <row r="1598" spans="1:4">
      <c r="A1598">
        <v>1.0071779999999999</v>
      </c>
      <c r="B1598">
        <v>3.0950920000000002</v>
      </c>
      <c r="C1598">
        <f>LOG10(1.007178)</f>
        <v>3.1062308180831977E-3</v>
      </c>
      <c r="D1598">
        <f>LOG10(3.095092)</f>
        <v>0.49067356272560597</v>
      </c>
    </row>
    <row r="1599" spans="1:4">
      <c r="A1599">
        <v>1.010529</v>
      </c>
      <c r="B1599">
        <v>3.1394820000000001</v>
      </c>
      <c r="C1599">
        <f>LOG10(1.010529)</f>
        <v>4.548781343906092E-3</v>
      </c>
      <c r="D1599">
        <f>LOG10(3.139482)</f>
        <v>0.49685799740453362</v>
      </c>
    </row>
    <row r="1600" spans="1:4">
      <c r="A1600">
        <v>1.009126</v>
      </c>
      <c r="B1600">
        <v>3.2584179999999998</v>
      </c>
      <c r="C1600">
        <f>LOG10(1.009126)</f>
        <v>3.9453958586396871E-3</v>
      </c>
      <c r="D1600">
        <f>LOG10(3.258418)</f>
        <v>0.51300679619379019</v>
      </c>
    </row>
    <row r="1601" spans="1:4">
      <c r="A1601">
        <v>1.011636</v>
      </c>
      <c r="B1601">
        <v>3.1109270000000002</v>
      </c>
      <c r="C1601">
        <f>LOG10(1.011636)</f>
        <v>5.0242757170086711E-3</v>
      </c>
      <c r="D1601">
        <f>LOG10(3.110927)</f>
        <v>0.49288982021537397</v>
      </c>
    </row>
    <row r="1602" spans="1:4">
      <c r="A1602">
        <v>1.0097940000000001</v>
      </c>
      <c r="B1602">
        <v>3.279884</v>
      </c>
      <c r="C1602">
        <f>LOG10(1.009794)</f>
        <v>4.2327858735961652E-3</v>
      </c>
      <c r="D1602">
        <f>LOG10(3.279884)</f>
        <v>0.51585848424498548</v>
      </c>
    </row>
    <row r="1603" spans="1:4">
      <c r="A1603">
        <v>1.010769</v>
      </c>
      <c r="B1603">
        <v>3.2982849999999999</v>
      </c>
      <c r="C1603">
        <f>LOG10(1.010769)</f>
        <v>4.6519137629225929E-3</v>
      </c>
      <c r="D1603">
        <f>LOG10(3.298285)</f>
        <v>0.51828817968315921</v>
      </c>
    </row>
    <row r="1604" spans="1:4">
      <c r="A1604">
        <v>1.0095700000000001</v>
      </c>
      <c r="B1604">
        <v>3.2590560000000002</v>
      </c>
      <c r="C1604">
        <f>LOG10(1.00957)</f>
        <v>4.1364367613555449E-3</v>
      </c>
      <c r="D1604">
        <f>LOG10(3.259056)</f>
        <v>0.513091822963468</v>
      </c>
    </row>
    <row r="1605" spans="1:4">
      <c r="A1605">
        <v>1.0053369999999999</v>
      </c>
      <c r="B1605">
        <v>3.526383</v>
      </c>
      <c r="C1605">
        <f>LOG10(1.005337)</f>
        <v>2.311666440470905E-3</v>
      </c>
      <c r="D1605">
        <f>LOG10(3.526383)</f>
        <v>0.54732947919229991</v>
      </c>
    </row>
    <row r="1606" spans="1:4">
      <c r="A1606">
        <v>1.0075529999999999</v>
      </c>
      <c r="B1606">
        <v>3.3506209999999998</v>
      </c>
      <c r="C1606">
        <f>LOG10(1.007553)</f>
        <v>3.2679004728355587E-3</v>
      </c>
      <c r="D1606">
        <f>LOG10(3.350621)</f>
        <v>0.52512530610522534</v>
      </c>
    </row>
    <row r="1607" spans="1:4">
      <c r="A1607">
        <v>1.004934</v>
      </c>
      <c r="B1607">
        <v>3.380903</v>
      </c>
      <c r="C1607">
        <f>LOG10(1.004934)</f>
        <v>2.137539988314373E-3</v>
      </c>
      <c r="D1607">
        <f>LOG10(3.380903)</f>
        <v>0.52903271079266745</v>
      </c>
    </row>
    <row r="1608" spans="1:4">
      <c r="A1608">
        <v>1.007649</v>
      </c>
      <c r="B1608">
        <v>3.158687</v>
      </c>
      <c r="C1608">
        <f>LOG10(1.007649)</f>
        <v>3.3092782307916268E-3</v>
      </c>
      <c r="D1608">
        <f>LOG10(3.158687)</f>
        <v>0.49950659301258971</v>
      </c>
    </row>
    <row r="1609" spans="1:4">
      <c r="A1609">
        <v>1.0069349999999999</v>
      </c>
      <c r="B1609">
        <v>3.265374</v>
      </c>
      <c r="C1609">
        <f>LOG10(1.006935)</f>
        <v>3.0014367378955026E-3</v>
      </c>
      <c r="D1609">
        <f>LOG10(3.265374)</f>
        <v>0.51393293043012134</v>
      </c>
    </row>
    <row r="1610" spans="1:4">
      <c r="A1610">
        <v>1.0091399999999999</v>
      </c>
      <c r="B1610">
        <v>3.1116440000000001</v>
      </c>
      <c r="C1610">
        <f>LOG10(1.00914)</f>
        <v>3.9514209541887625E-3</v>
      </c>
      <c r="D1610">
        <f>LOG10(3.111644)</f>
        <v>0.49298990397332632</v>
      </c>
    </row>
    <row r="1611" spans="1:4">
      <c r="A1611">
        <v>1.014178</v>
      </c>
      <c r="B1611">
        <v>3.4397470000000001</v>
      </c>
      <c r="C1611">
        <f>LOG10(1.014178)</f>
        <v>6.1141854050794746E-3</v>
      </c>
      <c r="D1611">
        <f>LOG10(3.439747)</f>
        <v>0.53652650055274043</v>
      </c>
    </row>
    <row r="1612" spans="1:4">
      <c r="A1612">
        <v>1.0108649999999999</v>
      </c>
      <c r="B1612">
        <v>3.5237180000000001</v>
      </c>
      <c r="C1612">
        <f>LOG10(1.010865)</f>
        <v>4.6931598740327105E-3</v>
      </c>
      <c r="D1612">
        <f>LOG10(3.523718)</f>
        <v>0.54700114493172713</v>
      </c>
    </row>
    <row r="1613" spans="1:4">
      <c r="A1613">
        <v>1.0110269999999999</v>
      </c>
      <c r="B1613">
        <v>3.681308</v>
      </c>
      <c r="C1613">
        <f>LOG10(1.011027)</f>
        <v>4.76275380508232E-3</v>
      </c>
      <c r="D1613">
        <f>LOG10(3.681308)</f>
        <v>0.56600215461172532</v>
      </c>
    </row>
    <row r="1614" spans="1:4">
      <c r="A1614">
        <v>1.0091570000000001</v>
      </c>
      <c r="B1614">
        <v>3.1627109999999998</v>
      </c>
      <c r="C1614">
        <f>LOG10(1.009157)</f>
        <v>3.9587370292684934E-3</v>
      </c>
      <c r="D1614">
        <f>LOG10(3.162711)</f>
        <v>0.50005950907047192</v>
      </c>
    </row>
    <row r="1615" spans="1:4">
      <c r="A1615">
        <v>1.010758</v>
      </c>
      <c r="B1615">
        <v>3.3084470000000001</v>
      </c>
      <c r="C1615">
        <f>LOG10(1.010758)</f>
        <v>4.647187395873352E-3</v>
      </c>
      <c r="D1615">
        <f>LOG10(3.308447)</f>
        <v>0.51962418181113723</v>
      </c>
    </row>
    <row r="1616" spans="1:4">
      <c r="A1616">
        <v>1.01315</v>
      </c>
      <c r="B1616">
        <v>3.324503</v>
      </c>
      <c r="C1616">
        <f>LOG10(1.01315)</f>
        <v>5.673748765659594E-3</v>
      </c>
      <c r="D1616">
        <f>LOG10(3.324503)</f>
        <v>0.52172672919081087</v>
      </c>
    </row>
    <row r="1617" spans="1:4">
      <c r="A1617">
        <v>1.012121</v>
      </c>
      <c r="B1617">
        <v>3.2607520000000001</v>
      </c>
      <c r="C1617">
        <f>LOG10(1.012121)</f>
        <v>5.2324359138658837E-3</v>
      </c>
      <c r="D1617">
        <f>LOG10(3.260752)</f>
        <v>0.51331776932812223</v>
      </c>
    </row>
    <row r="1618" spans="1:4">
      <c r="A1618">
        <v>1.013344</v>
      </c>
      <c r="B1618">
        <v>3.354603</v>
      </c>
      <c r="C1618">
        <f>LOG10(1.013344)</f>
        <v>5.7569003858929874E-3</v>
      </c>
      <c r="D1618">
        <f>LOG10(3.354603)</f>
        <v>0.52564113102926668</v>
      </c>
    </row>
    <row r="1619" spans="1:4">
      <c r="A1619">
        <v>1.015147</v>
      </c>
      <c r="B1619">
        <v>3.3432360000000001</v>
      </c>
      <c r="C1619">
        <f>LOG10(1.015147)</f>
        <v>6.5289355165186339E-3</v>
      </c>
      <c r="D1619">
        <f>LOG10(3.343236)</f>
        <v>0.52416703464824344</v>
      </c>
    </row>
    <row r="1620" spans="1:4">
      <c r="A1620">
        <v>1.0140089999999999</v>
      </c>
      <c r="B1620">
        <v>3.4918330000000002</v>
      </c>
      <c r="C1620">
        <f>LOG10(1.014009)</f>
        <v>6.0418096649612774E-3</v>
      </c>
      <c r="D1620">
        <f>LOG10(3.491833)</f>
        <v>0.54305346501268781</v>
      </c>
    </row>
    <row r="1621" spans="1:4">
      <c r="A1621">
        <v>1.0064</v>
      </c>
      <c r="B1621">
        <v>3.39316</v>
      </c>
      <c r="C1621">
        <f>LOG10(1.0064)</f>
        <v>2.7706281011936895E-3</v>
      </c>
      <c r="D1621">
        <f>LOG10(3.39316)</f>
        <v>0.53060433871343249</v>
      </c>
    </row>
    <row r="1622" spans="1:4">
      <c r="A1622">
        <v>1.015506</v>
      </c>
      <c r="B1622">
        <v>3.5707960000000001</v>
      </c>
      <c r="C1622">
        <f>LOG10(1.015506)</f>
        <v>6.6824937272297689E-3</v>
      </c>
      <c r="D1622">
        <f>LOG10(3.570796)</f>
        <v>0.55276503960610812</v>
      </c>
    </row>
    <row r="1623" spans="1:4">
      <c r="A1623">
        <v>1.0138929999999999</v>
      </c>
      <c r="B1623">
        <v>3.0255290000000001</v>
      </c>
      <c r="C1623">
        <f>LOG10(1.013893)</f>
        <v>5.992124660502752E-3</v>
      </c>
      <c r="D1623">
        <f>LOG10(3.025529)</f>
        <v>0.48080132004472004</v>
      </c>
    </row>
    <row r="1624" spans="1:4">
      <c r="A1624">
        <v>1.0100210000000001</v>
      </c>
      <c r="B1624">
        <v>3.328627</v>
      </c>
      <c r="C1624">
        <f>LOG10(1.010021)</f>
        <v>4.3304035740361511E-3</v>
      </c>
      <c r="D1624">
        <f>LOG10(3.328627)</f>
        <v>0.52226513161876731</v>
      </c>
    </row>
    <row r="1625" spans="1:4">
      <c r="A1625">
        <v>1.0077389999999999</v>
      </c>
      <c r="B1625">
        <v>3.403451</v>
      </c>
      <c r="C1625">
        <f>LOG10(1.007739)</f>
        <v>3.3480662987936606E-3</v>
      </c>
      <c r="D1625">
        <f>LOG10(3.403451)</f>
        <v>0.53191950238213292</v>
      </c>
    </row>
    <row r="1626" spans="1:4">
      <c r="A1626">
        <v>1.0191509999999999</v>
      </c>
      <c r="B1626">
        <v>3.2001870000000001</v>
      </c>
      <c r="C1626">
        <f>LOG10(1.019151)</f>
        <v>8.2385349469478175E-3</v>
      </c>
      <c r="D1626">
        <f>LOG10(3.200187)</f>
        <v>0.50517535666217595</v>
      </c>
    </row>
    <row r="1627" spans="1:4">
      <c r="A1627">
        <v>1.014432</v>
      </c>
      <c r="B1627">
        <v>3.1656300000000002</v>
      </c>
      <c r="C1627">
        <f>LOG10(1.014432)</f>
        <v>6.2229404629564177E-3</v>
      </c>
      <c r="D1627">
        <f>LOG10(3.16563)</f>
        <v>0.5004601529936048</v>
      </c>
    </row>
    <row r="1628" spans="1:4">
      <c r="A1628">
        <v>1.007889</v>
      </c>
      <c r="B1628">
        <v>3.3675299999999999</v>
      </c>
      <c r="C1628">
        <f>LOG10(1.007889)</f>
        <v>3.4127053814079003E-3</v>
      </c>
      <c r="D1628">
        <f>LOG10(3.36753)</f>
        <v>0.52731147337094675</v>
      </c>
    </row>
    <row r="1629" spans="1:4">
      <c r="A1629">
        <v>1.016405</v>
      </c>
      <c r="B1629">
        <v>3.5034580000000002</v>
      </c>
      <c r="C1629">
        <f>LOG10(1.016405)</f>
        <v>7.0667928079543767E-3</v>
      </c>
      <c r="D1629">
        <f>LOG10(3.503458)</f>
        <v>0.54449691547093193</v>
      </c>
    </row>
    <row r="1630" spans="1:4">
      <c r="A1630">
        <v>1.008826</v>
      </c>
      <c r="B1630">
        <v>3.4018579999999998</v>
      </c>
      <c r="C1630">
        <f>LOG10(1.008826)</f>
        <v>3.8162665775360585E-3</v>
      </c>
      <c r="D1630">
        <f>LOG10(3.401858)</f>
        <v>0.53171618138015986</v>
      </c>
    </row>
    <row r="1631" spans="1:4">
      <c r="A1631">
        <v>1.177243</v>
      </c>
      <c r="B1631">
        <v>3.182839</v>
      </c>
      <c r="C1631">
        <f>LOG10(1.177243)</f>
        <v>7.0866116765716525E-2</v>
      </c>
      <c r="D1631">
        <f>LOG10(3.182839)</f>
        <v>0.50281467092386178</v>
      </c>
    </row>
    <row r="1632" spans="1:4">
      <c r="A1632">
        <v>1.1579820000000001</v>
      </c>
      <c r="B1632">
        <v>2.9319389999999999</v>
      </c>
      <c r="C1632">
        <f>LOG10(1.157982)</f>
        <v>6.3701808647521813E-2</v>
      </c>
      <c r="D1632">
        <f>LOG10(2.931939)</f>
        <v>0.46715493041691386</v>
      </c>
    </row>
    <row r="1633" spans="1:4">
      <c r="A1633">
        <v>1.1579470000000001</v>
      </c>
      <c r="B1633">
        <v>3.1456270000000002</v>
      </c>
      <c r="C1633">
        <f>LOG10(1.157947)</f>
        <v>6.3688681900658864E-2</v>
      </c>
      <c r="D1633">
        <f>LOG10(3.145627)</f>
        <v>0.49770722386716348</v>
      </c>
    </row>
    <row r="1634" spans="1:4">
      <c r="A1634">
        <v>1.1695089999999999</v>
      </c>
      <c r="B1634">
        <v>3.1778909999999998</v>
      </c>
      <c r="C1634">
        <f>LOG10(1.169509)</f>
        <v>6.8003568287367214E-2</v>
      </c>
      <c r="D1634">
        <f>LOG10(3.177891)</f>
        <v>0.5021389970531247</v>
      </c>
    </row>
    <row r="1635" spans="1:4">
      <c r="A1635">
        <v>1.1757379999999999</v>
      </c>
      <c r="B1635">
        <v>3.1248469999999999</v>
      </c>
      <c r="C1635">
        <f>LOG10(1.175738)</f>
        <v>7.0310554876864148E-2</v>
      </c>
      <c r="D1635">
        <f>LOG10(3.124847)</f>
        <v>0.49482875810172339</v>
      </c>
    </row>
    <row r="1636" spans="1:4">
      <c r="A1636">
        <v>1.1667780000000001</v>
      </c>
      <c r="B1636">
        <v>3.2536309999999999</v>
      </c>
      <c r="C1636">
        <f>LOG10(1.166778)</f>
        <v>6.6988231755250649E-2</v>
      </c>
      <c r="D1636">
        <f>LOG10(3.253631)</f>
        <v>0.51236829729449085</v>
      </c>
    </row>
    <row r="1637" spans="1:4">
      <c r="A1637">
        <v>1.1845490000000001</v>
      </c>
      <c r="B1637">
        <v>3.1817700000000002</v>
      </c>
      <c r="C1637">
        <f>LOG10(1.184549)</f>
        <v>7.3553030436128403E-2</v>
      </c>
      <c r="D1637">
        <f>LOG10(3.18177)</f>
        <v>0.50266878268295956</v>
      </c>
    </row>
    <row r="1638" spans="1:4">
      <c r="A1638">
        <v>1.1766160000000001</v>
      </c>
      <c r="B1638">
        <v>3.0238610000000001</v>
      </c>
      <c r="C1638">
        <f>LOG10(1.176616)</f>
        <v>7.063474976659416E-2</v>
      </c>
      <c r="D1638">
        <f>LOG10(3.023861)</f>
        <v>0.4805618237602442</v>
      </c>
    </row>
    <row r="1639" spans="1:4">
      <c r="A1639">
        <v>1.1620569999999999</v>
      </c>
      <c r="B1639">
        <v>2.9862419999999998</v>
      </c>
      <c r="C1639">
        <f>LOG10(1.162057)</f>
        <v>6.5227431133774619E-2</v>
      </c>
      <c r="D1639">
        <f>LOG10(2.986242)</f>
        <v>0.47512499930527324</v>
      </c>
    </row>
    <row r="1640" spans="1:4">
      <c r="A1640">
        <v>1.145392</v>
      </c>
      <c r="B1640">
        <v>2.873399</v>
      </c>
      <c r="C1640">
        <f>LOG10(1.145392)</f>
        <v>5.8954145454463772E-2</v>
      </c>
      <c r="D1640">
        <f>LOG10(2.873399)</f>
        <v>0.45839593628316039</v>
      </c>
    </row>
    <row r="1641" spans="1:4">
      <c r="A1641">
        <v>1.1635180000000001</v>
      </c>
      <c r="B1641">
        <v>3.0385219999999999</v>
      </c>
      <c r="C1641">
        <f>LOG10(1.163518)</f>
        <v>6.5773106350901625E-2</v>
      </c>
      <c r="D1641">
        <f>LOG10(3.038522)</f>
        <v>0.4826623851440931</v>
      </c>
    </row>
    <row r="1642" spans="1:4">
      <c r="A1642">
        <v>1.1569689999999999</v>
      </c>
      <c r="B1642">
        <v>3.1413920000000002</v>
      </c>
      <c r="C1642">
        <f>LOG10(1.156969)</f>
        <v>6.3321722556499802E-2</v>
      </c>
      <c r="D1642">
        <f>LOG10(3.141392)</f>
        <v>0.4971221334104477</v>
      </c>
    </row>
    <row r="1643" spans="1:4">
      <c r="A1643">
        <v>1.1856930000000001</v>
      </c>
      <c r="B1643">
        <v>3.10623</v>
      </c>
      <c r="C1643">
        <f>LOG10(1.185693)</f>
        <v>7.3972255921017097E-2</v>
      </c>
      <c r="D1643">
        <f>LOG10(3.10623)</f>
        <v>0.4922336098061475</v>
      </c>
    </row>
    <row r="1644" spans="1:4">
      <c r="A1644">
        <v>1.192488</v>
      </c>
      <c r="B1644">
        <v>2.998767</v>
      </c>
      <c r="C1644">
        <f>LOG10(1.192488)</f>
        <v>7.6454017431225263E-2</v>
      </c>
      <c r="D1644">
        <f>LOG10(2.998767)</f>
        <v>0.4769427229968175</v>
      </c>
    </row>
    <row r="1645" spans="1:4">
      <c r="A1645">
        <v>1.152161</v>
      </c>
      <c r="B1645">
        <v>3.0549689999999998</v>
      </c>
      <c r="C1645">
        <f>LOG10(1.152161)</f>
        <v>6.1513170516047572E-2</v>
      </c>
      <c r="D1645">
        <f>LOG10(3.054969)</f>
        <v>0.48500680764003073</v>
      </c>
    </row>
    <row r="1646" spans="1:4">
      <c r="A1646">
        <v>1.1599090000000001</v>
      </c>
      <c r="B1646">
        <v>3.2818239999999999</v>
      </c>
      <c r="C1646">
        <f>LOG10(1.159909)</f>
        <v>6.442391823717411E-2</v>
      </c>
      <c r="D1646">
        <f>LOG10(3.281824)</f>
        <v>0.51611528668710605</v>
      </c>
    </row>
    <row r="1647" spans="1:4">
      <c r="A1647">
        <v>1.1621269999999999</v>
      </c>
      <c r="B1647">
        <v>3.091704</v>
      </c>
      <c r="C1647">
        <f>LOG10(1.162127)</f>
        <v>6.525359138076231E-2</v>
      </c>
      <c r="D1647">
        <f>LOG10(3.091704)</f>
        <v>0.49019790784648243</v>
      </c>
    </row>
    <row r="1648" spans="1:4">
      <c r="A1648">
        <v>1.1808110000000001</v>
      </c>
      <c r="B1648">
        <v>3.1917520000000001</v>
      </c>
      <c r="C1648">
        <f>LOG10(1.180811)</f>
        <v>7.2180390225112509E-2</v>
      </c>
      <c r="D1648">
        <f>LOG10(3.191752)</f>
        <v>0.50402913919004555</v>
      </c>
    </row>
    <row r="1649" spans="1:4">
      <c r="A1649">
        <v>1.166118</v>
      </c>
      <c r="B1649">
        <v>3.3439559999999999</v>
      </c>
      <c r="C1649">
        <f>LOG10(1.166118)</f>
        <v>6.6742499098755528E-2</v>
      </c>
      <c r="D1649">
        <f>LOG10(3.343956)</f>
        <v>0.52426055432830598</v>
      </c>
    </row>
    <row r="1650" spans="1:4">
      <c r="A1650">
        <v>1.1617459999999999</v>
      </c>
      <c r="B1650">
        <v>3.1623800000000002</v>
      </c>
      <c r="C1650">
        <f>LOG10(1.161746)</f>
        <v>6.5111185837010407E-2</v>
      </c>
      <c r="D1650">
        <f>LOG10(3.16238)</f>
        <v>0.50001405471301175</v>
      </c>
    </row>
    <row r="1651" spans="1:4">
      <c r="A1651">
        <v>1.134363</v>
      </c>
      <c r="B1651">
        <v>3.2480739999999999</v>
      </c>
      <c r="C1651">
        <f>LOG10(1.134363)</f>
        <v>5.4752052502345903E-2</v>
      </c>
      <c r="D1651">
        <f>LOG10(3.248074)</f>
        <v>0.51162591509671307</v>
      </c>
    </row>
    <row r="1652" spans="1:4">
      <c r="A1652">
        <v>1.170147</v>
      </c>
      <c r="B1652">
        <v>3.188218</v>
      </c>
      <c r="C1652">
        <f>LOG10(1.170147)</f>
        <v>6.824042352277121E-2</v>
      </c>
      <c r="D1652">
        <f>LOG10(3.188218)</f>
        <v>0.50354800938660782</v>
      </c>
    </row>
    <row r="1653" spans="1:4">
      <c r="A1653">
        <v>1.159008</v>
      </c>
      <c r="B1653">
        <v>3.1459090000000001</v>
      </c>
      <c r="C1653">
        <f>LOG10(1.159008)</f>
        <v>6.4086433671848297E-2</v>
      </c>
      <c r="D1653">
        <f>LOG10(3.145909)</f>
        <v>0.49774615586849946</v>
      </c>
    </row>
    <row r="1654" spans="1:4">
      <c r="A1654">
        <v>1.143777</v>
      </c>
      <c r="B1654">
        <v>3.0340050000000001</v>
      </c>
      <c r="C1654">
        <f>LOG10(1.143777)</f>
        <v>5.8341359151102654E-2</v>
      </c>
      <c r="D1654">
        <f>LOG10(3.034005)</f>
        <v>0.48201629216284758</v>
      </c>
    </row>
    <row r="1655" spans="1:4">
      <c r="A1655">
        <v>1.179727</v>
      </c>
      <c r="B1655">
        <v>3.2721390000000001</v>
      </c>
      <c r="C1655">
        <f>LOG10(1.179727)</f>
        <v>7.1781519076691586E-2</v>
      </c>
      <c r="D1655">
        <f>LOG10(3.272139)</f>
        <v>0.5148317441590583</v>
      </c>
    </row>
    <row r="1656" spans="1:4">
      <c r="A1656">
        <v>1.173686</v>
      </c>
      <c r="B1656">
        <v>3.2916970000000001</v>
      </c>
      <c r="C1656">
        <f>LOG10(1.173686)</f>
        <v>6.9551924247848673E-2</v>
      </c>
      <c r="D1656">
        <f>LOG10(3.291697)</f>
        <v>0.51741985166650717</v>
      </c>
    </row>
    <row r="1657" spans="1:4">
      <c r="A1657">
        <v>1.129793</v>
      </c>
      <c r="B1657">
        <v>3.4329510000000001</v>
      </c>
      <c r="C1657">
        <f>LOG10(1.129793)</f>
        <v>5.2998879595926141E-2</v>
      </c>
      <c r="D1657">
        <f>LOG10(3.432951)</f>
        <v>0.53566760459630502</v>
      </c>
    </row>
    <row r="1658" spans="1:4">
      <c r="A1658">
        <v>1.1424080000000001</v>
      </c>
      <c r="B1658">
        <v>3.3479890000000001</v>
      </c>
      <c r="C1658">
        <f>LOG10(1.142408)</f>
        <v>5.7821235699334998E-2</v>
      </c>
      <c r="D1658">
        <f>LOG10(3.347989)</f>
        <v>0.52478402242541922</v>
      </c>
    </row>
    <row r="1659" spans="1:4">
      <c r="A1659">
        <v>1.1343479999999999</v>
      </c>
      <c r="B1659">
        <v>3.4481310000000001</v>
      </c>
      <c r="C1659">
        <f>LOG10(1.134348)</f>
        <v>5.4746309666675173E-2</v>
      </c>
      <c r="D1659">
        <f>LOG10(3.448131)</f>
        <v>0.53758375700661831</v>
      </c>
    </row>
    <row r="1660" spans="1:4">
      <c r="A1660">
        <v>1.1298999999999999</v>
      </c>
      <c r="B1660">
        <v>3.4192089999999999</v>
      </c>
      <c r="C1660">
        <f>LOG10(1.1299)</f>
        <v>5.3040008642746495E-2</v>
      </c>
      <c r="D1660">
        <f>LOG10(3.419209)</f>
        <v>0.5339256479661082</v>
      </c>
    </row>
    <row r="1661" spans="1:4">
      <c r="A1661">
        <v>1.1448449999999999</v>
      </c>
      <c r="B1661">
        <v>3.2172999999999998</v>
      </c>
      <c r="C1661">
        <f>LOG10(1.144845)</f>
        <v>5.8746691740181572E-2</v>
      </c>
      <c r="D1661">
        <f>LOG10(3.2173)</f>
        <v>0.50749155896536924</v>
      </c>
    </row>
    <row r="1662" spans="1:4">
      <c r="A1662">
        <v>1.152277</v>
      </c>
      <c r="B1662">
        <v>3.238855</v>
      </c>
      <c r="C1662">
        <f>LOG10(1.152277)</f>
        <v>6.1556893245791944E-2</v>
      </c>
      <c r="D1662">
        <f>LOG10(3.238855)</f>
        <v>0.51039150555588098</v>
      </c>
    </row>
    <row r="1663" spans="1:4">
      <c r="A1663">
        <v>1.1331629999999999</v>
      </c>
      <c r="B1663">
        <v>3.194617</v>
      </c>
      <c r="C1663">
        <f>LOG10(1.133163)</f>
        <v>5.4292385511152751E-2</v>
      </c>
      <c r="D1663">
        <f>LOG10(3.194617)</f>
        <v>0.5044187984077082</v>
      </c>
    </row>
    <row r="1664" spans="1:4">
      <c r="A1664">
        <v>1.11609</v>
      </c>
      <c r="B1664">
        <v>3.2133440000000002</v>
      </c>
      <c r="C1664">
        <f>LOG10(1.11609)</f>
        <v>4.7699216937928536E-2</v>
      </c>
      <c r="D1664">
        <f>LOG10(3.213344)</f>
        <v>0.50695722082220929</v>
      </c>
    </row>
    <row r="1665" spans="1:4">
      <c r="A1665">
        <v>1.1414709999999999</v>
      </c>
      <c r="B1665">
        <v>3.2470750000000002</v>
      </c>
      <c r="C1665">
        <f>LOG10(1.141471)</f>
        <v>5.7464882361548723E-2</v>
      </c>
      <c r="D1665">
        <f>LOG10(3.247075)</f>
        <v>0.51149231995029143</v>
      </c>
    </row>
    <row r="1666" spans="1:4">
      <c r="A1666">
        <v>1.157713</v>
      </c>
      <c r="B1666">
        <v>3.4422480000000002</v>
      </c>
      <c r="C1666">
        <f>LOG10(1.157713)</f>
        <v>6.3600910026453419E-2</v>
      </c>
      <c r="D1666">
        <f>LOG10(3.442248)</f>
        <v>0.5368421562738086</v>
      </c>
    </row>
    <row r="1667" spans="1:4">
      <c r="A1667">
        <v>1.1488370000000001</v>
      </c>
      <c r="B1667">
        <v>3.3816459999999999</v>
      </c>
      <c r="C1667">
        <f>LOG10(1.148837)</f>
        <v>6.0258414221576774E-2</v>
      </c>
      <c r="D1667">
        <f>LOG10(3.381646)</f>
        <v>0.52912814250084506</v>
      </c>
    </row>
    <row r="1668" spans="1:4">
      <c r="A1668">
        <v>1.161416</v>
      </c>
      <c r="B1668">
        <v>3.0328520000000001</v>
      </c>
      <c r="C1668">
        <f>LOG10(1.161416)</f>
        <v>6.4987804703889276E-2</v>
      </c>
      <c r="D1668">
        <f>LOG10(3.032852)</f>
        <v>0.48185121771205264</v>
      </c>
    </row>
    <row r="1669" spans="1:4">
      <c r="A1669">
        <v>1.1464730000000001</v>
      </c>
      <c r="B1669">
        <v>3.1700029999999999</v>
      </c>
      <c r="C1669">
        <f>LOG10(1.146473)</f>
        <v>5.9363831338887257E-2</v>
      </c>
      <c r="D1669">
        <f>LOG10(3.170003)</f>
        <v>0.50105967322179856</v>
      </c>
    </row>
    <row r="1670" spans="1:4">
      <c r="A1670">
        <v>1.1664380000000001</v>
      </c>
      <c r="B1670">
        <v>3.0568789999999999</v>
      </c>
      <c r="C1670">
        <f>LOG10(1.166438)</f>
        <v>6.6861659569141613E-2</v>
      </c>
      <c r="D1670">
        <f>LOG10(3.056879)</f>
        <v>0.48527824845054784</v>
      </c>
    </row>
    <row r="1671" spans="1:4">
      <c r="A1671">
        <v>1.1443300000000001</v>
      </c>
      <c r="B1671">
        <v>3.0332490000000001</v>
      </c>
      <c r="C1671">
        <f>LOG10(1.14433)</f>
        <v>5.8551283646039849E-2</v>
      </c>
      <c r="D1671">
        <f>LOG10(3.033249)</f>
        <v>0.48190806309249118</v>
      </c>
    </row>
    <row r="1672" spans="1:4">
      <c r="A1672">
        <v>1.1382190000000001</v>
      </c>
      <c r="B1672">
        <v>3.0150160000000001</v>
      </c>
      <c r="C1672">
        <f>LOG10(1.138219)</f>
        <v>5.6225830900038513E-2</v>
      </c>
      <c r="D1672">
        <f>LOG10(3.015016)</f>
        <v>0.47928962118372331</v>
      </c>
    </row>
    <row r="1673" spans="1:4">
      <c r="A1673">
        <v>1.171543</v>
      </c>
      <c r="B1673">
        <v>3.0875189999999999</v>
      </c>
      <c r="C1673">
        <f>LOG10(1.171543)</f>
        <v>6.875823345368387E-2</v>
      </c>
      <c r="D1673">
        <f>LOG10(3.087519)</f>
        <v>0.48960963884092595</v>
      </c>
    </row>
    <row r="1674" spans="1:4">
      <c r="A1674">
        <v>1.159735</v>
      </c>
      <c r="B1674">
        <v>3.050125</v>
      </c>
      <c r="C1674">
        <f>LOG10(1.159735)</f>
        <v>6.4358764066971316E-2</v>
      </c>
      <c r="D1674">
        <f>LOG10(3.050125)</f>
        <v>0.4843176379362395</v>
      </c>
    </row>
    <row r="1675" spans="1:4">
      <c r="A1675">
        <v>1.1491229999999999</v>
      </c>
      <c r="B1675">
        <v>3.137467</v>
      </c>
      <c r="C1675">
        <f>LOG10(1.149123)</f>
        <v>6.0366517254236661E-2</v>
      </c>
      <c r="D1675">
        <f>LOG10(3.137467)</f>
        <v>0.49657916658685602</v>
      </c>
    </row>
    <row r="1676" spans="1:4">
      <c r="A1676">
        <v>1.1185890000000001</v>
      </c>
      <c r="B1676">
        <v>2.9764819999999999</v>
      </c>
      <c r="C1676">
        <f>LOG10(1.118589)</f>
        <v>4.867054424058443E-2</v>
      </c>
      <c r="D1676">
        <f>LOG10(2.976482)</f>
        <v>0.47370326053994366</v>
      </c>
    </row>
    <row r="1677" spans="1:4">
      <c r="A1677">
        <v>1.1182460000000001</v>
      </c>
      <c r="B1677">
        <v>3.0109490000000001</v>
      </c>
      <c r="C1677">
        <f>LOG10(1.118246)</f>
        <v>4.8537353362884138E-2</v>
      </c>
      <c r="D1677">
        <f>LOG10(3.010949)</f>
        <v>0.47870339941639334</v>
      </c>
    </row>
    <row r="1678" spans="1:4">
      <c r="A1678">
        <v>1.1359300000000001</v>
      </c>
      <c r="B1678">
        <v>3.1158589999999999</v>
      </c>
      <c r="C1678">
        <f>LOG10(1.13593)</f>
        <v>5.5351569446821999E-2</v>
      </c>
      <c r="D1678">
        <f>LOG10(3.115859)</f>
        <v>0.49357779659120282</v>
      </c>
    </row>
    <row r="1679" spans="1:4">
      <c r="A1679">
        <v>1.151232</v>
      </c>
      <c r="B1679">
        <v>2.9837440000000002</v>
      </c>
      <c r="C1679">
        <f>LOG10(1.151232)</f>
        <v>6.1162852879791479E-2</v>
      </c>
      <c r="D1679">
        <f>LOG10(2.983744)</f>
        <v>0.47476155869448877</v>
      </c>
    </row>
    <row r="1680" spans="1:4">
      <c r="A1680">
        <v>1.1483620000000001</v>
      </c>
      <c r="B1680">
        <v>2.8590309999999999</v>
      </c>
      <c r="C1680">
        <f>LOG10(1.148362)</f>
        <v>6.0078812992563492E-2</v>
      </c>
      <c r="D1680">
        <f>LOG10(2.859031)</f>
        <v>0.45621886436671549</v>
      </c>
    </row>
    <row r="1681" spans="1:4">
      <c r="A1681">
        <v>1.096868</v>
      </c>
      <c r="B1681">
        <v>2.8959760000000001</v>
      </c>
      <c r="C1681">
        <f>LOG10(1.096868)</f>
        <v>4.0154366571149909E-2</v>
      </c>
      <c r="D1681">
        <f>LOG10(2.895976)</f>
        <v>0.46179495838465506</v>
      </c>
    </row>
    <row r="1682" spans="1:4">
      <c r="A1682">
        <v>1.0992519999999999</v>
      </c>
      <c r="B1682">
        <v>3.0132680000000001</v>
      </c>
      <c r="C1682">
        <f>LOG10(1.099252)</f>
        <v>4.1097264456104649E-2</v>
      </c>
      <c r="D1682">
        <f>LOG10(3.013268)</f>
        <v>0.47903775953432409</v>
      </c>
    </row>
    <row r="1683" spans="1:4">
      <c r="A1683">
        <v>1.109572</v>
      </c>
      <c r="B1683">
        <v>2.9697439999999999</v>
      </c>
      <c r="C1683">
        <f>LOG10(1.109572)</f>
        <v>4.5155488801598649E-2</v>
      </c>
      <c r="D1683">
        <f>LOG10(2.969744)</f>
        <v>0.47271901356663587</v>
      </c>
    </row>
    <row r="1684" spans="1:4">
      <c r="A1684">
        <v>1.095772</v>
      </c>
      <c r="B1684">
        <v>2.97519</v>
      </c>
      <c r="C1684">
        <f>LOG10(1.095772)</f>
        <v>3.9720198817384242E-2</v>
      </c>
      <c r="D1684">
        <f>LOG10(2.97519)</f>
        <v>0.47351470563321058</v>
      </c>
    </row>
    <row r="1685" spans="1:4">
      <c r="A1685">
        <v>1.0988249999999999</v>
      </c>
      <c r="B1685">
        <v>3.0334379999999999</v>
      </c>
      <c r="C1685">
        <f>LOG10(1.098825)</f>
        <v>4.092853174464333E-2</v>
      </c>
      <c r="D1685">
        <f>LOG10(3.033438)</f>
        <v>0.48193512288875434</v>
      </c>
    </row>
    <row r="1686" spans="1:4">
      <c r="A1686">
        <v>1.0927180000000001</v>
      </c>
      <c r="B1686">
        <v>2.8119000000000001</v>
      </c>
      <c r="C1686">
        <f>LOG10(1.092718)</f>
        <v>3.8508097132030766E-2</v>
      </c>
      <c r="D1686">
        <f>LOG10(2.8119)</f>
        <v>0.44899987174592826</v>
      </c>
    </row>
    <row r="1687" spans="1:4">
      <c r="A1687">
        <v>1.076716</v>
      </c>
      <c r="B1687">
        <v>2.7499509999999998</v>
      </c>
      <c r="C1687">
        <f>LOG10(1.076716)</f>
        <v>3.210116671695102E-2</v>
      </c>
      <c r="D1687">
        <f>LOG10(2.749951)</f>
        <v>0.43932495542327904</v>
      </c>
    </row>
    <row r="1688" spans="1:4">
      <c r="A1688">
        <v>1.1100920000000001</v>
      </c>
      <c r="B1688">
        <v>2.826047</v>
      </c>
      <c r="C1688">
        <f>LOG10(1.110092)</f>
        <v>4.5358972873711489E-2</v>
      </c>
      <c r="D1688">
        <f>LOG10(2.826047)</f>
        <v>0.45117938032602667</v>
      </c>
    </row>
    <row r="1689" spans="1:4">
      <c r="A1689">
        <v>1.092225</v>
      </c>
      <c r="B1689">
        <v>2.9106459999999998</v>
      </c>
      <c r="C1689">
        <f>LOG10(1.092225)</f>
        <v>3.831211290433071E-2</v>
      </c>
      <c r="D1689">
        <f>LOG10(2.910646)</f>
        <v>0.46398938867640943</v>
      </c>
    </row>
    <row r="1690" spans="1:4">
      <c r="A1690">
        <v>1.1268940000000001</v>
      </c>
      <c r="B1690">
        <v>2.9073850000000001</v>
      </c>
      <c r="C1690">
        <f>LOG10(1.126894)</f>
        <v>5.1883066551750852E-2</v>
      </c>
      <c r="D1690">
        <f>LOG10(2.907385)</f>
        <v>0.46350254546302883</v>
      </c>
    </row>
    <row r="1691" spans="1:4">
      <c r="A1691">
        <v>1.0947450000000001</v>
      </c>
      <c r="B1691">
        <v>2.8627729999999998</v>
      </c>
      <c r="C1691">
        <f>LOG10(1.094745)</f>
        <v>3.9312970326946119E-2</v>
      </c>
      <c r="D1691">
        <f>LOG10(2.862773)</f>
        <v>0.45678691254976145</v>
      </c>
    </row>
    <row r="1692" spans="1:4">
      <c r="A1692">
        <v>1.100816</v>
      </c>
      <c r="B1692">
        <v>2.7842289999999998</v>
      </c>
      <c r="C1692">
        <f>LOG10(1.100816)</f>
        <v>4.1714733265356498E-2</v>
      </c>
      <c r="D1692">
        <f>LOG10(2.784229)</f>
        <v>0.44470495268646693</v>
      </c>
    </row>
    <row r="1693" spans="1:4">
      <c r="A1693">
        <v>1.087825</v>
      </c>
      <c r="B1693">
        <v>2.971984</v>
      </c>
      <c r="C1693">
        <f>LOG10(1.087825)</f>
        <v>3.6559035392267444E-2</v>
      </c>
      <c r="D1693">
        <f>LOG10(2.971984)</f>
        <v>0.47304646702312214</v>
      </c>
    </row>
    <row r="1694" spans="1:4">
      <c r="A1694">
        <v>1.0657190000000001</v>
      </c>
      <c r="B1694">
        <v>2.9717199999999999</v>
      </c>
      <c r="C1694">
        <f>LOG10(1.065719)</f>
        <v>2.764270859597287E-2</v>
      </c>
      <c r="D1694">
        <f>LOG10(2.97172)</f>
        <v>0.47300788712637831</v>
      </c>
    </row>
    <row r="1695" spans="1:4">
      <c r="A1695">
        <v>1.0843149999999999</v>
      </c>
      <c r="B1695">
        <v>2.9823279999999999</v>
      </c>
      <c r="C1695">
        <f>LOG10(1.084315)</f>
        <v>3.5155465679180188E-2</v>
      </c>
      <c r="D1695">
        <f>LOG10(2.982328)</f>
        <v>0.47455540597024332</v>
      </c>
    </row>
    <row r="1696" spans="1:4">
      <c r="A1696">
        <v>1.0716270000000001</v>
      </c>
      <c r="B1696">
        <v>2.8852280000000001</v>
      </c>
      <c r="C1696">
        <f>LOG10(1.071627)</f>
        <v>3.0043647268469285E-2</v>
      </c>
      <c r="D1696">
        <f>LOG10(2.885228)</f>
        <v>0.46018013819516979</v>
      </c>
    </row>
    <row r="1697" spans="1:4">
      <c r="A1697">
        <v>1.0600160000000001</v>
      </c>
      <c r="B1697">
        <v>2.8595820000000001</v>
      </c>
      <c r="C1697">
        <f>LOG10(1.060016)</f>
        <v>2.5312420603702226E-2</v>
      </c>
      <c r="D1697">
        <f>LOG10(2.859582)</f>
        <v>0.45630255468122682</v>
      </c>
    </row>
    <row r="1698" spans="1:4">
      <c r="A1698">
        <v>1.0594300000000001</v>
      </c>
      <c r="B1698">
        <v>2.9280189999999999</v>
      </c>
      <c r="C1698">
        <f>LOG10(1.05943)</f>
        <v>2.5072266740022459E-2</v>
      </c>
      <c r="D1698">
        <f>LOG10(2.928019)</f>
        <v>0.46657389054495524</v>
      </c>
    </row>
    <row r="1699" spans="1:4">
      <c r="A1699">
        <v>1.0514380000000001</v>
      </c>
      <c r="B1699">
        <v>3.2365520000000001</v>
      </c>
      <c r="C1699">
        <f>LOG10(1.051438)</f>
        <v>2.1783668794341012E-2</v>
      </c>
      <c r="D1699">
        <f>LOG10(3.236552)</f>
        <v>0.51008258899388148</v>
      </c>
    </row>
    <row r="1700" spans="1:4">
      <c r="A1700">
        <v>1.046462</v>
      </c>
      <c r="B1700">
        <v>3.0695130000000002</v>
      </c>
      <c r="C1700">
        <f>LOG10(1.046462)</f>
        <v>1.9723462497975717E-2</v>
      </c>
      <c r="D1700">
        <f>LOG10(3.069513)</f>
        <v>0.48706947704399467</v>
      </c>
    </row>
    <row r="1701" spans="1:4">
      <c r="A1701">
        <v>1.0447850000000001</v>
      </c>
      <c r="B1701">
        <v>3.3051949999999999</v>
      </c>
      <c r="C1701">
        <f>LOG10(1.044785)</f>
        <v>1.9026928800837804E-2</v>
      </c>
      <c r="D1701">
        <f>LOG10(3.305195)</f>
        <v>0.51919708709721923</v>
      </c>
    </row>
    <row r="1702" spans="1:4">
      <c r="A1702">
        <v>1.083445</v>
      </c>
      <c r="B1702">
        <v>3.4156499999999999</v>
      </c>
      <c r="C1702">
        <f>LOG10(1.083445)</f>
        <v>3.4806869691117029E-2</v>
      </c>
      <c r="D1702">
        <f>LOG10(3.41565)</f>
        <v>0.53347336235179166</v>
      </c>
    </row>
    <row r="1703" spans="1:4">
      <c r="A1703">
        <v>1.070554</v>
      </c>
      <c r="B1703">
        <v>3.071196</v>
      </c>
      <c r="C1703">
        <f>LOG10(1.070554)</f>
        <v>2.9608578506255458E-2</v>
      </c>
      <c r="D1703">
        <f>LOG10(3.071196)</f>
        <v>0.4873075334740728</v>
      </c>
    </row>
    <row r="1704" spans="1:4">
      <c r="A1704">
        <v>1.0792189999999999</v>
      </c>
      <c r="B1704">
        <v>3.0148429999999999</v>
      </c>
      <c r="C1704">
        <f>LOG10(1.079219)</f>
        <v>3.3109582626152968E-2</v>
      </c>
      <c r="D1704">
        <f>LOG10(3.014843)</f>
        <v>0.4792647008844626</v>
      </c>
    </row>
    <row r="1705" spans="1:4">
      <c r="A1705">
        <v>1.079599</v>
      </c>
      <c r="B1705">
        <v>2.9211429999999998</v>
      </c>
      <c r="C1705">
        <f>LOG10(1.079599)</f>
        <v>3.3262473610782238E-2</v>
      </c>
      <c r="D1705">
        <f>LOG10(2.921143)</f>
        <v>0.46555281770301993</v>
      </c>
    </row>
    <row r="1706" spans="1:4">
      <c r="A1706">
        <v>1.083931</v>
      </c>
      <c r="B1706">
        <v>2.9968759999999999</v>
      </c>
      <c r="C1706">
        <f>LOG10(1.083931)</f>
        <v>3.500163711655916E-2</v>
      </c>
      <c r="D1706">
        <f>LOG10(2.996876)</f>
        <v>0.47666877376651468</v>
      </c>
    </row>
    <row r="1707" spans="1:4">
      <c r="A1707">
        <v>1.073105</v>
      </c>
      <c r="B1707">
        <v>3.2648350000000002</v>
      </c>
      <c r="C1707">
        <f>LOG10(1.073105)</f>
        <v>3.0642218414760641E-2</v>
      </c>
      <c r="D1707">
        <f>LOG10(3.264835)</f>
        <v>0.51386123755588786</v>
      </c>
    </row>
    <row r="1708" spans="1:4">
      <c r="A1708">
        <v>1.082981</v>
      </c>
      <c r="B1708">
        <v>3.225657</v>
      </c>
      <c r="C1708">
        <f>LOG10(1.082981)</f>
        <v>3.4620837357047567E-2</v>
      </c>
      <c r="D1708">
        <f>LOG10(3.225657)</f>
        <v>0.50861818483626653</v>
      </c>
    </row>
    <row r="1709" spans="1:4">
      <c r="A1709">
        <v>1.075982</v>
      </c>
      <c r="B1709">
        <v>3.055043</v>
      </c>
      <c r="C1709">
        <f>LOG10(1.075982)</f>
        <v>3.1805006120276196E-2</v>
      </c>
      <c r="D1709">
        <f>LOG10(3.055043)</f>
        <v>0.48501732735477515</v>
      </c>
    </row>
    <row r="1710" spans="1:4">
      <c r="A1710">
        <v>1.075272</v>
      </c>
      <c r="B1710">
        <v>3.0394999999999999</v>
      </c>
      <c r="C1710">
        <f>LOG10(1.075272)</f>
        <v>3.1518336955828764E-2</v>
      </c>
      <c r="D1710">
        <f>LOG10(3.0395)</f>
        <v>0.48280214772045987</v>
      </c>
    </row>
    <row r="1711" spans="1:4">
      <c r="A1711">
        <v>1.0735479999999999</v>
      </c>
      <c r="B1711">
        <v>3.1957779999999998</v>
      </c>
      <c r="C1711">
        <f>LOG10(1.073548)</f>
        <v>3.0821467187817402E-2</v>
      </c>
      <c r="D1711">
        <f>LOG10(3.195778)</f>
        <v>0.50457660270588922</v>
      </c>
    </row>
    <row r="1712" spans="1:4">
      <c r="A1712">
        <v>1.0544770000000001</v>
      </c>
      <c r="B1712">
        <v>3.2022409999999999</v>
      </c>
      <c r="C1712">
        <f>LOG10(1.054477)</f>
        <v>2.3037111451494483E-2</v>
      </c>
      <c r="D1712">
        <f>LOG10(3.202241)</f>
        <v>0.50545401372678744</v>
      </c>
    </row>
    <row r="1713" spans="1:4">
      <c r="A1713">
        <v>1.0705279999999999</v>
      </c>
      <c r="B1713">
        <v>3.2274440000000002</v>
      </c>
      <c r="C1713">
        <f>LOG10(1.070528)</f>
        <v>2.9598030889181403E-2</v>
      </c>
      <c r="D1713">
        <f>LOG10(3.227444)</f>
        <v>0.50885871547696138</v>
      </c>
    </row>
    <row r="1714" spans="1:4">
      <c r="A1714">
        <v>1.073545</v>
      </c>
      <c r="B1714">
        <v>3.2836219999999998</v>
      </c>
      <c r="C1714">
        <f>LOG10(1.073545)</f>
        <v>3.0820253562282133E-2</v>
      </c>
      <c r="D1714">
        <f>LOG10(3.283622)</f>
        <v>0.51635315674132121</v>
      </c>
    </row>
    <row r="1715" spans="1:4">
      <c r="A1715">
        <v>1.0643899999999999</v>
      </c>
      <c r="B1715">
        <v>3.1097549999999998</v>
      </c>
      <c r="C1715">
        <f>LOG10(1.06439)</f>
        <v>2.7100785679031708E-2</v>
      </c>
      <c r="D1715">
        <f>LOG10(3.109755)</f>
        <v>0.49272617476980601</v>
      </c>
    </row>
    <row r="1716" spans="1:4">
      <c r="A1716">
        <v>1.0729580000000001</v>
      </c>
      <c r="B1716">
        <v>3.1381209999999999</v>
      </c>
      <c r="C1716">
        <f>LOG10(1.072958)</f>
        <v>3.0582722222021116E-2</v>
      </c>
      <c r="D1716">
        <f>LOG10(3.138121)</f>
        <v>0.49666968514613463</v>
      </c>
    </row>
    <row r="1717" spans="1:4">
      <c r="A1717">
        <v>1.0569379999999999</v>
      </c>
      <c r="B1717">
        <v>3.4381569999999999</v>
      </c>
      <c r="C1717">
        <f>LOG10(1.056938)</f>
        <v>2.4049512333339278E-2</v>
      </c>
      <c r="D1717">
        <f>LOG10(3.438157)</f>
        <v>0.53632570442690697</v>
      </c>
    </row>
    <row r="1718" spans="1:4">
      <c r="A1718">
        <v>1.061126</v>
      </c>
      <c r="B1718">
        <v>3.3236110000000001</v>
      </c>
      <c r="C1718">
        <f>LOG10(1.061126)</f>
        <v>2.5766955867175041E-2</v>
      </c>
      <c r="D1718">
        <f>LOG10(3.323611)</f>
        <v>0.52161018766333933</v>
      </c>
    </row>
    <row r="1719" spans="1:4">
      <c r="A1719">
        <v>1.0761780000000001</v>
      </c>
      <c r="B1719">
        <v>3.0865239999999998</v>
      </c>
      <c r="C1719">
        <f>LOG10(1.076178)</f>
        <v>3.1884109642958902E-2</v>
      </c>
      <c r="D1719">
        <f>LOG10(3.086524)</f>
        <v>0.48946965827608868</v>
      </c>
    </row>
    <row r="1720" spans="1:4">
      <c r="A1720">
        <v>1.045383</v>
      </c>
      <c r="B1720">
        <v>3.21217</v>
      </c>
      <c r="C1720">
        <f>LOG10(1.045383)</f>
        <v>1.9275433329913116E-2</v>
      </c>
      <c r="D1720">
        <f>LOG10(3.21217)</f>
        <v>0.50679852169637185</v>
      </c>
    </row>
    <row r="1721" spans="1:4">
      <c r="A1721">
        <v>1.069375</v>
      </c>
      <c r="B1721">
        <v>3.0098889999999998</v>
      </c>
      <c r="C1721">
        <f>LOG10(1.069375)</f>
        <v>2.9130026885175481E-2</v>
      </c>
      <c r="D1721">
        <f>LOG10(3.009889)</f>
        <v>0.47855047978773901</v>
      </c>
    </row>
    <row r="1722" spans="1:4">
      <c r="A1722">
        <v>1.079574</v>
      </c>
      <c r="B1722">
        <v>3.1032630000000001</v>
      </c>
      <c r="C1722">
        <f>LOG10(1.079574)</f>
        <v>3.3252416647261446E-2</v>
      </c>
      <c r="D1722">
        <f>LOG10(3.103263)</f>
        <v>0.49181858338583606</v>
      </c>
    </row>
    <row r="1723" spans="1:4">
      <c r="A1723">
        <v>1.066935</v>
      </c>
      <c r="B1723">
        <v>3.0293160000000001</v>
      </c>
      <c r="C1723">
        <f>LOG10(1.066935)</f>
        <v>2.8137962066272518E-2</v>
      </c>
      <c r="D1723">
        <f>LOG10(3.029316)</f>
        <v>0.48134457868054836</v>
      </c>
    </row>
    <row r="1724" spans="1:4">
      <c r="A1724">
        <v>1.082973</v>
      </c>
      <c r="B1724">
        <v>3.080991</v>
      </c>
      <c r="C1724">
        <f>LOG10(1.082973)</f>
        <v>3.4617629204099491E-2</v>
      </c>
      <c r="D1724">
        <f>LOG10(3.080991)</f>
        <v>0.48869042968466347</v>
      </c>
    </row>
    <row r="1725" spans="1:4">
      <c r="A1725">
        <v>1.0557399999999999</v>
      </c>
      <c r="B1725">
        <v>3.545563</v>
      </c>
      <c r="C1725">
        <f>LOG10(1.05574)</f>
        <v>2.355697646645773E-2</v>
      </c>
      <c r="D1725">
        <f>LOG10(3.545563)</f>
        <v>0.54968520662193043</v>
      </c>
    </row>
    <row r="1726" spans="1:4">
      <c r="A1726">
        <v>1.0501309999999999</v>
      </c>
      <c r="B1726">
        <v>3.4063750000000002</v>
      </c>
      <c r="C1726">
        <f>LOG10(1.050131)</f>
        <v>2.1243479096996462E-2</v>
      </c>
      <c r="D1726">
        <f>LOG10(3.406375)</f>
        <v>0.53229245674047521</v>
      </c>
    </row>
    <row r="1727" spans="1:4">
      <c r="A1727">
        <v>1.056332</v>
      </c>
      <c r="B1727">
        <v>3.428531</v>
      </c>
      <c r="C1727">
        <f>LOG10(1.056332)</f>
        <v>2.3800436291709734E-2</v>
      </c>
      <c r="D1727">
        <f>LOG10(3.428531)</f>
        <v>0.53510808061139026</v>
      </c>
    </row>
    <row r="1728" spans="1:4">
      <c r="A1728">
        <v>1.0641449999999999</v>
      </c>
      <c r="B1728">
        <v>3.52582</v>
      </c>
      <c r="C1728">
        <f>LOG10(1.064145)</f>
        <v>2.7000808794896646E-2</v>
      </c>
      <c r="D1728">
        <f>LOG10(3.52582)</f>
        <v>0.54726013694737841</v>
      </c>
    </row>
    <row r="1729" spans="1:4">
      <c r="A1729">
        <v>1.0617589999999999</v>
      </c>
      <c r="B1729">
        <v>3.5915569999999999</v>
      </c>
      <c r="C1729">
        <f>LOG10(1.061759)</f>
        <v>2.6025950975428338E-2</v>
      </c>
      <c r="D1729">
        <f>LOG10(3.591557)</f>
        <v>0.55528276331812221</v>
      </c>
    </row>
    <row r="1730" spans="1:4">
      <c r="A1730">
        <v>1.0672600000000001</v>
      </c>
      <c r="B1730">
        <v>3.424102</v>
      </c>
      <c r="C1730">
        <f>LOG10(1.06726)</f>
        <v>2.8270232742297591E-2</v>
      </c>
      <c r="D1730">
        <f>LOG10(3.424102)</f>
        <v>0.5345466933232681</v>
      </c>
    </row>
    <row r="1731" spans="1:4">
      <c r="A1731">
        <v>1.0555840000000001</v>
      </c>
      <c r="B1731">
        <v>3.48047</v>
      </c>
      <c r="C1731">
        <f>LOG10(1.055584)</f>
        <v>2.3492798785249049E-2</v>
      </c>
      <c r="D1731">
        <f>LOG10(3.48047)</f>
        <v>0.54163789470056867</v>
      </c>
    </row>
    <row r="1732" spans="1:4">
      <c r="A1732">
        <v>1.065191</v>
      </c>
      <c r="B1732">
        <v>3.6463990000000002</v>
      </c>
      <c r="C1732">
        <f>LOG10(1.065191)</f>
        <v>2.7427488346278815E-2</v>
      </c>
      <c r="D1732">
        <f>LOG10(3.646399)</f>
        <v>0.56186418873402377</v>
      </c>
    </row>
    <row r="1733" spans="1:4">
      <c r="A1733">
        <v>1.0643560000000001</v>
      </c>
      <c r="B1733">
        <v>3.7326060000000001</v>
      </c>
      <c r="C1733">
        <f>LOG10(1.064356)</f>
        <v>2.7086912711203785E-2</v>
      </c>
      <c r="D1733">
        <f>LOG10(3.732606)</f>
        <v>0.57201214983615545</v>
      </c>
    </row>
    <row r="1734" spans="1:4">
      <c r="A1734">
        <v>1.05464</v>
      </c>
      <c r="B1734">
        <v>3.6582940000000002</v>
      </c>
      <c r="C1734">
        <f>LOG10(1.05464)</f>
        <v>2.3104239070010791E-2</v>
      </c>
      <c r="D1734">
        <f>LOG10(3.658294)</f>
        <v>0.56327860476175295</v>
      </c>
    </row>
    <row r="1735" spans="1:4">
      <c r="A1735">
        <v>1.0913839999999999</v>
      </c>
      <c r="B1735">
        <v>3.797355</v>
      </c>
      <c r="C1735">
        <f>LOG10(1.091384)</f>
        <v>3.7977582613110995E-2</v>
      </c>
      <c r="D1735">
        <f>LOG10(3.797355)</f>
        <v>0.5794811995454493</v>
      </c>
    </row>
    <row r="1736" spans="1:4">
      <c r="A1736">
        <v>1.0567059999999999</v>
      </c>
      <c r="B1736">
        <v>3.712046</v>
      </c>
      <c r="C1736">
        <f>LOG10(1.056706)</f>
        <v>2.3954173364046254E-2</v>
      </c>
      <c r="D1736">
        <f>LOG10(3.712046)</f>
        <v>0.56961334939552744</v>
      </c>
    </row>
    <row r="1737" spans="1:4">
      <c r="A1737">
        <v>1.0639080000000001</v>
      </c>
      <c r="B1737">
        <v>3.8045279999999999</v>
      </c>
      <c r="C1737">
        <f>LOG10(1.063908)</f>
        <v>2.6904074556946243E-2</v>
      </c>
      <c r="D1737">
        <f>LOG10(3.804528)</f>
        <v>0.58030078470434399</v>
      </c>
    </row>
    <row r="1738" spans="1:4">
      <c r="A1738">
        <v>1.0805940000000001</v>
      </c>
      <c r="B1738">
        <v>3.9375179999999999</v>
      </c>
      <c r="C1738">
        <f>LOG10(1.080594)</f>
        <v>3.3662551789031443E-2</v>
      </c>
      <c r="D1738">
        <f>LOG10(3.937518)</f>
        <v>0.59522255213932196</v>
      </c>
    </row>
    <row r="1739" spans="1:4">
      <c r="A1739">
        <v>1.0643609999999999</v>
      </c>
      <c r="B1739">
        <v>4.0730199999999996</v>
      </c>
      <c r="C1739">
        <f>LOG10(1.064361)</f>
        <v>2.7088952881324509E-2</v>
      </c>
      <c r="D1739">
        <f>LOG10(4.07302)</f>
        <v>0.60991654263407347</v>
      </c>
    </row>
    <row r="1740" spans="1:4">
      <c r="A1740">
        <v>1.078981</v>
      </c>
      <c r="B1740">
        <v>3.9210240000000001</v>
      </c>
      <c r="C1740">
        <f>LOG10(1.078981)</f>
        <v>3.3013797168723671E-2</v>
      </c>
      <c r="D1740">
        <f>LOG10(3.921024)</f>
        <v>0.59339950055974933</v>
      </c>
    </row>
    <row r="1741" spans="1:4">
      <c r="A1741">
        <v>1.0612060000000001</v>
      </c>
      <c r="B1741">
        <v>4.0284000000000004</v>
      </c>
      <c r="C1741">
        <f>LOG10(1.061206)</f>
        <v>2.5799696794201302E-2</v>
      </c>
      <c r="D1741">
        <f>LOG10(4.0284)</f>
        <v>0.60513258729563735</v>
      </c>
    </row>
    <row r="1742" spans="1:4">
      <c r="A1742">
        <v>1.0878000000000001</v>
      </c>
      <c r="B1742">
        <v>4.060346</v>
      </c>
      <c r="C1742">
        <f>LOG10(1.0878)</f>
        <v>3.6549054479152333E-2</v>
      </c>
      <c r="D1742">
        <f>LOG10(4.060346)</f>
        <v>0.60856304330333866</v>
      </c>
    </row>
    <row r="1743" spans="1:4">
      <c r="A1743">
        <v>1.0984529999999999</v>
      </c>
      <c r="B1743">
        <v>4.0244059999999999</v>
      </c>
      <c r="C1743">
        <f>LOG10(1.098453)</f>
        <v>4.0781479301746637E-2</v>
      </c>
      <c r="D1743">
        <f>LOG10(4.024406)</f>
        <v>0.60470178781954109</v>
      </c>
    </row>
    <row r="1744" spans="1:4">
      <c r="A1744">
        <v>1.083569</v>
      </c>
      <c r="B1744">
        <v>4.2243839999999997</v>
      </c>
      <c r="C1744">
        <f>LOG10(1.083569)</f>
        <v>3.4856571738094838E-2</v>
      </c>
      <c r="D1744">
        <f>LOG10(4.224384)</f>
        <v>0.62576338904779594</v>
      </c>
    </row>
    <row r="1745" spans="1:4">
      <c r="A1745">
        <v>1.0844990000000001</v>
      </c>
      <c r="B1745">
        <v>4.1613490000000004</v>
      </c>
      <c r="C1745">
        <f>LOG10(1.084499)</f>
        <v>3.5229155894073667E-2</v>
      </c>
      <c r="D1745">
        <f>LOG10(4.161349)</f>
        <v>0.61923414031065815</v>
      </c>
    </row>
    <row r="1746" spans="1:4">
      <c r="A1746">
        <v>1.078851</v>
      </c>
      <c r="B1746">
        <v>4.2933969999999997</v>
      </c>
      <c r="C1746">
        <f>LOG10(1.078851)</f>
        <v>3.296146845850368E-2</v>
      </c>
      <c r="D1746">
        <f>LOG10(4.293397)</f>
        <v>0.63280104849287355</v>
      </c>
    </row>
    <row r="1747" spans="1:4">
      <c r="A1747">
        <v>1.104063</v>
      </c>
      <c r="B1747">
        <v>4.5273649999999996</v>
      </c>
      <c r="C1747">
        <f>LOG10(1.104063)</f>
        <v>4.2993855795101905E-2</v>
      </c>
      <c r="D1747">
        <f>LOG10(4.527365)</f>
        <v>0.65584550909560924</v>
      </c>
    </row>
    <row r="1748" spans="1:4">
      <c r="A1748">
        <v>1.0788260000000001</v>
      </c>
      <c r="B1748">
        <v>4.0118140000000002</v>
      </c>
      <c r="C1748">
        <f>LOG10(1.078826)</f>
        <v>3.2951404522105376E-2</v>
      </c>
      <c r="D1748">
        <f>LOG10(4.011814)</f>
        <v>0.60334078959110715</v>
      </c>
    </row>
    <row r="1749" spans="1:4">
      <c r="A1749">
        <v>1.0765089999999999</v>
      </c>
      <c r="B1749">
        <v>4.3220029999999996</v>
      </c>
      <c r="C1749">
        <f>LOG10(1.076509)</f>
        <v>3.2017665031775576E-2</v>
      </c>
      <c r="D1749">
        <f>LOG10(4.322003)</f>
        <v>0.63568506400094615</v>
      </c>
    </row>
    <row r="1750" spans="1:4">
      <c r="A1750">
        <v>1.0675809999999999</v>
      </c>
      <c r="B1750">
        <v>4.1615250000000001</v>
      </c>
      <c r="C1750">
        <f>LOG10(1.067581)</f>
        <v>2.8400835939202163E-2</v>
      </c>
      <c r="D1750">
        <f>LOG10(4.161525)</f>
        <v>0.61925250796318454</v>
      </c>
    </row>
    <row r="1751" spans="1:4">
      <c r="A1751">
        <v>1.0779559999999999</v>
      </c>
      <c r="B1751">
        <v>4.2611230000000004</v>
      </c>
      <c r="C1751">
        <f>LOG10(1.077956)</f>
        <v>3.260103418356488E-2</v>
      </c>
      <c r="D1751">
        <f>LOG10(4.261123)</f>
        <v>0.62952407056522475</v>
      </c>
    </row>
    <row r="1752" spans="1:4">
      <c r="A1752">
        <v>1.096786</v>
      </c>
      <c r="B1752">
        <v>4.1163639999999999</v>
      </c>
      <c r="C1752">
        <f>LOG10(1.096786)</f>
        <v>4.0121898235183875E-2</v>
      </c>
      <c r="D1752">
        <f>LOG10(4.116364)</f>
        <v>0.61451377138722518</v>
      </c>
    </row>
    <row r="1753" spans="1:4">
      <c r="A1753">
        <v>1.0871599999999999</v>
      </c>
      <c r="B1753">
        <v>3.9576229999999999</v>
      </c>
      <c r="C1753">
        <f>LOG10(1.08716)</f>
        <v>3.6293464972733364E-2</v>
      </c>
      <c r="D1753">
        <f>LOG10(3.957623)</f>
        <v>0.59743442129590107</v>
      </c>
    </row>
    <row r="1754" spans="1:4">
      <c r="A1754">
        <v>1.0830169999999999</v>
      </c>
      <c r="B1754">
        <v>4.188447</v>
      </c>
      <c r="C1754">
        <f>LOG10(1.083017)</f>
        <v>3.4635273752048786E-2</v>
      </c>
      <c r="D1754">
        <f>LOG10(4.188447)</f>
        <v>0.62205302431389109</v>
      </c>
    </row>
    <row r="1755" spans="1:4">
      <c r="A1755">
        <v>1.0905549999999999</v>
      </c>
      <c r="B1755">
        <v>4.2336600000000004</v>
      </c>
      <c r="C1755">
        <f>LOG10(1.090555)</f>
        <v>3.7647573256459399E-2</v>
      </c>
      <c r="D1755">
        <f>LOG10(4.23366)</f>
        <v>0.62671597743093943</v>
      </c>
    </row>
    <row r="1756" spans="1:4">
      <c r="A1756">
        <v>1.079634</v>
      </c>
      <c r="B1756">
        <v>4.3097539999999999</v>
      </c>
      <c r="C1756">
        <f>LOG10(1.079634)</f>
        <v>3.3276552968468924E-2</v>
      </c>
      <c r="D1756">
        <f>LOG10(4.309754)</f>
        <v>0.63445248141558241</v>
      </c>
    </row>
    <row r="1757" spans="1:4">
      <c r="A1757">
        <v>1.092797</v>
      </c>
      <c r="B1757">
        <v>4.4599070000000003</v>
      </c>
      <c r="C1757">
        <f>LOG10(1.092797)</f>
        <v>3.853949409255062E-2</v>
      </c>
      <c r="D1757">
        <f>LOG10(4.459907)</f>
        <v>0.64932580270139684</v>
      </c>
    </row>
    <row r="1758" spans="1:4">
      <c r="A1758">
        <v>1.0711090000000001</v>
      </c>
      <c r="B1758">
        <v>4.4265439999999998</v>
      </c>
      <c r="C1758">
        <f>LOG10(1.071109)</f>
        <v>2.983366848806113E-2</v>
      </c>
      <c r="D1758">
        <f>LOG10(4.426544)</f>
        <v>0.64606478547922175</v>
      </c>
    </row>
    <row r="1759" spans="1:4">
      <c r="A1759">
        <v>1.0531740000000001</v>
      </c>
      <c r="B1759">
        <v>4.4859499999999999</v>
      </c>
      <c r="C1759">
        <f>LOG10(1.053174)</f>
        <v>2.2500129017482457E-2</v>
      </c>
      <c r="D1759">
        <f>LOG10(4.48595)</f>
        <v>0.65185442866622889</v>
      </c>
    </row>
    <row r="1760" spans="1:4">
      <c r="A1760">
        <v>1.053525</v>
      </c>
      <c r="B1760">
        <v>4.435289</v>
      </c>
      <c r="C1760">
        <f>LOG10(1.053525)</f>
        <v>2.2644845813340392E-2</v>
      </c>
      <c r="D1760">
        <f>LOG10(4.435289)</f>
        <v>0.64692192338219345</v>
      </c>
    </row>
    <row r="1761" spans="1:4">
      <c r="A1761">
        <v>1.064154</v>
      </c>
      <c r="B1761">
        <v>4.4963189999999997</v>
      </c>
      <c r="C1761">
        <f>LOG10(1.064154)</f>
        <v>2.7004481822358685E-2</v>
      </c>
      <c r="D1761">
        <f>LOG10(4.496319)</f>
        <v>0.65285711551143166</v>
      </c>
    </row>
    <row r="1762" spans="1:4">
      <c r="A1762">
        <v>1.058022</v>
      </c>
      <c r="B1762">
        <v>4.3848729999999998</v>
      </c>
      <c r="C1762">
        <f>LOG10(1.058022)</f>
        <v>2.4494698303387727E-2</v>
      </c>
      <c r="D1762">
        <f>LOG10(4.384873)</f>
        <v>0.64195701932168692</v>
      </c>
    </row>
    <row r="1763" spans="1:4">
      <c r="A1763">
        <v>1.064049</v>
      </c>
      <c r="B1763">
        <v>4.3399799999999997</v>
      </c>
      <c r="C1763">
        <f>LOG10(1.064049)</f>
        <v>2.6961627902279774E-2</v>
      </c>
      <c r="D1763">
        <f>LOG10(4.33998)</f>
        <v>0.63748772815083976</v>
      </c>
    </row>
    <row r="1764" spans="1:4">
      <c r="A1764">
        <v>1.050659</v>
      </c>
      <c r="B1764">
        <v>4.0999489999999996</v>
      </c>
      <c r="C1764">
        <f>LOG10(1.050659)</f>
        <v>2.1461785059299514E-2</v>
      </c>
      <c r="D1764">
        <f>LOG10(4.099949)</f>
        <v>0.61277845448648316</v>
      </c>
    </row>
    <row r="1765" spans="1:4">
      <c r="A1765">
        <v>1.059234</v>
      </c>
      <c r="B1765">
        <v>4.2975070000000004</v>
      </c>
      <c r="C1765">
        <f>LOG10(1.059234)</f>
        <v>2.4991912593545332E-2</v>
      </c>
      <c r="D1765">
        <f>LOG10(4.297507)</f>
        <v>0.63321659276081144</v>
      </c>
    </row>
    <row r="1766" spans="1:4">
      <c r="A1766">
        <v>1.0625599999999999</v>
      </c>
      <c r="B1766">
        <v>4.3529210000000003</v>
      </c>
      <c r="C1766">
        <f>LOG10(1.06256)</f>
        <v>2.635346289476884E-2</v>
      </c>
      <c r="D1766">
        <f>LOG10(4.352921)</f>
        <v>0.63878078533442495</v>
      </c>
    </row>
    <row r="1767" spans="1:4">
      <c r="A1767">
        <v>1.059178</v>
      </c>
      <c r="B1767">
        <v>4.2676429999999996</v>
      </c>
      <c r="C1767">
        <f>LOG10(1.059178)</f>
        <v>2.4968951534986118E-2</v>
      </c>
      <c r="D1767">
        <f>LOG10(4.267643)</f>
        <v>0.63018808235160062</v>
      </c>
    </row>
    <row r="1768" spans="1:4">
      <c r="A1768">
        <v>1.0623149999999999</v>
      </c>
      <c r="B1768">
        <v>4.1182650000000001</v>
      </c>
      <c r="C1768">
        <f>LOG10(1.062315)</f>
        <v>2.6253313805022074E-2</v>
      </c>
      <c r="D1768">
        <f>LOG10(4.118265)</f>
        <v>0.61471428893932489</v>
      </c>
    </row>
    <row r="1769" spans="1:4">
      <c r="A1769">
        <v>1.044311</v>
      </c>
      <c r="B1769">
        <v>3.9245999999999999</v>
      </c>
      <c r="C1769">
        <f>LOG10(1.044311)</f>
        <v>1.8829852565035648E-2</v>
      </c>
      <c r="D1769">
        <f>LOG10(3.9246)</f>
        <v>0.593795399515609</v>
      </c>
    </row>
    <row r="1770" spans="1:4">
      <c r="A1770">
        <v>1.0695650000000001</v>
      </c>
      <c r="B1770">
        <v>4.3949610000000003</v>
      </c>
      <c r="C1770">
        <f>LOG10(1.069565)</f>
        <v>2.9207182814541158E-2</v>
      </c>
      <c r="D1770">
        <f>LOG10(4.394961)</f>
        <v>0.64295502558500262</v>
      </c>
    </row>
    <row r="1771" spans="1:4">
      <c r="A1771">
        <v>1.071464</v>
      </c>
      <c r="B1771">
        <v>4.4084969999999997</v>
      </c>
      <c r="C1771">
        <f>LOG10(1.071464)</f>
        <v>2.9977583810886946E-2</v>
      </c>
      <c r="D1771">
        <f>LOG10(4.408497)</f>
        <v>0.6442905495892467</v>
      </c>
    </row>
    <row r="1772" spans="1:4">
      <c r="A1772">
        <v>1.072759</v>
      </c>
      <c r="B1772">
        <v>4.3132830000000002</v>
      </c>
      <c r="C1772">
        <f>LOG10(1.072759)</f>
        <v>3.050216676932483E-2</v>
      </c>
      <c r="D1772">
        <f>LOG10(4.313283)</f>
        <v>0.63480795369575516</v>
      </c>
    </row>
    <row r="1773" spans="1:4">
      <c r="A1773">
        <v>1.0572950000000001</v>
      </c>
      <c r="B1773">
        <v>4.3501640000000004</v>
      </c>
      <c r="C1773">
        <f>LOG10(1.057295)</f>
        <v>2.4196178411782922E-2</v>
      </c>
      <c r="D1773">
        <f>LOG10(4.350164)</f>
        <v>0.63850563004715388</v>
      </c>
    </row>
    <row r="1774" spans="1:4">
      <c r="A1774">
        <v>1.0483119999999999</v>
      </c>
      <c r="B1774">
        <v>4.4524239999999997</v>
      </c>
      <c r="C1774">
        <f>LOG10(1.048312)</f>
        <v>2.0490557182561694E-2</v>
      </c>
      <c r="D1774">
        <f>LOG10(4.452424)</f>
        <v>0.6485965150724351</v>
      </c>
    </row>
    <row r="1775" spans="1:4">
      <c r="A1775">
        <v>1.058044</v>
      </c>
      <c r="B1775">
        <v>4.0393559999999997</v>
      </c>
      <c r="C1775">
        <f>LOG10(1.058044)</f>
        <v>2.4503728719832394E-2</v>
      </c>
      <c r="D1775">
        <f>LOG10(4.039356)</f>
        <v>0.60631213047186938</v>
      </c>
    </row>
    <row r="1776" spans="1:4">
      <c r="A1776">
        <v>1.0129509999999999</v>
      </c>
      <c r="B1776">
        <v>3.4482710000000001</v>
      </c>
      <c r="C1776">
        <f>LOG10(1.012951)</f>
        <v>5.588437517921519E-3</v>
      </c>
      <c r="D1776">
        <f>LOG10(3.448271)</f>
        <v>0.53760138974539273</v>
      </c>
    </row>
    <row r="1777" spans="1:4">
      <c r="A1777">
        <v>1.0063040000000001</v>
      </c>
      <c r="B1777">
        <v>3.2001219999999999</v>
      </c>
      <c r="C1777">
        <f>LOG10(1.006304)</f>
        <v>2.7291989886224677E-3</v>
      </c>
      <c r="D1777">
        <f>LOG10(3.200122)</f>
        <v>0.50516653548140966</v>
      </c>
    </row>
    <row r="1778" spans="1:4">
      <c r="A1778">
        <v>1.014464</v>
      </c>
      <c r="B1778">
        <v>3.4433850000000001</v>
      </c>
      <c r="C1778">
        <f>LOG10(1.014464)</f>
        <v>6.2366399561015274E-3</v>
      </c>
      <c r="D1778">
        <f>LOG10(3.443385)</f>
        <v>0.53698558327040058</v>
      </c>
    </row>
    <row r="1779" spans="1:4">
      <c r="A1779">
        <v>1.0079499999999999</v>
      </c>
      <c r="B1779">
        <v>3.4163999999999999</v>
      </c>
      <c r="C1779">
        <f>LOG10(1.00795)</f>
        <v>3.4389891901883901E-3</v>
      </c>
      <c r="D1779">
        <f>LOG10(3.4164)</f>
        <v>0.53356871319457988</v>
      </c>
    </row>
    <row r="1780" spans="1:4">
      <c r="A1780">
        <v>1.009036</v>
      </c>
      <c r="B1780">
        <v>3.4421439999999999</v>
      </c>
      <c r="C1780">
        <f>LOG10(1.009036)</f>
        <v>3.9066611055354568E-3</v>
      </c>
      <c r="D1780">
        <f>LOG10(3.442144)</f>
        <v>0.53682903481700561</v>
      </c>
    </row>
    <row r="1781" spans="1:4">
      <c r="A1781">
        <v>1.0141530000000001</v>
      </c>
      <c r="B1781">
        <v>3.578462</v>
      </c>
      <c r="C1781">
        <f>LOG10(1.014153)</f>
        <v>6.1034796947707472E-3</v>
      </c>
      <c r="D1781">
        <f>LOG10(3.578462)</f>
        <v>0.55369640976347612</v>
      </c>
    </row>
    <row r="1782" spans="1:4">
      <c r="A1782">
        <v>1.010394</v>
      </c>
      <c r="B1782">
        <v>3.6008840000000002</v>
      </c>
      <c r="C1782">
        <f>LOG10(1.010394)</f>
        <v>4.4907585937625713E-3</v>
      </c>
      <c r="D1782">
        <f>LOG10(3.600884)</f>
        <v>0.55640913109876633</v>
      </c>
    </row>
    <row r="1783" spans="1:4">
      <c r="A1783">
        <v>1.010613</v>
      </c>
      <c r="B1783">
        <v>3.399378</v>
      </c>
      <c r="C1783">
        <f>LOG10(1.010613)</f>
        <v>4.5848804764765548E-3</v>
      </c>
      <c r="D1783">
        <f>LOG10(3.399378)</f>
        <v>0.53139945943054501</v>
      </c>
    </row>
    <row r="1784" spans="1:4">
      <c r="A1784">
        <v>1.005668</v>
      </c>
      <c r="B1784">
        <v>3.2065939999999999</v>
      </c>
      <c r="C1784">
        <f>LOG10(1.005668)</f>
        <v>2.4546312514068789E-3</v>
      </c>
      <c r="D1784">
        <f>LOG10(3.206594)</f>
        <v>0.50604397560611247</v>
      </c>
    </row>
    <row r="1785" spans="1:4">
      <c r="A1785">
        <v>1.017625</v>
      </c>
      <c r="B1785">
        <v>3.173089</v>
      </c>
      <c r="C1785">
        <f>LOG10(1.017625)</f>
        <v>7.5877677507616573E-3</v>
      </c>
      <c r="D1785">
        <f>LOG10(3.173089)</f>
        <v>0.50148225352708053</v>
      </c>
    </row>
    <row r="1786" spans="1:4">
      <c r="A1786">
        <v>1.0113399999999999</v>
      </c>
      <c r="B1786">
        <v>3.2259669999999998</v>
      </c>
      <c r="C1786">
        <f>LOG10(1.01134)</f>
        <v>4.8971845725158149E-3</v>
      </c>
      <c r="D1786">
        <f>LOG10(3.225967)</f>
        <v>0.50865992046422426</v>
      </c>
    </row>
    <row r="1787" spans="1:4">
      <c r="A1787">
        <v>1.0093970000000001</v>
      </c>
      <c r="B1787">
        <v>3.4523320000000002</v>
      </c>
      <c r="C1787">
        <f>LOG10(1.009397)</f>
        <v>4.0620096453569806E-3</v>
      </c>
      <c r="D1787">
        <f>LOG10(3.452332)</f>
        <v>0.53811255379717604</v>
      </c>
    </row>
    <row r="1788" spans="1:4">
      <c r="A1788">
        <v>1.008289</v>
      </c>
      <c r="B1788">
        <v>3.285895</v>
      </c>
      <c r="C1788">
        <f>LOG10(1.008289)</f>
        <v>3.5850292486859846E-3</v>
      </c>
      <c r="D1788">
        <f>LOG10(3.285895)</f>
        <v>0.5166536815429944</v>
      </c>
    </row>
    <row r="1789" spans="1:4">
      <c r="A1789">
        <v>1.01468</v>
      </c>
      <c r="B1789">
        <v>3.3820450000000002</v>
      </c>
      <c r="C1789">
        <f>LOG10(1.01468)</f>
        <v>6.3291002333863552E-3</v>
      </c>
      <c r="D1789">
        <f>LOG10(3.382045)</f>
        <v>0.52917938183111035</v>
      </c>
    </row>
    <row r="1790" spans="1:4">
      <c r="A1790">
        <v>1.00813</v>
      </c>
      <c r="B1790">
        <v>3.2321300000000002</v>
      </c>
      <c r="C1790">
        <f>LOG10(1.00813)</f>
        <v>3.5165386990871727E-3</v>
      </c>
      <c r="D1790">
        <f>LOG10(3.23213)</f>
        <v>0.50948882027928855</v>
      </c>
    </row>
    <row r="1791" spans="1:4">
      <c r="A1791">
        <v>1.007703</v>
      </c>
      <c r="B1791">
        <v>3.5479569999999998</v>
      </c>
      <c r="C1791">
        <f>LOG10(1.007703)</f>
        <v>3.3325514873030326E-3</v>
      </c>
      <c r="D1791">
        <f>LOG10(3.547957)</f>
        <v>0.54997834769410625</v>
      </c>
    </row>
    <row r="1792" spans="1:4">
      <c r="A1792">
        <v>1.01014</v>
      </c>
      <c r="B1792">
        <v>3.3876019999999998</v>
      </c>
      <c r="C1792">
        <f>LOG10(1.01014)</f>
        <v>4.3815688459191886E-3</v>
      </c>
      <c r="D1792">
        <f>LOG10(3.387602)</f>
        <v>0.52989238059692556</v>
      </c>
    </row>
    <row r="1793" spans="1:4">
      <c r="A1793">
        <v>1.011215</v>
      </c>
      <c r="B1793">
        <v>3.492022</v>
      </c>
      <c r="C1793">
        <f>LOG10(1.011215)</f>
        <v>4.8435031544016025E-3</v>
      </c>
      <c r="D1793">
        <f>LOG10(3.492022)</f>
        <v>0.54307697112989661</v>
      </c>
    </row>
    <row r="1794" spans="1:4">
      <c r="A1794">
        <v>1.0038039999999999</v>
      </c>
      <c r="B1794">
        <v>3.5244179999999998</v>
      </c>
      <c r="C1794">
        <f>LOG10(1.003804)</f>
        <v>1.6489219442313975E-3</v>
      </c>
      <c r="D1794">
        <f>LOG10(3.524418)</f>
        <v>0.54708741061625188</v>
      </c>
    </row>
    <row r="1795" spans="1:4">
      <c r="A1795">
        <v>1.0078400000000001</v>
      </c>
      <c r="B1795">
        <v>3.4660570000000002</v>
      </c>
      <c r="C1795">
        <f>LOG10(1.00784)</f>
        <v>3.3915910057974526E-3</v>
      </c>
      <c r="D1795">
        <f>LOG10(3.466057)</f>
        <v>0.53983570049616669</v>
      </c>
    </row>
    <row r="1796" spans="1:4">
      <c r="A1796">
        <v>1.009711</v>
      </c>
      <c r="B1796">
        <v>3.515088</v>
      </c>
      <c r="C1796">
        <f>LOG10(1.009711)</f>
        <v>4.1970875791940325E-3</v>
      </c>
      <c r="D1796">
        <f>LOG10(3.515088)</f>
        <v>0.54593620202611648</v>
      </c>
    </row>
    <row r="1797" spans="1:4">
      <c r="A1797">
        <v>1.0097430000000001</v>
      </c>
      <c r="B1797">
        <v>3.5155430000000001</v>
      </c>
      <c r="C1797">
        <f>LOG10(1.009743)</f>
        <v>4.2108511246098535E-3</v>
      </c>
      <c r="D1797">
        <f>LOG10(3.515543)</f>
        <v>0.54599241433182322</v>
      </c>
    </row>
    <row r="1798" spans="1:4">
      <c r="A1798">
        <v>1.0072829999999999</v>
      </c>
      <c r="B1798">
        <v>3.3580969999999999</v>
      </c>
      <c r="C1798">
        <f>LOG10(1.007283)</f>
        <v>3.1515043881757908E-3</v>
      </c>
      <c r="D1798">
        <f>LOG10(3.358097)</f>
        <v>0.52609323675626385</v>
      </c>
    </row>
    <row r="1799" spans="1:4">
      <c r="A1799">
        <v>1.011808</v>
      </c>
      <c r="B1799">
        <v>3.141054</v>
      </c>
      <c r="C1799">
        <f>LOG10(1.011808)</f>
        <v>5.0981088955570275E-3</v>
      </c>
      <c r="D1799">
        <f>LOG10(3.141054)</f>
        <v>0.49707540271510231</v>
      </c>
    </row>
    <row r="1800" spans="1:4">
      <c r="A1800">
        <v>1.007255</v>
      </c>
      <c r="B1800">
        <v>3.3324880000000001</v>
      </c>
      <c r="C1800">
        <f>LOG10(1.007255)</f>
        <v>3.1394318976156344E-3</v>
      </c>
      <c r="D1800">
        <f>LOG10(3.332488)</f>
        <v>0.52276859423198352</v>
      </c>
    </row>
    <row r="1801" spans="1:4">
      <c r="A1801">
        <v>1.012667</v>
      </c>
      <c r="B1801">
        <v>3.5020739999999999</v>
      </c>
      <c r="C1801">
        <f>LOG10(1.012667)</f>
        <v>5.4666577611572403E-3</v>
      </c>
      <c r="D1801">
        <f>LOG10(3.502074)</f>
        <v>0.54432531863266931</v>
      </c>
    </row>
    <row r="1802" spans="1:4">
      <c r="A1802">
        <v>1.0039940000000001</v>
      </c>
      <c r="B1802">
        <v>3.5411410000000001</v>
      </c>
      <c r="C1802">
        <f>LOG10(1.003994)</f>
        <v>1.7311174158953669E-3</v>
      </c>
      <c r="D1802">
        <f>LOG10(3.541141)</f>
        <v>0.54914321969875046</v>
      </c>
    </row>
    <row r="1803" spans="1:4">
      <c r="A1803">
        <v>1.011798</v>
      </c>
      <c r="B1803">
        <v>3.47221</v>
      </c>
      <c r="C1803">
        <f>LOG10(1.011798)</f>
        <v>5.0938166125542132E-3</v>
      </c>
      <c r="D1803">
        <f>LOG10(3.47221)</f>
        <v>0.54060598352150235</v>
      </c>
    </row>
    <row r="1804" spans="1:4">
      <c r="A1804">
        <v>1.0064649999999999</v>
      </c>
      <c r="B1804">
        <v>3.5691199999999998</v>
      </c>
      <c r="C1804">
        <f>LOG10(1.006465)</f>
        <v>2.7986768191489582E-3</v>
      </c>
      <c r="D1804">
        <f>LOG10(3.56912)</f>
        <v>0.55256114993428596</v>
      </c>
    </row>
    <row r="1805" spans="1:4">
      <c r="A1805">
        <v>1.0085820000000001</v>
      </c>
      <c r="B1805">
        <v>3.503978</v>
      </c>
      <c r="C1805">
        <f>LOG10(1.008582)</f>
        <v>3.7112131088266422E-3</v>
      </c>
      <c r="D1805">
        <f>LOG10(3.503978)</f>
        <v>0.54456137075272237</v>
      </c>
    </row>
    <row r="1806" spans="1:4">
      <c r="A1806">
        <v>1.009665</v>
      </c>
      <c r="B1806">
        <v>3.4031709999999999</v>
      </c>
      <c r="C1806">
        <f>LOG10(1.009665)</f>
        <v>4.1773017184419973E-3</v>
      </c>
      <c r="D1806">
        <f>LOG10(3.403171)</f>
        <v>0.53188377174952206</v>
      </c>
    </row>
    <row r="1807" spans="1:4">
      <c r="A1807">
        <v>1.0068079999999999</v>
      </c>
      <c r="B1807">
        <v>3.327315</v>
      </c>
      <c r="C1807">
        <f>LOG10(1.006808)</f>
        <v>2.9466577524193691E-3</v>
      </c>
      <c r="D1807">
        <f>LOG10(3.327315)</f>
        <v>0.52209391787692983</v>
      </c>
    </row>
    <row r="1808" spans="1:4">
      <c r="A1808">
        <v>1.0139480000000001</v>
      </c>
      <c r="B1808">
        <v>3.3057159999999999</v>
      </c>
      <c r="C1808">
        <f>LOG10(1.013948)</f>
        <v>6.0156829143407954E-3</v>
      </c>
      <c r="D1808">
        <f>LOG10(3.305716)</f>
        <v>0.51926553981895152</v>
      </c>
    </row>
    <row r="1809" spans="1:4">
      <c r="A1809">
        <v>1.0040180000000001</v>
      </c>
      <c r="B1809">
        <v>3.3213729999999999</v>
      </c>
      <c r="C1809">
        <f>LOG10(1.004018)</f>
        <v>1.741498895255236E-3</v>
      </c>
      <c r="D1809">
        <f>LOG10(3.321373)</f>
        <v>0.5213176508905647</v>
      </c>
    </row>
    <row r="1810" spans="1:4">
      <c r="A1810">
        <v>1.0112589999999999</v>
      </c>
      <c r="B1810">
        <v>3.1925210000000002</v>
      </c>
      <c r="C1810">
        <f>LOG10(1.011259)</f>
        <v>4.8623997703350873E-3</v>
      </c>
      <c r="D1810">
        <f>LOG10(3.192521)</f>
        <v>0.5041337626791097</v>
      </c>
    </row>
    <row r="1811" spans="1:4">
      <c r="A1811">
        <v>1.0088919999999999</v>
      </c>
      <c r="B1811">
        <v>3.5752809999999999</v>
      </c>
      <c r="C1811">
        <f>LOG10(1.008892)</f>
        <v>3.8446783137804628E-3</v>
      </c>
      <c r="D1811">
        <f>LOG10(3.575281)</f>
        <v>0.55331018094927742</v>
      </c>
    </row>
    <row r="1812" spans="1:4">
      <c r="A1812">
        <v>1.008874</v>
      </c>
      <c r="B1812">
        <v>3.4856319999999998</v>
      </c>
      <c r="C1812">
        <f>LOG10(1.008874)</f>
        <v>3.8369298427740118E-3</v>
      </c>
      <c r="D1812">
        <f>LOG10(3.485632)</f>
        <v>0.54228153400585555</v>
      </c>
    </row>
    <row r="1813" spans="1:4">
      <c r="A1813">
        <v>1.0054559999999999</v>
      </c>
      <c r="B1813">
        <v>3.3215919999999999</v>
      </c>
      <c r="C1813">
        <f>LOG10(1.005456)</f>
        <v>2.3630700841147938E-3</v>
      </c>
      <c r="D1813">
        <f>LOG10(3.321592)</f>
        <v>0.5213462858424488</v>
      </c>
    </row>
    <row r="1814" spans="1:4">
      <c r="A1814">
        <v>1.012886</v>
      </c>
      <c r="B1814">
        <v>3.2703799999999998</v>
      </c>
      <c r="C1814">
        <f>LOG10(1.012886)</f>
        <v>5.5605684037396868E-3</v>
      </c>
      <c r="D1814">
        <f>LOG10(3.27038)</f>
        <v>0.51459821819999751</v>
      </c>
    </row>
    <row r="1815" spans="1:4">
      <c r="A1815">
        <v>1.007644</v>
      </c>
      <c r="B1815">
        <v>3.2409840000000001</v>
      </c>
      <c r="C1815">
        <f>LOG10(1.007644)</f>
        <v>3.3071232365455942E-3</v>
      </c>
      <c r="D1815">
        <f>LOG10(3.240984)</f>
        <v>0.51067688702453873</v>
      </c>
    </row>
    <row r="1816" spans="1:4">
      <c r="A1816">
        <v>1.007606</v>
      </c>
      <c r="B1816">
        <v>3.2276699999999998</v>
      </c>
      <c r="C1816">
        <f>LOG10(1.007606)</f>
        <v>3.2907449308125368E-3</v>
      </c>
      <c r="D1816">
        <f>LOG10(3.22767)</f>
        <v>0.50888912564568967</v>
      </c>
    </row>
    <row r="1817" spans="1:4">
      <c r="A1817">
        <v>1.010211</v>
      </c>
      <c r="B1817">
        <v>3.1461960000000002</v>
      </c>
      <c r="C1817">
        <f>LOG10(1.010211)</f>
        <v>4.4120931540496027E-3</v>
      </c>
      <c r="D1817">
        <f>LOG10(3.146196)</f>
        <v>0.49778577457047368</v>
      </c>
    </row>
    <row r="1818" spans="1:4">
      <c r="A1818">
        <v>1.013943</v>
      </c>
      <c r="B1818">
        <v>3.2123050000000002</v>
      </c>
      <c r="C1818">
        <f>LOG10(1.013943)</f>
        <v>6.013541307706578E-3</v>
      </c>
      <c r="D1818">
        <f>LOG10(3.212305)</f>
        <v>0.50681677369519385</v>
      </c>
    </row>
    <row r="1819" spans="1:4">
      <c r="A1819">
        <v>1.0085170000000001</v>
      </c>
      <c r="B1819">
        <v>3.1304759999999998</v>
      </c>
      <c r="C1819">
        <f>LOG10(1.008517)</f>
        <v>3.6832232666488668E-3</v>
      </c>
      <c r="D1819">
        <f>LOG10(3.130476)</f>
        <v>0.49561037858670937</v>
      </c>
    </row>
    <row r="1820" spans="1:4">
      <c r="A1820">
        <v>1.007107</v>
      </c>
      <c r="B1820">
        <v>3.1210930000000001</v>
      </c>
      <c r="C1820">
        <f>LOG10(1.007107)</f>
        <v>3.0756145862909025E-3</v>
      </c>
      <c r="D1820">
        <f>LOG10(3.121093)</f>
        <v>0.49430670964100226</v>
      </c>
    </row>
    <row r="1821" spans="1:4">
      <c r="A1821">
        <v>1.007233</v>
      </c>
      <c r="B1821">
        <v>3.1220979999999998</v>
      </c>
      <c r="C1821">
        <f>LOG10(1.007233)</f>
        <v>3.1299461338858562E-3</v>
      </c>
      <c r="D1821">
        <f>LOG10(3.122098)</f>
        <v>0.49444653107465136</v>
      </c>
    </row>
    <row r="1822" spans="1:4">
      <c r="A1822">
        <v>1.0085470000000001</v>
      </c>
      <c r="B1822">
        <v>3.1010209999999998</v>
      </c>
      <c r="C1822">
        <f>LOG10(1.008547)</f>
        <v>3.6961418795020506E-3</v>
      </c>
      <c r="D1822">
        <f>LOG10(3.101021)</f>
        <v>0.49150470727352086</v>
      </c>
    </row>
    <row r="1823" spans="1:4">
      <c r="A1823">
        <v>1.006087</v>
      </c>
      <c r="B1823">
        <v>3.1635719999999998</v>
      </c>
      <c r="C1823">
        <f>LOG10(1.006087)</f>
        <v>2.6355373662654441E-3</v>
      </c>
      <c r="D1823">
        <f>LOG10(3.163572)</f>
        <v>0.50017772305211883</v>
      </c>
    </row>
    <row r="1824" spans="1:4">
      <c r="A1824">
        <v>1.01373</v>
      </c>
      <c r="B1824">
        <v>3.1174469999999999</v>
      </c>
      <c r="C1824">
        <f>LOG10(1.01373)</f>
        <v>5.9222990561347937E-3</v>
      </c>
      <c r="D1824">
        <f>LOG10(3.117447)</f>
        <v>0.49379907873335421</v>
      </c>
    </row>
    <row r="1825" spans="1:4">
      <c r="A1825">
        <v>1.0050600000000001</v>
      </c>
      <c r="B1825">
        <v>2.928687</v>
      </c>
      <c r="C1825">
        <f>LOG10(1.00506)</f>
        <v>2.1919890113378426E-3</v>
      </c>
      <c r="D1825">
        <f>LOG10(2.928687)</f>
        <v>0.46667295944654236</v>
      </c>
    </row>
    <row r="1826" spans="1:4">
      <c r="A1826">
        <v>1.0080199999999999</v>
      </c>
      <c r="B1826">
        <v>2.9364050000000002</v>
      </c>
      <c r="C1826">
        <f>LOG10(1.00802)</f>
        <v>3.4691489780279429E-3</v>
      </c>
      <c r="D1826">
        <f>LOG10(2.936405)</f>
        <v>0.46781595490035421</v>
      </c>
    </row>
    <row r="1827" spans="1:4">
      <c r="A1827">
        <v>1.006686</v>
      </c>
      <c r="B1827">
        <v>3.0219580000000001</v>
      </c>
      <c r="C1827">
        <f>LOG10(1.006686)</f>
        <v>2.8940289123463247E-3</v>
      </c>
      <c r="D1827">
        <f>LOG10(3.021958)</f>
        <v>0.4802884241012878</v>
      </c>
    </row>
    <row r="1828" spans="1:4">
      <c r="A1828">
        <v>1.0100340000000001</v>
      </c>
      <c r="B1828">
        <v>3.0084089999999999</v>
      </c>
      <c r="C1828">
        <f>LOG10(1.010034)</f>
        <v>4.3359933508143452E-3</v>
      </c>
      <c r="D1828">
        <f>LOG10(3.008409)</f>
        <v>0.47833687924945606</v>
      </c>
    </row>
    <row r="1829" spans="1:4">
      <c r="A1829">
        <v>1.0211429999999999</v>
      </c>
      <c r="B1829">
        <v>3.018205</v>
      </c>
      <c r="C1829">
        <f>LOG10(1.021143)</f>
        <v>9.0865645768275893E-3</v>
      </c>
      <c r="D1829">
        <f>LOG10(3.018205)</f>
        <v>0.4797487342285699</v>
      </c>
    </row>
    <row r="1830" spans="1:4">
      <c r="A1830">
        <v>1.0094339999999999</v>
      </c>
      <c r="B1830">
        <v>3.0729220000000002</v>
      </c>
      <c r="C1830">
        <f>LOG10(1.009434)</f>
        <v>4.0779286557468064E-3</v>
      </c>
      <c r="D1830">
        <f>LOG10(3.072922)</f>
        <v>0.48755153669649892</v>
      </c>
    </row>
    <row r="1831" spans="1:4">
      <c r="A1831">
        <v>1.0092479999999999</v>
      </c>
      <c r="B1831">
        <v>2.8917280000000001</v>
      </c>
      <c r="C1831">
        <f>LOG10(1.009248)</f>
        <v>3.9978974533458264E-3</v>
      </c>
      <c r="D1831">
        <f>LOG10(2.891728)</f>
        <v>0.46115744019422522</v>
      </c>
    </row>
    <row r="1832" spans="1:4">
      <c r="A1832">
        <v>1.006459</v>
      </c>
      <c r="B1832">
        <v>2.819286</v>
      </c>
      <c r="C1832">
        <f>LOG10(1.006459)</f>
        <v>2.7960877826116565E-3</v>
      </c>
      <c r="D1832">
        <f>LOG10(2.819286)</f>
        <v>0.45013913472989042</v>
      </c>
    </row>
    <row r="1833" spans="1:4">
      <c r="A1833">
        <v>1.0088779999999999</v>
      </c>
      <c r="B1833">
        <v>2.8431700000000002</v>
      </c>
      <c r="C1833">
        <f>LOG10(1.008878)</f>
        <v>3.8386517371669488E-3</v>
      </c>
      <c r="D1833">
        <f>LOG10(2.84317)</f>
        <v>0.45380282798261268</v>
      </c>
    </row>
    <row r="1834" spans="1:4">
      <c r="A1834">
        <v>1.006297</v>
      </c>
      <c r="B1834">
        <v>2.9181360000000001</v>
      </c>
      <c r="C1834">
        <f>LOG10(1.006297)</f>
        <v>2.7261779612321661E-3</v>
      </c>
      <c r="D1834">
        <f>LOG10(2.918136)</f>
        <v>0.46510552836386693</v>
      </c>
    </row>
    <row r="1835" spans="1:4">
      <c r="A1835">
        <v>1.0418270000000001</v>
      </c>
      <c r="B1835">
        <v>3.0051749999999999</v>
      </c>
      <c r="C1835">
        <f>LOG10(1.041827)</f>
        <v>1.7795608423099147E-2</v>
      </c>
      <c r="D1835">
        <f>LOG10(3.005175)</f>
        <v>0.47786976729429775</v>
      </c>
    </row>
    <row r="1836" spans="1:4">
      <c r="A1836">
        <v>1.005625</v>
      </c>
      <c r="B1836">
        <v>2.8287640000000001</v>
      </c>
      <c r="C1836">
        <f>LOG10(1.005625)</f>
        <v>2.4360614431047653E-3</v>
      </c>
      <c r="D1836">
        <f>LOG10(2.828764)</f>
        <v>0.45159671636011628</v>
      </c>
    </row>
    <row r="1837" spans="1:4">
      <c r="A1837">
        <v>1.008923</v>
      </c>
      <c r="B1837">
        <v>2.8367439999999999</v>
      </c>
      <c r="C1837">
        <f>LOG10(1.008923)</f>
        <v>3.8580225786809712E-3</v>
      </c>
      <c r="D1837">
        <f>LOG10(2.836744)</f>
        <v>0.45282014495909872</v>
      </c>
    </row>
    <row r="1838" spans="1:4">
      <c r="A1838">
        <v>1.0060260000000001</v>
      </c>
      <c r="B1838">
        <v>2.9150459999999998</v>
      </c>
      <c r="C1838">
        <f>LOG10(1.006026)</f>
        <v>2.6092048855308565E-3</v>
      </c>
      <c r="D1838">
        <f>LOG10(2.915046)</f>
        <v>0.46464541240156526</v>
      </c>
    </row>
    <row r="1839" spans="1:4">
      <c r="A1839">
        <v>1.010254</v>
      </c>
      <c r="B1839">
        <v>3.0024419999999998</v>
      </c>
      <c r="C1839">
        <f>LOG10(1.010254)</f>
        <v>4.430578663795791E-3</v>
      </c>
      <c r="D1839">
        <f>LOG10(3.002442)</f>
        <v>0.47747462662507012</v>
      </c>
    </row>
    <row r="1840" spans="1:4">
      <c r="A1840">
        <v>1.0237970000000001</v>
      </c>
      <c r="B1840">
        <v>2.9342480000000002</v>
      </c>
      <c r="C1840">
        <f>LOG10(1.023797)</f>
        <v>1.0213852616693334E-2</v>
      </c>
      <c r="D1840">
        <f>LOG10(2.934248)</f>
        <v>0.46749681723726311</v>
      </c>
    </row>
    <row r="1841" spans="1:4">
      <c r="A1841">
        <v>1.0106489999999999</v>
      </c>
      <c r="B1841">
        <v>3.014561</v>
      </c>
      <c r="C1841">
        <f>LOG10(1.010649)</f>
        <v>4.6003506147863221E-3</v>
      </c>
      <c r="D1841">
        <f>LOG10(3.014561)</f>
        <v>0.47922407629072628</v>
      </c>
    </row>
    <row r="1842" spans="1:4">
      <c r="A1842">
        <v>1.0095879999999999</v>
      </c>
      <c r="B1842">
        <v>2.92028</v>
      </c>
      <c r="C1842">
        <f>LOG10(1.009588)</f>
        <v>4.1441798905949619E-3</v>
      </c>
      <c r="D1842">
        <f>LOG10(2.92028)</f>
        <v>0.46542449412823023</v>
      </c>
    </row>
    <row r="1843" spans="1:4">
      <c r="A1843">
        <v>1.0098240000000001</v>
      </c>
      <c r="B1843">
        <v>2.887883</v>
      </c>
      <c r="C1843">
        <f>LOG10(1.009824)</f>
        <v>4.2456881496286082E-3</v>
      </c>
      <c r="D1843">
        <f>LOG10(2.887883)</f>
        <v>0.46057959420103661</v>
      </c>
    </row>
    <row r="1844" spans="1:4">
      <c r="A1844">
        <v>1.005568</v>
      </c>
      <c r="B1844">
        <v>3.2309760000000001</v>
      </c>
      <c r="C1844">
        <f>LOG10(1.005568)</f>
        <v>2.4114444267616278E-3</v>
      </c>
      <c r="D1844">
        <f>LOG10(3.230976)</f>
        <v>0.5093337320485084</v>
      </c>
    </row>
    <row r="1845" spans="1:4">
      <c r="A1845">
        <v>1.0070269999999999</v>
      </c>
      <c r="B1845">
        <v>3.088625</v>
      </c>
      <c r="C1845">
        <f>LOG10(1.007027)</f>
        <v>3.0411148374454278E-3</v>
      </c>
      <c r="D1845">
        <f>LOG10(3.088625)</f>
        <v>0.48976518239759154</v>
      </c>
    </row>
    <row r="1846" spans="1:4">
      <c r="A1846">
        <v>1.007711</v>
      </c>
      <c r="B1846">
        <v>3.3002250000000002</v>
      </c>
      <c r="C1846">
        <f>LOG10(1.007711)</f>
        <v>3.3359992710886447E-3</v>
      </c>
      <c r="D1846">
        <f>LOG10(3.300225)</f>
        <v>0.51854354985587037</v>
      </c>
    </row>
    <row r="1847" spans="1:4">
      <c r="A1847">
        <v>1.0065759999999999</v>
      </c>
      <c r="B1847">
        <v>3.4918640000000001</v>
      </c>
      <c r="C1847">
        <f>LOG10(1.006576)</f>
        <v>2.8465712113050104E-3</v>
      </c>
      <c r="D1847">
        <f>LOG10(3.491864)</f>
        <v>0.5430573206006204</v>
      </c>
    </row>
    <row r="1848" spans="1:4">
      <c r="A1848">
        <v>1.0046409999999999</v>
      </c>
      <c r="B1848">
        <v>3.1121479999999999</v>
      </c>
      <c r="C1848">
        <f>LOG10(1.004641)</f>
        <v>2.0108980027210149E-3</v>
      </c>
      <c r="D1848">
        <f>LOG10(3.112148)</f>
        <v>0.49306024193428566</v>
      </c>
    </row>
    <row r="1849" spans="1:4">
      <c r="A1849">
        <v>1.007595</v>
      </c>
      <c r="B1849">
        <v>3.0296270000000001</v>
      </c>
      <c r="C1849">
        <f>LOG10(1.007595)</f>
        <v>3.2860037270309034E-3</v>
      </c>
      <c r="D1849">
        <f>LOG10(3.029627)</f>
        <v>0.48138916255730396</v>
      </c>
    </row>
    <row r="1850" spans="1:4">
      <c r="A1850">
        <v>1.0093650000000001</v>
      </c>
      <c r="B1850">
        <v>2.8922050000000001</v>
      </c>
      <c r="C1850">
        <f>LOG10(1.009365)</f>
        <v>4.0482413820133257E-3</v>
      </c>
      <c r="D1850">
        <f>LOG10(2.892205)</f>
        <v>0.46122907258289142</v>
      </c>
    </row>
    <row r="1851" spans="1:4">
      <c r="A1851">
        <v>1.0068619999999999</v>
      </c>
      <c r="B1851">
        <v>3.014392</v>
      </c>
      <c r="C1851">
        <f>LOG10(1.006862)</f>
        <v>2.9699504488675424E-3</v>
      </c>
      <c r="D1851">
        <f>LOG10(3.014392)</f>
        <v>0.47919972852504927</v>
      </c>
    </row>
    <row r="1852" spans="1:4">
      <c r="A1852">
        <v>1.0065489999999999</v>
      </c>
      <c r="B1852">
        <v>3.2528820000000001</v>
      </c>
      <c r="C1852">
        <f>LOG10(1.006549)</f>
        <v>2.8349217101442869E-3</v>
      </c>
      <c r="D1852">
        <f>LOG10(3.252882)</f>
        <v>0.51226830930756684</v>
      </c>
    </row>
    <row r="1853" spans="1:4">
      <c r="A1853">
        <v>1.0173449999999999</v>
      </c>
      <c r="B1853">
        <v>3.2490839999999999</v>
      </c>
      <c r="C1853">
        <f>LOG10(1.017345)</f>
        <v>7.4682549759292668E-3</v>
      </c>
      <c r="D1853">
        <f>LOG10(3.249084)</f>
        <v>0.51176093949669088</v>
      </c>
    </row>
    <row r="1854" spans="1:4">
      <c r="A1854">
        <v>1.007198</v>
      </c>
      <c r="B1854">
        <v>3.1114920000000001</v>
      </c>
      <c r="C1854">
        <f>LOG10(1.007198)</f>
        <v>3.1148547191209458E-3</v>
      </c>
      <c r="D1854">
        <f>LOG10(3.111492)</f>
        <v>0.49296868870139188</v>
      </c>
    </row>
    <row r="1855" spans="1:4">
      <c r="A1855">
        <v>1.0079119999999999</v>
      </c>
      <c r="B1855">
        <v>3.0059960000000001</v>
      </c>
      <c r="C1855">
        <f>LOG10(1.007912)</f>
        <v>3.4226158567813702E-3</v>
      </c>
      <c r="D1855">
        <f>LOG10(3.005996)</f>
        <v>0.47798839834700269</v>
      </c>
    </row>
    <row r="1856" spans="1:4">
      <c r="A1856">
        <v>1.0059210000000001</v>
      </c>
      <c r="B1856">
        <v>3.1791580000000002</v>
      </c>
      <c r="C1856">
        <f>LOG10(1.005921)</f>
        <v>2.5638747444871306E-3</v>
      </c>
      <c r="D1856">
        <f>LOG10(3.179158)</f>
        <v>0.50231211231961304</v>
      </c>
    </row>
    <row r="1857" spans="1:4">
      <c r="A1857">
        <v>1.015252</v>
      </c>
      <c r="B1857">
        <v>3.1967150000000002</v>
      </c>
      <c r="C1857">
        <f>LOG10(1.015252)</f>
        <v>6.5738537031809615E-3</v>
      </c>
      <c r="D1857">
        <f>LOG10(3.196715)</f>
        <v>0.50470391889769672</v>
      </c>
    </row>
    <row r="1858" spans="1:4">
      <c r="A1858">
        <v>1.010956</v>
      </c>
      <c r="B1858">
        <v>3.1801490000000001</v>
      </c>
      <c r="C1858">
        <f>LOG10(1.010956)</f>
        <v>4.7322541339893638E-3</v>
      </c>
      <c r="D1858">
        <f>LOG10(3.180149)</f>
        <v>0.50244746852589472</v>
      </c>
    </row>
    <row r="1859" spans="1:4">
      <c r="A1859">
        <v>1.0049060000000001</v>
      </c>
      <c r="B1859">
        <v>3.2629969999999999</v>
      </c>
      <c r="C1859">
        <f>LOG10(1.004906)</f>
        <v>2.1254392783135352E-3</v>
      </c>
      <c r="D1859">
        <f>LOG10(3.262997)</f>
        <v>0.51361667449763748</v>
      </c>
    </row>
    <row r="1860" spans="1:4">
      <c r="A1860">
        <v>1.003846</v>
      </c>
      <c r="B1860">
        <v>3.201654</v>
      </c>
      <c r="C1860">
        <f>LOG10(1.003846)</f>
        <v>1.6670928089166164E-3</v>
      </c>
      <c r="D1860">
        <f>LOG10(3.201654)</f>
        <v>0.50537439628721625</v>
      </c>
    </row>
    <row r="1861" spans="1:4">
      <c r="A1861">
        <v>1.0122359999999999</v>
      </c>
      <c r="B1861">
        <v>3.0255999999999998</v>
      </c>
      <c r="C1861">
        <f>LOG10(1.012236)</f>
        <v>5.2817788563138219E-3</v>
      </c>
      <c r="D1861">
        <f>LOG10(3.0256)</f>
        <v>0.48081151150096446</v>
      </c>
    </row>
    <row r="1862" spans="1:4">
      <c r="A1862">
        <v>1.00885</v>
      </c>
      <c r="B1862">
        <v>3.3049309999999998</v>
      </c>
      <c r="C1862">
        <f>LOG10(1.00885)</f>
        <v>3.8265983330470323E-3</v>
      </c>
      <c r="D1862">
        <f>LOG10(3.304931)</f>
        <v>0.51916239676203235</v>
      </c>
    </row>
    <row r="1863" spans="1:4">
      <c r="A1863">
        <v>1.006343</v>
      </c>
      <c r="B1863">
        <v>3.324532</v>
      </c>
      <c r="C1863">
        <f>LOG10(1.006343)</f>
        <v>2.7460300422511501E-3</v>
      </c>
      <c r="D1863">
        <f>LOG10(3.324532)</f>
        <v>0.52173051757212496</v>
      </c>
    </row>
    <row r="1864" spans="1:4">
      <c r="A1864">
        <v>1.0106109999999999</v>
      </c>
      <c r="B1864">
        <v>3.1055920000000001</v>
      </c>
      <c r="C1864">
        <f>LOG10(1.010611)</f>
        <v>4.5840210081901783E-3</v>
      </c>
      <c r="D1864">
        <f>LOG10(3.105592)</f>
        <v>0.4921443993038413</v>
      </c>
    </row>
    <row r="1865" spans="1:4">
      <c r="A1865">
        <v>1.0069539999999999</v>
      </c>
      <c r="B1865">
        <v>3.1749779999999999</v>
      </c>
      <c r="C1865">
        <f>LOG10(1.006954)</f>
        <v>3.009631425046982E-3</v>
      </c>
      <c r="D1865">
        <f>LOG10(3.174978)</f>
        <v>0.50174072033296957</v>
      </c>
    </row>
    <row r="1866" spans="1:4">
      <c r="A1866">
        <v>1.0063679999999999</v>
      </c>
      <c r="B1866">
        <v>2.9736729999999998</v>
      </c>
      <c r="C1866">
        <f>LOG10(1.006368)</f>
        <v>2.7568188361198321E-3</v>
      </c>
      <c r="D1866">
        <f>LOG10(2.973673)</f>
        <v>0.47329320961175975</v>
      </c>
    </row>
    <row r="1867" spans="1:4">
      <c r="A1867">
        <v>1.020025</v>
      </c>
      <c r="B1867">
        <v>3.082268</v>
      </c>
      <c r="C1867">
        <f>LOG10(1.020025)</f>
        <v>8.6108161040683757E-3</v>
      </c>
      <c r="D1867">
        <f>LOG10(3.082268)</f>
        <v>0.4888703974781074</v>
      </c>
    </row>
    <row r="1868" spans="1:4">
      <c r="A1868">
        <v>1.024246</v>
      </c>
      <c r="B1868">
        <v>3.054468</v>
      </c>
      <c r="C1868">
        <f>LOG10(1.024246)</f>
        <v>1.0404276573122588E-2</v>
      </c>
      <c r="D1868">
        <f>LOG10(3.054468)</f>
        <v>0.48493557962477463</v>
      </c>
    </row>
    <row r="1869" spans="1:4">
      <c r="A1869">
        <v>1.013496</v>
      </c>
      <c r="B1869">
        <v>3.019428</v>
      </c>
      <c r="C1869">
        <f>LOG10(1.013496)</f>
        <v>5.8220389872359803E-3</v>
      </c>
      <c r="D1869">
        <f>LOG10(3.019428)</f>
        <v>0.4799246780657101</v>
      </c>
    </row>
    <row r="1870" spans="1:4">
      <c r="A1870">
        <v>1.008535</v>
      </c>
      <c r="B1870">
        <v>3.3941050000000001</v>
      </c>
      <c r="C1870">
        <f>LOG10(1.008535)</f>
        <v>3.6909744804741935E-3</v>
      </c>
      <c r="D1870">
        <f>LOG10(3.394105)</f>
        <v>0.53072527351944065</v>
      </c>
    </row>
    <row r="1871" spans="1:4">
      <c r="A1871">
        <v>1.0138560000000001</v>
      </c>
      <c r="B1871">
        <v>3.4638059999999999</v>
      </c>
      <c r="C1871">
        <f>LOG10(1.013856)</f>
        <v>5.9762756616058123E-3</v>
      </c>
      <c r="D1871">
        <f>LOG10(3.463806)</f>
        <v>0.53955356016723177</v>
      </c>
    </row>
    <row r="1872" spans="1:4">
      <c r="A1872">
        <v>1.0136890000000001</v>
      </c>
      <c r="B1872">
        <v>3.402463</v>
      </c>
      <c r="C1872">
        <f>LOG10(1.013689)</f>
        <v>5.9047337933445737E-3</v>
      </c>
      <c r="D1872">
        <f>LOG10(3.402463)</f>
        <v>0.53179341117641554</v>
      </c>
    </row>
    <row r="1873" spans="1:4">
      <c r="A1873">
        <v>1.010367</v>
      </c>
      <c r="B1873">
        <v>3.4619970000000002</v>
      </c>
      <c r="C1873">
        <f>LOG10(1.010367)</f>
        <v>4.4791531134389852E-3</v>
      </c>
      <c r="D1873">
        <f>LOG10(3.461997)</f>
        <v>0.53932668720083954</v>
      </c>
    </row>
    <row r="1874" spans="1:4">
      <c r="A1874">
        <v>1.003673</v>
      </c>
      <c r="B1874">
        <v>3.617067</v>
      </c>
      <c r="C1874">
        <f>LOG10(1.003673)</f>
        <v>1.5922412677304655E-3</v>
      </c>
      <c r="D1874">
        <f>LOG10(3.617067)</f>
        <v>0.55835655340104273</v>
      </c>
    </row>
    <row r="1875" spans="1:4">
      <c r="A1875">
        <v>1.0102370000000001</v>
      </c>
      <c r="B1875">
        <v>3.4045019999999999</v>
      </c>
      <c r="C1875">
        <f>LOG10(1.010237)</f>
        <v>4.4232705330567767E-3</v>
      </c>
      <c r="D1875">
        <f>LOG10(3.404502)</f>
        <v>0.53205359364395755</v>
      </c>
    </row>
    <row r="1876" spans="1:4">
      <c r="A1876">
        <v>1.0154019999999999</v>
      </c>
      <c r="B1876">
        <v>3.4807389999999998</v>
      </c>
      <c r="C1876">
        <f>LOG10(1.015402)</f>
        <v>6.638014483307874E-3</v>
      </c>
      <c r="D1876">
        <f>LOG10(3.480739)</f>
        <v>0.54167145933443905</v>
      </c>
    </row>
    <row r="1877" spans="1:4">
      <c r="A1877">
        <v>1.006572</v>
      </c>
      <c r="B1877">
        <v>3.5721289999999999</v>
      </c>
      <c r="C1877">
        <f>LOG10(1.006572)</f>
        <v>2.8448453789990213E-3</v>
      </c>
      <c r="D1877">
        <f>LOG10(3.572129)</f>
        <v>0.55292713414051731</v>
      </c>
    </row>
    <row r="1878" spans="1:4">
      <c r="A1878">
        <v>1.0037039999999999</v>
      </c>
      <c r="B1878">
        <v>3.6663399999999999</v>
      </c>
      <c r="C1878">
        <f>LOG10(1.003704)</f>
        <v>1.6056549204125719E-3</v>
      </c>
      <c r="D1878">
        <f>LOG10(3.66634)</f>
        <v>0.56423273702471533</v>
      </c>
    </row>
    <row r="1879" spans="1:4">
      <c r="A1879">
        <v>1.008915</v>
      </c>
      <c r="B1879">
        <v>3.6722540000000001</v>
      </c>
      <c r="C1879">
        <f>LOG10(1.008915)</f>
        <v>3.8545789366688297E-3</v>
      </c>
      <c r="D1879">
        <f>LOG10(3.672254)</f>
        <v>0.564932712557354</v>
      </c>
    </row>
    <row r="1880" spans="1:4">
      <c r="A1880">
        <v>1.0125090000000001</v>
      </c>
      <c r="B1880">
        <v>3.815121</v>
      </c>
      <c r="C1880">
        <f>LOG10(1.012509)</f>
        <v>5.3988922649436926E-3</v>
      </c>
      <c r="D1880">
        <f>LOG10(3.815121)</f>
        <v>0.5815083165501318</v>
      </c>
    </row>
    <row r="1881" spans="1:4">
      <c r="A1881">
        <v>1.014356</v>
      </c>
      <c r="B1881">
        <v>3.6965349999999999</v>
      </c>
      <c r="C1881">
        <f>LOG10(1.014356)</f>
        <v>6.1904024346951395E-3</v>
      </c>
      <c r="D1881">
        <f>LOG10(3.696535)</f>
        <v>0.56779482259492009</v>
      </c>
    </row>
    <row r="1882" spans="1:4">
      <c r="A1882">
        <v>1.014999</v>
      </c>
      <c r="B1882">
        <v>3.780926</v>
      </c>
      <c r="C1882">
        <f>LOG10(1.014999)</f>
        <v>6.4656143726840891E-3</v>
      </c>
      <c r="D1882">
        <f>LOG10(3.780926)</f>
        <v>0.57759817746669906</v>
      </c>
    </row>
    <row r="1883" spans="1:4">
      <c r="A1883">
        <v>1.00586</v>
      </c>
      <c r="B1883">
        <v>3.861278</v>
      </c>
      <c r="C1883">
        <f>LOG10(1.00586)</f>
        <v>2.5375379181583643E-3</v>
      </c>
      <c r="D1883">
        <f>LOG10(3.861278)</f>
        <v>0.58673107060090313</v>
      </c>
    </row>
    <row r="1884" spans="1:4">
      <c r="A1884">
        <v>1.010243</v>
      </c>
      <c r="B1884">
        <v>4.1750480000000003</v>
      </c>
      <c r="C1884">
        <f>LOG10(1.010243)</f>
        <v>4.4258498873601159E-3</v>
      </c>
      <c r="D1884">
        <f>LOG10(4.175048)</f>
        <v>0.62066147287717743</v>
      </c>
    </row>
    <row r="1885" spans="1:4">
      <c r="A1885">
        <v>1.010399</v>
      </c>
      <c r="B1885">
        <v>4.0375319999999997</v>
      </c>
      <c r="C1885">
        <f>LOG10(1.010399)</f>
        <v>4.4929077227525618E-3</v>
      </c>
      <c r="D1885">
        <f>LOG10(4.037532)</f>
        <v>0.60611597741181511</v>
      </c>
    </row>
    <row r="1886" spans="1:4">
      <c r="A1886">
        <v>1.0088250000000001</v>
      </c>
      <c r="B1886">
        <v>4.0488400000000002</v>
      </c>
      <c r="C1886">
        <f>LOG10(1.008825)</f>
        <v>3.8158360823891103E-3</v>
      </c>
      <c r="D1886">
        <f>LOG10(4.04884)</f>
        <v>0.60733061487904205</v>
      </c>
    </row>
    <row r="1887" spans="1:4">
      <c r="A1887">
        <v>1.0055480000000001</v>
      </c>
      <c r="B1887">
        <v>4.1149789999999999</v>
      </c>
      <c r="C1887">
        <f>LOG10(1.005548)</f>
        <v>2.402806546462021E-3</v>
      </c>
      <c r="D1887">
        <f>LOG10(4.114979)</f>
        <v>0.61436762321599425</v>
      </c>
    </row>
    <row r="1888" spans="1:4">
      <c r="A1888">
        <v>1.0122150000000001</v>
      </c>
      <c r="B1888">
        <v>4.2034419999999999</v>
      </c>
      <c r="C1888">
        <f>LOG10(1.012215)</f>
        <v>5.2727688243395044E-3</v>
      </c>
      <c r="D1888">
        <f>LOG10(4.203442)</f>
        <v>0.62360505930552335</v>
      </c>
    </row>
    <row r="1889" spans="1:4">
      <c r="A1889">
        <v>1.009722</v>
      </c>
      <c r="B1889">
        <v>4.2909980000000001</v>
      </c>
      <c r="C1889">
        <f>LOG10(1.009722)</f>
        <v>4.2018188471301069E-3</v>
      </c>
      <c r="D1889">
        <f>LOG10(4.290998)</f>
        <v>0.63255831211151914</v>
      </c>
    </row>
    <row r="1890" spans="1:4">
      <c r="A1890">
        <v>1.0049600000000001</v>
      </c>
      <c r="B1890">
        <v>4.3877689999999996</v>
      </c>
      <c r="C1890">
        <f>LOG10(1.00496)</f>
        <v>2.1487760599979045E-3</v>
      </c>
      <c r="D1890">
        <f>LOG10(4.387769)</f>
        <v>0.64224375548743484</v>
      </c>
    </row>
    <row r="1891" spans="1:4">
      <c r="A1891">
        <v>1.0105649999999999</v>
      </c>
      <c r="B1891">
        <v>4.3460809999999999</v>
      </c>
      <c r="C1891">
        <f>LOG10(1.010565)</f>
        <v>4.5642527681447843E-3</v>
      </c>
      <c r="D1891">
        <f>LOG10(4.346081)</f>
        <v>0.63809781621488282</v>
      </c>
    </row>
    <row r="1892" spans="1:4">
      <c r="A1892">
        <v>1.012575</v>
      </c>
      <c r="B1892">
        <v>4.6057370000000004</v>
      </c>
      <c r="C1892">
        <f>LOG10(1.012575)</f>
        <v>5.4272006569074027E-3</v>
      </c>
      <c r="D1892">
        <f>LOG10(4.605737)</f>
        <v>0.66329913495044468</v>
      </c>
    </row>
    <row r="1893" spans="1:4">
      <c r="A1893">
        <v>1.009579</v>
      </c>
      <c r="B1893">
        <v>4.2396440000000002</v>
      </c>
      <c r="C1893">
        <f>LOG10(1.009579)</f>
        <v>4.140308343231992E-3</v>
      </c>
      <c r="D1893">
        <f>LOG10(4.239644)</f>
        <v>0.62732939071382354</v>
      </c>
    </row>
    <row r="1894" spans="1:4">
      <c r="A1894">
        <v>1.0087159999999999</v>
      </c>
      <c r="B1894">
        <v>4.5487739999999999</v>
      </c>
      <c r="C1894">
        <f>LOG10(1.008716)</f>
        <v>3.7689095529420545E-3</v>
      </c>
      <c r="D1894">
        <f>LOG10(4.548774)</f>
        <v>0.65789436000183643</v>
      </c>
    </row>
    <row r="1895" spans="1:4">
      <c r="A1895">
        <v>1.0064580000000001</v>
      </c>
      <c r="B1895">
        <v>4.4302630000000001</v>
      </c>
      <c r="C1895">
        <f>LOG10(1.006458)</f>
        <v>2.7956562750215594E-3</v>
      </c>
      <c r="D1895">
        <f>LOG10(4.430263)</f>
        <v>0.64642950862902615</v>
      </c>
    </row>
    <row r="1896" spans="1:4">
      <c r="A1896">
        <v>1.0115730000000001</v>
      </c>
      <c r="B1896">
        <v>4.5431549999999996</v>
      </c>
      <c r="C1896">
        <f>LOG10(1.011573)</f>
        <v>4.9972290279432161E-3</v>
      </c>
      <c r="D1896">
        <f>LOG10(4.543155)</f>
        <v>0.65735755400511009</v>
      </c>
    </row>
    <row r="1897" spans="1:4">
      <c r="A1897">
        <v>1.0094639999999999</v>
      </c>
      <c r="B1897">
        <v>4.3812530000000001</v>
      </c>
      <c r="C1897">
        <f>LOG10(1.009464)</f>
        <v>4.0908355331205478E-3</v>
      </c>
      <c r="D1897">
        <f>LOG10(4.381253)</f>
        <v>0.64159833268773803</v>
      </c>
    </row>
    <row r="1898" spans="1:4">
      <c r="A1898">
        <v>1.0103580000000001</v>
      </c>
      <c r="B1898">
        <v>4.0765820000000001</v>
      </c>
      <c r="C1898">
        <f>LOG10(1.010358)</f>
        <v>4.4752845510793145E-3</v>
      </c>
      <c r="D1898">
        <f>LOG10(4.076582)</f>
        <v>0.61029618253380047</v>
      </c>
    </row>
    <row r="1899" spans="1:4">
      <c r="A1899">
        <v>1.008399</v>
      </c>
      <c r="B1899">
        <v>4.3500899999999998</v>
      </c>
      <c r="C1899">
        <f>LOG10(1.008399)</f>
        <v>3.6324063273979698E-3</v>
      </c>
      <c r="D1899">
        <f>LOG10(4.35009)</f>
        <v>0.63849824226476004</v>
      </c>
    </row>
    <row r="1900" spans="1:4">
      <c r="A1900">
        <v>1.0125109999999999</v>
      </c>
      <c r="B1900">
        <v>4.5283170000000004</v>
      </c>
      <c r="C1900">
        <f>LOG10(1.012511)</f>
        <v>5.3997501221142242E-3</v>
      </c>
      <c r="D1900">
        <f>LOG10(4.528317)</f>
        <v>0.65593682156623156</v>
      </c>
    </row>
    <row r="1901" spans="1:4">
      <c r="A1901">
        <v>1.008027</v>
      </c>
      <c r="B1901">
        <v>4.5724619999999998</v>
      </c>
      <c r="C1901">
        <f>LOG10(1.008027)</f>
        <v>3.472164841619788E-3</v>
      </c>
      <c r="D1901">
        <f>LOG10(4.572462)</f>
        <v>0.66015010490648884</v>
      </c>
    </row>
    <row r="1902" spans="1:4">
      <c r="A1902">
        <v>1.008087</v>
      </c>
      <c r="B1902">
        <v>4.7047049999999997</v>
      </c>
      <c r="C1902">
        <f>LOG10(1.008087)</f>
        <v>3.4980142419234073E-3</v>
      </c>
      <c r="D1902">
        <f>LOG10(4.704705)</f>
        <v>0.6725323969686432</v>
      </c>
    </row>
    <row r="1903" spans="1:4">
      <c r="A1903">
        <v>1.009447</v>
      </c>
      <c r="B1903">
        <v>4.5661509999999996</v>
      </c>
      <c r="C1903">
        <f>LOG10(1.009447)</f>
        <v>4.0835216830375064E-3</v>
      </c>
      <c r="D1903">
        <f>LOG10(4.566151)</f>
        <v>0.65955026926162652</v>
      </c>
    </row>
    <row r="1904" spans="1:4">
      <c r="A1904">
        <v>1.0101659999999999</v>
      </c>
      <c r="B1904">
        <v>4.6694909999999998</v>
      </c>
      <c r="C1904">
        <f>LOG10(1.010166)</f>
        <v>4.3927470105438017E-3</v>
      </c>
      <c r="D1904">
        <f>LOG10(4.669491)</f>
        <v>0.66926954267767524</v>
      </c>
    </row>
    <row r="1905" spans="1:4">
      <c r="A1905">
        <v>1.0050539999999999</v>
      </c>
      <c r="B1905">
        <v>4.7563750000000002</v>
      </c>
      <c r="C1905">
        <f>LOG10(1.005054)</f>
        <v>2.189396355506878E-3</v>
      </c>
      <c r="D1905">
        <f>LOG10(4.756375)</f>
        <v>0.6772760877486852</v>
      </c>
    </row>
    <row r="1906" spans="1:4">
      <c r="A1906">
        <v>1.006613</v>
      </c>
      <c r="B1906">
        <v>4.7244650000000004</v>
      </c>
      <c r="C1906">
        <f>LOG10(1.006613)</f>
        <v>2.8625348350206753E-3</v>
      </c>
      <c r="D1906">
        <f>LOG10(4.724465)</f>
        <v>0.67435263597694761</v>
      </c>
    </row>
    <row r="1907" spans="1:4">
      <c r="A1907">
        <v>1.0104040000000001</v>
      </c>
      <c r="B1907">
        <v>4.5854309999999998</v>
      </c>
      <c r="C1907">
        <f>LOG10(1.010404)</f>
        <v>4.4950568411075273E-3</v>
      </c>
      <c r="D1907">
        <f>LOG10(4.585431)</f>
        <v>0.66138016271586408</v>
      </c>
    </row>
    <row r="1908" spans="1:4">
      <c r="A1908">
        <v>1.008111</v>
      </c>
      <c r="B1908">
        <v>4.6327780000000001</v>
      </c>
      <c r="C1908">
        <f>LOG10(1.008111)</f>
        <v>3.5083535712612805E-3</v>
      </c>
      <c r="D1908">
        <f>LOG10(4.632778)</f>
        <v>0.6658414895653435</v>
      </c>
    </row>
    <row r="1909" spans="1:4">
      <c r="A1909">
        <v>1.0058929999999999</v>
      </c>
      <c r="B1909">
        <v>4.3238770000000004</v>
      </c>
      <c r="C1909">
        <f>LOG10(1.005893)</f>
        <v>2.5517859077515909E-3</v>
      </c>
      <c r="D1909">
        <f>LOG10(4.323877)</f>
        <v>0.63587333121534939</v>
      </c>
    </row>
    <row r="1910" spans="1:4">
      <c r="A1910">
        <v>1.0049410000000001</v>
      </c>
      <c r="B1910">
        <v>4.3992589999999998</v>
      </c>
      <c r="C1910">
        <f>LOG10(1.004941)</f>
        <v>2.1405651131339506E-3</v>
      </c>
      <c r="D1910">
        <f>LOG10(4.399259)</f>
        <v>0.64337953118796376</v>
      </c>
    </row>
    <row r="1911" spans="1:4">
      <c r="A1911">
        <v>1.0113259999999999</v>
      </c>
      <c r="B1911">
        <v>4.6779520000000003</v>
      </c>
      <c r="C1911">
        <f>LOG10(1.011326)</f>
        <v>4.8911725836390304E-3</v>
      </c>
      <c r="D1911">
        <f>LOG10(4.677952)</f>
        <v>0.67005576124353161</v>
      </c>
    </row>
    <row r="1912" spans="1:4">
      <c r="A1912">
        <v>1.0074339999999999</v>
      </c>
      <c r="B1912">
        <v>4.4584339999999996</v>
      </c>
      <c r="C1912">
        <f>LOG10(1.007434)</f>
        <v>3.2166038208903476E-3</v>
      </c>
      <c r="D1912">
        <f>LOG10(4.458434)</f>
        <v>0.64918234198876856</v>
      </c>
    </row>
    <row r="1913" spans="1:4">
      <c r="A1913">
        <v>1.0041789999999999</v>
      </c>
      <c r="B1913">
        <v>4.3626709999999997</v>
      </c>
      <c r="C1913">
        <f>LOG10(1.004179)</f>
        <v>1.8111349038103393E-3</v>
      </c>
      <c r="D1913">
        <f>LOG10(4.362671)</f>
        <v>0.63975246298178001</v>
      </c>
    </row>
    <row r="1914" spans="1:4">
      <c r="A1914">
        <v>1.0037069999999999</v>
      </c>
      <c r="B1914">
        <v>4.0334180000000002</v>
      </c>
      <c r="C1914">
        <f>LOG10(1.003707)</f>
        <v>1.60695299384716E-3</v>
      </c>
      <c r="D1914">
        <f>LOG10(4.033418)</f>
        <v>0.60567323209601176</v>
      </c>
    </row>
    <row r="1915" spans="1:4">
      <c r="A1915">
        <v>1.011617</v>
      </c>
      <c r="B1915">
        <v>4.654617</v>
      </c>
      <c r="C1915">
        <f>LOG10(1.011617)</f>
        <v>5.0161189564291485E-3</v>
      </c>
      <c r="D1915">
        <f>LOG10(4.654617)</f>
        <v>0.66788395134749723</v>
      </c>
    </row>
    <row r="1916" spans="1:4">
      <c r="A1916">
        <v>1.007028</v>
      </c>
      <c r="B1916">
        <v>4.4168190000000003</v>
      </c>
      <c r="C1916">
        <f>LOG10(1.007028)</f>
        <v>3.0415461012212076E-3</v>
      </c>
      <c r="D1916">
        <f>LOG10(4.416819)</f>
        <v>0.64510960235735992</v>
      </c>
    </row>
    <row r="1917" spans="1:4">
      <c r="A1917">
        <v>1.007023</v>
      </c>
      <c r="B1917">
        <v>4.7944040000000001</v>
      </c>
      <c r="C1917">
        <f>LOG10(1.007023)</f>
        <v>3.0393897780600413E-3</v>
      </c>
      <c r="D1917">
        <f>LOG10(4.794404)</f>
        <v>0.68073462702306953</v>
      </c>
    </row>
    <row r="1918" spans="1:4">
      <c r="A1918">
        <v>1.008643</v>
      </c>
      <c r="B1918">
        <v>4.4975800000000001</v>
      </c>
      <c r="C1918">
        <f>LOG10(1.008643)</f>
        <v>3.7374788584620231E-3</v>
      </c>
      <c r="D1918">
        <f>LOG10(4.49758)</f>
        <v>0.65297889703138612</v>
      </c>
    </row>
    <row r="1919" spans="1:4">
      <c r="A1919">
        <v>1.0095959999999999</v>
      </c>
      <c r="B1919">
        <v>4.62629</v>
      </c>
      <c r="C1919">
        <f>LOG10(1.009596)</f>
        <v>4.1476212370549648E-3</v>
      </c>
      <c r="D1919">
        <f>LOG10(4.62629)</f>
        <v>0.66523285313244152</v>
      </c>
    </row>
    <row r="1920" spans="1:4">
      <c r="A1920">
        <v>1.072443</v>
      </c>
      <c r="B1920">
        <v>3.9453559999999999</v>
      </c>
      <c r="C1920">
        <f>LOG10(1.072443)</f>
        <v>3.0374218858336445E-2</v>
      </c>
      <c r="D1920">
        <f>LOG10(3.945356)</f>
        <v>0.59608619686355413</v>
      </c>
    </row>
    <row r="1921" spans="1:4">
      <c r="A1921">
        <v>1.0862879999999999</v>
      </c>
      <c r="B1921">
        <v>3.9627650000000001</v>
      </c>
      <c r="C1921">
        <f>LOG10(1.086288)</f>
        <v>3.5944982001400096E-2</v>
      </c>
      <c r="D1921">
        <f>LOG10(3.962765)</f>
        <v>0.5979983185543899</v>
      </c>
    </row>
    <row r="1922" spans="1:4">
      <c r="A1922">
        <v>1.083879</v>
      </c>
      <c r="B1922">
        <v>4.5399599999999998</v>
      </c>
      <c r="C1922">
        <f>LOG10(1.083879)</f>
        <v>3.498080197596725E-2</v>
      </c>
      <c r="D1922">
        <f>LOG10(4.53996)</f>
        <v>0.657052026457147</v>
      </c>
    </row>
    <row r="1923" spans="1:4">
      <c r="A1923">
        <v>1.070662</v>
      </c>
      <c r="B1923">
        <v>4.3914540000000004</v>
      </c>
      <c r="C1923">
        <f>LOG10(1.070662)</f>
        <v>2.96523889430216E-2</v>
      </c>
      <c r="D1923">
        <f>LOG10(4.391454)</f>
        <v>0.64260833792480998</v>
      </c>
    </row>
    <row r="1924" spans="1:4">
      <c r="A1924">
        <v>1.0864560000000001</v>
      </c>
      <c r="B1924">
        <v>4.6759230000000001</v>
      </c>
      <c r="C1924">
        <f>LOG10(1.086456)</f>
        <v>3.6012142672979648E-2</v>
      </c>
      <c r="D1924">
        <f>LOG10(4.675923)</f>
        <v>0.66986735087507954</v>
      </c>
    </row>
    <row r="1925" spans="1:4">
      <c r="A1925">
        <v>1.1095029999999999</v>
      </c>
      <c r="B1925">
        <v>4.7321350000000004</v>
      </c>
      <c r="C1925">
        <f>LOG10(1.109503)</f>
        <v>4.5128480864272486E-2</v>
      </c>
      <c r="D1925">
        <f>LOG10(4.732135)</f>
        <v>0.67505712583728417</v>
      </c>
    </row>
    <row r="1926" spans="1:4">
      <c r="A1926">
        <v>1.087866</v>
      </c>
      <c r="B1926">
        <v>4.5026339999999996</v>
      </c>
      <c r="C1926">
        <f>LOG10(1.087866)</f>
        <v>3.6575403593229916E-2</v>
      </c>
      <c r="D1926">
        <f>LOG10(4.502634)</f>
        <v>0.6534666464431772</v>
      </c>
    </row>
    <row r="1927" spans="1:4">
      <c r="A1927">
        <v>1.1054409999999999</v>
      </c>
      <c r="B1927">
        <v>4.3204229999999999</v>
      </c>
      <c r="C1927">
        <f>LOG10(1.105441)</f>
        <v>4.3535568209884037E-2</v>
      </c>
      <c r="D1927">
        <f>LOG10(4.320423)</f>
        <v>0.63552626940113077</v>
      </c>
    </row>
    <row r="1928" spans="1:4">
      <c r="A1928">
        <v>1.090498</v>
      </c>
      <c r="B1928">
        <v>4.7032030000000002</v>
      </c>
      <c r="C1928">
        <f>LOG10(1.090498)</f>
        <v>3.7624873408749038E-2</v>
      </c>
      <c r="D1928">
        <f>LOG10(4.703203)</f>
        <v>0.67239372420157095</v>
      </c>
    </row>
    <row r="1929" spans="1:4">
      <c r="A1929">
        <v>1.083683</v>
      </c>
      <c r="B1929">
        <v>4.1040200000000002</v>
      </c>
      <c r="C1929">
        <f>LOG10(1.083683)</f>
        <v>3.490226053753543E-2</v>
      </c>
      <c r="D1929">
        <f>LOG10(4.10402)</f>
        <v>0.61320946854344649</v>
      </c>
    </row>
    <row r="1930" spans="1:4">
      <c r="A1930">
        <v>1.1165860000000001</v>
      </c>
      <c r="B1930">
        <v>4.8500959999999997</v>
      </c>
      <c r="C1930">
        <f>LOG10(1.116586)</f>
        <v>4.7892178269145186E-2</v>
      </c>
      <c r="D1930">
        <f>LOG10(4.850096)</f>
        <v>0.68575033486157155</v>
      </c>
    </row>
    <row r="1931" spans="1:4">
      <c r="A1931">
        <v>1.0849549999999999</v>
      </c>
      <c r="B1931">
        <v>4.6294190000000004</v>
      </c>
      <c r="C1931">
        <f>LOG10(1.084955)</f>
        <v>3.5411725597477621E-2</v>
      </c>
      <c r="D1931">
        <f>LOG10(4.629419)</f>
        <v>0.66552648973783679</v>
      </c>
    </row>
    <row r="1932" spans="1:4">
      <c r="A1932">
        <v>1.0732299999999999</v>
      </c>
      <c r="B1932">
        <v>4.3034270000000001</v>
      </c>
      <c r="C1932">
        <f>LOG10(1.07323)</f>
        <v>3.0692804003962001E-2</v>
      </c>
      <c r="D1932">
        <f>LOG10(4.303427)</f>
        <v>0.63381444032919809</v>
      </c>
    </row>
    <row r="1933" spans="1:4">
      <c r="A1933">
        <v>1.0985290000000001</v>
      </c>
      <c r="B1933">
        <v>4.3580110000000003</v>
      </c>
      <c r="C1933">
        <f>LOG10(1.098529)</f>
        <v>4.0811526321374379E-2</v>
      </c>
      <c r="D1933">
        <f>LOG10(4.358011)</f>
        <v>0.63928832210878472</v>
      </c>
    </row>
    <row r="1934" spans="1:4">
      <c r="A1934">
        <v>1.1003750000000001</v>
      </c>
      <c r="B1934">
        <v>4.8051250000000003</v>
      </c>
      <c r="C1934">
        <f>LOG10(1.100375)</f>
        <v>4.1540714864334694E-2</v>
      </c>
      <c r="D1934">
        <f>LOG10(4.805125)</f>
        <v>0.68170468984101085</v>
      </c>
    </row>
    <row r="1935" spans="1:4">
      <c r="A1935">
        <v>1.083083</v>
      </c>
      <c r="B1935">
        <v>4.59755</v>
      </c>
      <c r="C1935">
        <f>LOG10(1.083083)</f>
        <v>3.4661739229925652E-2</v>
      </c>
      <c r="D1935">
        <f>LOG10(4.59755)</f>
        <v>0.66252646104356083</v>
      </c>
    </row>
    <row r="1936" spans="1:4">
      <c r="A1936">
        <v>1.073906</v>
      </c>
      <c r="B1936">
        <v>4.6617009999999999</v>
      </c>
      <c r="C1936">
        <f>LOG10(1.073906)</f>
        <v>3.0966268823579321E-2</v>
      </c>
      <c r="D1936">
        <f>LOG10(4.661701)</f>
        <v>0.66854441456971481</v>
      </c>
    </row>
    <row r="1937" spans="1:4">
      <c r="A1937">
        <v>1.074227</v>
      </c>
      <c r="B1937">
        <v>4.4665850000000002</v>
      </c>
      <c r="C1937">
        <f>LOG10(1.074227)</f>
        <v>3.1096063887226324E-2</v>
      </c>
      <c r="D1937">
        <f>LOG10(4.466585)</f>
        <v>0.64997560311374336</v>
      </c>
    </row>
    <row r="1938" spans="1:4">
      <c r="A1938">
        <v>1.0862719999999999</v>
      </c>
      <c r="B1938">
        <v>4.713851</v>
      </c>
      <c r="C1938">
        <f>LOG10(1.086272)</f>
        <v>3.5938585205260443E-2</v>
      </c>
      <c r="D1938">
        <f>LOG10(4.713851)</f>
        <v>0.67337585080169082</v>
      </c>
    </row>
    <row r="1939" spans="1:4">
      <c r="A1939">
        <v>1.0652379999999999</v>
      </c>
      <c r="B1939">
        <v>4.368671</v>
      </c>
      <c r="C1939">
        <f>LOG10(1.065238)</f>
        <v>2.7446650534413433E-2</v>
      </c>
      <c r="D1939">
        <f>LOG10(4.368671)</f>
        <v>0.64034933968219587</v>
      </c>
    </row>
    <row r="1940" spans="1:4">
      <c r="A1940">
        <v>1.079474</v>
      </c>
      <c r="B1940">
        <v>4.2493889999999999</v>
      </c>
      <c r="C1940">
        <f>LOG10(1.079474)</f>
        <v>3.3212186464123897E-2</v>
      </c>
      <c r="D1940">
        <f>LOG10(4.249389)</f>
        <v>0.62832648934336188</v>
      </c>
    </row>
    <row r="1941" spans="1:4">
      <c r="A1941">
        <v>1.093599</v>
      </c>
      <c r="B1941">
        <v>4.576479</v>
      </c>
      <c r="C1941">
        <f>LOG10(1.093599)</f>
        <v>3.8858104435881016E-2</v>
      </c>
      <c r="D1941">
        <f>LOG10(4.576479)</f>
        <v>0.66053147386403499</v>
      </c>
    </row>
    <row r="1942" spans="1:4">
      <c r="A1942">
        <v>1.091877</v>
      </c>
      <c r="B1942">
        <v>4.7483969999999998</v>
      </c>
      <c r="C1942">
        <f>LOG10(1.091877)</f>
        <v>3.8173717828476839E-2</v>
      </c>
      <c r="D1942">
        <f>LOG10(4.748397)</f>
        <v>0.67654702192989014</v>
      </c>
    </row>
    <row r="1943" spans="1:4">
      <c r="A1943">
        <v>1.1005670000000001</v>
      </c>
      <c r="B1943">
        <v>4.7309229999999998</v>
      </c>
      <c r="C1943">
        <f>LOG10(1.100567)</f>
        <v>4.1616486548219984E-2</v>
      </c>
      <c r="D1943">
        <f>LOG10(4.730923)</f>
        <v>0.67494587957525232</v>
      </c>
    </row>
    <row r="1944" spans="1:4">
      <c r="A1944">
        <v>1.1163620000000001</v>
      </c>
      <c r="B1944">
        <v>4.4700899999999999</v>
      </c>
      <c r="C1944">
        <f>LOG10(1.116362)</f>
        <v>4.7805045058454516E-2</v>
      </c>
      <c r="D1944">
        <f>LOG10(4.47009)</f>
        <v>0.65031626722810831</v>
      </c>
    </row>
    <row r="1945" spans="1:4">
      <c r="A1945">
        <v>1.077439</v>
      </c>
      <c r="B1945">
        <v>4.4136850000000001</v>
      </c>
      <c r="C1945">
        <f>LOG10(1.077439)</f>
        <v>3.2392691627838435E-2</v>
      </c>
      <c r="D1945">
        <f>LOG10(4.413685)</f>
        <v>0.6448013347967696</v>
      </c>
    </row>
    <row r="1946" spans="1:4">
      <c r="A1946">
        <v>1.091189</v>
      </c>
      <c r="B1946">
        <v>4.727004</v>
      </c>
      <c r="C1946">
        <f>LOG10(1.091189)</f>
        <v>3.789997932176959E-2</v>
      </c>
      <c r="D1946">
        <f>LOG10(4.727004)</f>
        <v>0.67458596980390662</v>
      </c>
    </row>
    <row r="1947" spans="1:4">
      <c r="A1947">
        <v>1.1074539999999999</v>
      </c>
      <c r="B1947">
        <v>4.4415420000000001</v>
      </c>
      <c r="C1947">
        <f>LOG10(1.107454)</f>
        <v>4.4325696104079951E-2</v>
      </c>
      <c r="D1947">
        <f>LOG10(4.441542)</f>
        <v>0.64753377322917438</v>
      </c>
    </row>
    <row r="1948" spans="1:4">
      <c r="A1948">
        <v>1.1023510000000001</v>
      </c>
      <c r="B1948">
        <v>4.6203560000000001</v>
      </c>
      <c r="C1948">
        <f>LOG10(1.102351)</f>
        <v>4.2319900406648771E-2</v>
      </c>
      <c r="D1948">
        <f>LOG10(4.620356)</f>
        <v>0.66467543938276463</v>
      </c>
    </row>
    <row r="1949" spans="1:4">
      <c r="A1949">
        <v>1.10043</v>
      </c>
      <c r="B1949">
        <v>4.4234419999999997</v>
      </c>
      <c r="C1949">
        <f>LOG10(1.10043)</f>
        <v>4.1562421645725704E-2</v>
      </c>
      <c r="D1949">
        <f>LOG10(4.423442)</f>
        <v>0.64576033719240322</v>
      </c>
    </row>
    <row r="1950" spans="1:4">
      <c r="A1950">
        <v>1.113518</v>
      </c>
      <c r="B1950">
        <v>4.6028219999999997</v>
      </c>
      <c r="C1950">
        <f>LOG10(1.113518)</f>
        <v>4.6697241789895927E-2</v>
      </c>
      <c r="D1950">
        <f>LOG10(4.602822)</f>
        <v>0.663024180213871</v>
      </c>
    </row>
    <row r="1951" spans="1:4">
      <c r="A1951">
        <v>1.084827</v>
      </c>
      <c r="B1951">
        <v>4.2977720000000001</v>
      </c>
      <c r="C1951">
        <f>LOG10(1.084827)</f>
        <v>3.5360485709094308E-2</v>
      </c>
      <c r="D1951">
        <f>LOG10(4.297772)</f>
        <v>0.63324337212137449</v>
      </c>
    </row>
    <row r="1952" spans="1:4">
      <c r="A1952">
        <v>1.0809230000000001</v>
      </c>
      <c r="B1952">
        <v>4.3804740000000004</v>
      </c>
      <c r="C1952">
        <f>LOG10(1.080923)</f>
        <v>3.3794757906910305E-2</v>
      </c>
      <c r="D1952">
        <f>LOG10(4.380474)</f>
        <v>0.64152110695306408</v>
      </c>
    </row>
    <row r="1953" spans="1:4">
      <c r="A1953">
        <v>1.0756829999999999</v>
      </c>
      <c r="B1953">
        <v>4.4111690000000001</v>
      </c>
      <c r="C1953">
        <f>LOG10(1.075683)</f>
        <v>3.1684305127393994E-2</v>
      </c>
      <c r="D1953">
        <f>LOG10(4.411169)</f>
        <v>0.64455369671775453</v>
      </c>
    </row>
    <row r="1954" spans="1:4">
      <c r="A1954">
        <v>1.067922</v>
      </c>
      <c r="B1954">
        <v>4.4342230000000002</v>
      </c>
      <c r="C1954">
        <f>LOG10(1.067922)</f>
        <v>2.8539533397915904E-2</v>
      </c>
      <c r="D1954">
        <f>LOG10(4.434223)</f>
        <v>0.64681753028369204</v>
      </c>
    </row>
    <row r="1955" spans="1:4">
      <c r="A1955">
        <v>1.0692010000000001</v>
      </c>
      <c r="B1955">
        <v>4.3646609999999999</v>
      </c>
      <c r="C1955">
        <f>LOG10(1.069201)</f>
        <v>2.905935627069382E-2</v>
      </c>
      <c r="D1955">
        <f>LOG10(4.364661)</f>
        <v>0.63995051801944003</v>
      </c>
    </row>
    <row r="1956" spans="1:4">
      <c r="A1956">
        <v>1.108862</v>
      </c>
      <c r="B1956">
        <v>4.0871750000000002</v>
      </c>
      <c r="C1956">
        <f>LOG10(1.108862)</f>
        <v>4.4877500731924917E-2</v>
      </c>
      <c r="D1956">
        <f>LOG10(4.087175)</f>
        <v>0.61142323323575209</v>
      </c>
    </row>
    <row r="1957" spans="1:4">
      <c r="A1957">
        <v>1.0695269999999999</v>
      </c>
      <c r="B1957">
        <v>4.0197070000000004</v>
      </c>
      <c r="C1957">
        <f>LOG10(1.069527)</f>
        <v>2.9191752725219008E-2</v>
      </c>
      <c r="D1957">
        <f>LOG10(4.019707)</f>
        <v>0.60419439812907083</v>
      </c>
    </row>
    <row r="1958" spans="1:4">
      <c r="A1958">
        <v>1.055339</v>
      </c>
      <c r="B1958">
        <v>4.2989990000000002</v>
      </c>
      <c r="C1958">
        <f>LOG10(1.055339)</f>
        <v>2.3391987766993919E-2</v>
      </c>
      <c r="D1958">
        <f>LOG10(4.298999)</f>
        <v>0.6333673440947849</v>
      </c>
    </row>
    <row r="1959" spans="1:4">
      <c r="A1959">
        <v>1.0815600000000001</v>
      </c>
      <c r="B1959">
        <v>4.2528879999999996</v>
      </c>
      <c r="C1959">
        <f>LOG10(1.08156)</f>
        <v>3.4050617114103107E-2</v>
      </c>
      <c r="D1959">
        <f>LOG10(4.252888)</f>
        <v>0.62868394569957486</v>
      </c>
    </row>
    <row r="1960" spans="1:4">
      <c r="A1960">
        <v>1.0534410000000001</v>
      </c>
      <c r="B1960">
        <v>4.0380839999999996</v>
      </c>
      <c r="C1960">
        <f>LOG10(1.053441)</f>
        <v>2.2610217123082279E-2</v>
      </c>
      <c r="D1960">
        <f>LOG10(4.038084)</f>
        <v>0.60617534887137525</v>
      </c>
    </row>
    <row r="1961" spans="1:4">
      <c r="A1961">
        <v>1.070238</v>
      </c>
      <c r="B1961">
        <v>3.8992870000000002</v>
      </c>
      <c r="C1961">
        <f>LOG10(1.070238)</f>
        <v>2.9480367024450456E-2</v>
      </c>
      <c r="D1961">
        <f>LOG10(3.899287)</f>
        <v>0.59098520182793179</v>
      </c>
    </row>
    <row r="1962" spans="1:4">
      <c r="A1962">
        <v>1.0810109999999999</v>
      </c>
      <c r="B1962">
        <v>3.8066230000000001</v>
      </c>
      <c r="C1962">
        <f>LOG10(1.081011)</f>
        <v>3.3830113208624911E-2</v>
      </c>
      <c r="D1962">
        <f>LOG10(3.806623)</f>
        <v>0.58053986732471652</v>
      </c>
    </row>
    <row r="1963" spans="1:4">
      <c r="A1963">
        <v>1.082721</v>
      </c>
      <c r="B1963">
        <v>4.1191459999999998</v>
      </c>
      <c r="C1963">
        <f>LOG10(1.082721)</f>
        <v>3.4516560253515044E-2</v>
      </c>
      <c r="D1963">
        <f>LOG10(4.119146)</f>
        <v>0.61480718546713331</v>
      </c>
    </row>
    <row r="1964" spans="1:4">
      <c r="A1964">
        <v>1.0718319999999999</v>
      </c>
      <c r="B1964">
        <v>3.8532320000000002</v>
      </c>
      <c r="C1964">
        <f>LOG10(1.071832)</f>
        <v>3.0126718947527786E-2</v>
      </c>
      <c r="D1964">
        <f>LOG10(3.853232)</f>
        <v>0.58582515832172455</v>
      </c>
    </row>
    <row r="1965" spans="1:4">
      <c r="A1965">
        <v>1.0646059999999999</v>
      </c>
      <c r="B1965">
        <v>3.5985670000000001</v>
      </c>
      <c r="C1965">
        <f>LOG10(1.064606)</f>
        <v>2.7188909478618899E-2</v>
      </c>
      <c r="D1965">
        <f>LOG10(3.598567)</f>
        <v>0.55612959302029041</v>
      </c>
    </row>
    <row r="1966" spans="1:4">
      <c r="A1966">
        <v>1.0829949999999999</v>
      </c>
      <c r="B1966">
        <v>3.661651</v>
      </c>
      <c r="C1966">
        <f>LOG10(1.082995)</f>
        <v>3.462645156768214E-2</v>
      </c>
      <c r="D1966">
        <f>LOG10(3.661651)</f>
        <v>0.56367694837716564</v>
      </c>
    </row>
    <row r="1967" spans="1:4">
      <c r="A1967">
        <v>1.0461290000000001</v>
      </c>
      <c r="B1967">
        <v>3.8942730000000001</v>
      </c>
      <c r="C1967">
        <f>LOG10(1.046129)</f>
        <v>1.9585241446949023E-2</v>
      </c>
      <c r="D1967">
        <f>LOG10(3.894273)</f>
        <v>0.59042639357273297</v>
      </c>
    </row>
    <row r="1968" spans="1:4">
      <c r="A1968">
        <v>1.066867</v>
      </c>
      <c r="B1968">
        <v>3.5806840000000002</v>
      </c>
      <c r="C1968">
        <f>LOG10(1.066867)</f>
        <v>2.8110281874034065E-2</v>
      </c>
      <c r="D1968">
        <f>LOG10(3.580684)</f>
        <v>0.55396599565256832</v>
      </c>
    </row>
    <row r="1969" spans="1:4">
      <c r="A1969">
        <v>1.0612619999999999</v>
      </c>
      <c r="B1969">
        <v>3.3417759999999999</v>
      </c>
      <c r="C1969">
        <f>LOG10(1.061262)</f>
        <v>2.5822613974570714E-2</v>
      </c>
      <c r="D1969">
        <f>LOG10(3.341776)</f>
        <v>0.52397733567577787</v>
      </c>
    </row>
    <row r="1970" spans="1:4">
      <c r="A1970">
        <v>1.067007</v>
      </c>
      <c r="B1970">
        <v>3.2539199999999999</v>
      </c>
      <c r="C1970">
        <f>LOG10(1.067007)</f>
        <v>2.8167268582296789E-2</v>
      </c>
      <c r="D1970">
        <f>LOG10(3.25392)</f>
        <v>0.51240687128502971</v>
      </c>
    </row>
    <row r="1971" spans="1:4">
      <c r="A1971">
        <v>1.058276</v>
      </c>
      <c r="B1971">
        <v>3.2883490000000002</v>
      </c>
      <c r="C1971">
        <f>LOG10(1.058276)</f>
        <v>2.4598947136900862E-2</v>
      </c>
      <c r="D1971">
        <f>LOG10(3.288349)</f>
        <v>0.51697790398076504</v>
      </c>
    </row>
    <row r="1972" spans="1:4">
      <c r="A1972">
        <v>1.062999</v>
      </c>
      <c r="B1972">
        <v>3.2502049999999998</v>
      </c>
      <c r="C1972">
        <f>LOG10(1.062999)</f>
        <v>2.653285596761833E-2</v>
      </c>
      <c r="D1972">
        <f>LOG10(3.250205)</f>
        <v>0.51191075407457509</v>
      </c>
    </row>
    <row r="1973" spans="1:4">
      <c r="A1973">
        <v>1.0583469999999999</v>
      </c>
      <c r="B1973">
        <v>3.3435009999999998</v>
      </c>
      <c r="C1973">
        <f>LOG10(1.058347)</f>
        <v>2.462808308432907E-2</v>
      </c>
      <c r="D1973">
        <f>LOG10(3.343501)</f>
        <v>0.524201457428073</v>
      </c>
    </row>
    <row r="1974" spans="1:4">
      <c r="A1974">
        <v>1.065137</v>
      </c>
      <c r="B1974">
        <v>3.0209549999999998</v>
      </c>
      <c r="C1974">
        <f>LOG10(1.065137)</f>
        <v>2.7405471171432688E-2</v>
      </c>
      <c r="D1974">
        <f>LOG10(3.020955)</f>
        <v>0.48014425609180322</v>
      </c>
    </row>
    <row r="1975" spans="1:4">
      <c r="A1975">
        <v>1.0585009999999999</v>
      </c>
      <c r="B1975">
        <v>2.8946010000000002</v>
      </c>
      <c r="C1975">
        <f>LOG10(1.058501)</f>
        <v>2.469127264761475E-2</v>
      </c>
      <c r="D1975">
        <f>LOG10(2.894601)</f>
        <v>0.4615887078076088</v>
      </c>
    </row>
    <row r="1976" spans="1:4">
      <c r="A1976">
        <v>1.056305</v>
      </c>
      <c r="B1976">
        <v>2.8666420000000001</v>
      </c>
      <c r="C1976">
        <f>LOG10(1.056305)</f>
        <v>2.3789335519535406E-2</v>
      </c>
      <c r="D1976">
        <f>LOG10(2.866642)</f>
        <v>0.45737345955530895</v>
      </c>
    </row>
    <row r="1977" spans="1:4">
      <c r="A1977">
        <v>1.063995</v>
      </c>
      <c r="B1977">
        <v>3.0550130000000002</v>
      </c>
      <c r="C1977">
        <f>LOG10(1.063995)</f>
        <v>2.6939587096706383E-2</v>
      </c>
      <c r="D1977">
        <f>LOG10(3.055013)</f>
        <v>0.48501306263626615</v>
      </c>
    </row>
    <row r="1978" spans="1:4">
      <c r="A1978">
        <v>1.077758</v>
      </c>
      <c r="B1978">
        <v>3.0036640000000001</v>
      </c>
      <c r="C1978">
        <f>LOG10(1.077758)</f>
        <v>3.2521255226190551E-2</v>
      </c>
      <c r="D1978">
        <f>LOG10(3.003664)</f>
        <v>0.47765134940159421</v>
      </c>
    </row>
    <row r="1979" spans="1:4">
      <c r="A1979">
        <v>1.0836440000000001</v>
      </c>
      <c r="B1979">
        <v>2.9910399999999999</v>
      </c>
      <c r="C1979">
        <f>LOG10(1.083644)</f>
        <v>3.4886630699678928E-2</v>
      </c>
      <c r="D1979">
        <f>LOG10(2.99104)</f>
        <v>0.47582222100962535</v>
      </c>
    </row>
    <row r="1980" spans="1:4">
      <c r="A1980">
        <v>1.0782080000000001</v>
      </c>
      <c r="B1980">
        <v>3.2183709999999999</v>
      </c>
      <c r="C1980">
        <f>LOG10(1.078208)</f>
        <v>3.2702549847436452E-2</v>
      </c>
      <c r="D1980">
        <f>LOG10(3.218371)</f>
        <v>0.50763610625326261</v>
      </c>
    </row>
    <row r="1981" spans="1:4">
      <c r="A1981">
        <v>1.0865899999999999</v>
      </c>
      <c r="B1981">
        <v>3.0164309999999999</v>
      </c>
      <c r="C1981">
        <f>LOG10(1.08659)</f>
        <v>3.6065703859119967E-2</v>
      </c>
      <c r="D1981">
        <f>LOG10(3.016431)</f>
        <v>0.47949339540346436</v>
      </c>
    </row>
    <row r="1982" spans="1:4">
      <c r="A1982">
        <v>1.073277</v>
      </c>
      <c r="B1982">
        <v>3.0120719999999999</v>
      </c>
      <c r="C1982">
        <f>LOG10(1.073277)</f>
        <v>3.0711822661392676E-2</v>
      </c>
      <c r="D1982">
        <f>LOG10(3.012072)</f>
        <v>0.47886534894598282</v>
      </c>
    </row>
    <row r="1983" spans="1:4">
      <c r="A1983">
        <v>1.0552900000000001</v>
      </c>
      <c r="B1983">
        <v>2.9567960000000002</v>
      </c>
      <c r="C1983">
        <f>LOG10(1.05529)</f>
        <v>2.3371822754936312E-2</v>
      </c>
      <c r="D1983">
        <f>LOG10(2.956796)</f>
        <v>0.470821362020024</v>
      </c>
    </row>
    <row r="1984" spans="1:4">
      <c r="A1984">
        <v>1.070819</v>
      </c>
      <c r="B1984">
        <v>3.057277</v>
      </c>
      <c r="C1984">
        <f>LOG10(1.070819)</f>
        <v>2.971606845620052E-2</v>
      </c>
      <c r="D1984">
        <f>LOG10(3.057277)</f>
        <v>0.48533478910932121</v>
      </c>
    </row>
    <row r="1985" spans="1:4">
      <c r="A1985">
        <v>1.0761309999999999</v>
      </c>
      <c r="B1985">
        <v>2.9326539999999999</v>
      </c>
      <c r="C1985">
        <f>LOG10(1.076131)</f>
        <v>3.1865142254305361E-2</v>
      </c>
      <c r="D1985">
        <f>LOG10(2.932654)</f>
        <v>0.4672608271282796</v>
      </c>
    </row>
    <row r="1986" spans="1:4">
      <c r="A1986">
        <v>1.0788310000000001</v>
      </c>
      <c r="B1986">
        <v>3.0434009999999998</v>
      </c>
      <c r="C1986">
        <f>LOG10(1.078831)</f>
        <v>3.2953417328042127E-2</v>
      </c>
      <c r="D1986">
        <f>LOG10(3.043401)</f>
        <v>0.48335917898109093</v>
      </c>
    </row>
    <row r="1987" spans="1:4">
      <c r="A1987">
        <v>1.06501</v>
      </c>
      <c r="B1987">
        <v>2.951454</v>
      </c>
      <c r="C1987">
        <f>LOG10(1.06501)</f>
        <v>2.7353685638070849E-2</v>
      </c>
      <c r="D1987">
        <f>LOG10(2.951454)</f>
        <v>0.47003601889658431</v>
      </c>
    </row>
    <row r="1988" spans="1:4">
      <c r="A1988">
        <v>1.061688</v>
      </c>
      <c r="B1988">
        <v>2.8364549999999999</v>
      </c>
      <c r="C1988">
        <f>LOG10(1.061688)</f>
        <v>2.599690866052564E-2</v>
      </c>
      <c r="D1988">
        <f>LOG10(2.836455)</f>
        <v>0.45277589792832174</v>
      </c>
    </row>
    <row r="1989" spans="1:4">
      <c r="A1989">
        <v>1.064228</v>
      </c>
      <c r="B1989">
        <v>2.8672170000000001</v>
      </c>
      <c r="C1989">
        <f>LOG10(1.064228)</f>
        <v>2.7034681092671767E-2</v>
      </c>
      <c r="D1989">
        <f>LOG10(2.867217)</f>
        <v>0.45746056296260634</v>
      </c>
    </row>
    <row r="1990" spans="1:4">
      <c r="A1990">
        <v>1.0755030000000001</v>
      </c>
      <c r="B1990">
        <v>2.8577870000000001</v>
      </c>
      <c r="C1990">
        <f>LOG10(1.075503)</f>
        <v>3.1611626142940802E-2</v>
      </c>
      <c r="D1990">
        <f>LOG10(2.857787)</f>
        <v>0.45602985630523268</v>
      </c>
    </row>
    <row r="1991" spans="1:4">
      <c r="A1991">
        <v>1.06745</v>
      </c>
      <c r="B1991">
        <v>2.939308</v>
      </c>
      <c r="C1991">
        <f>LOG10(1.06745)</f>
        <v>2.8347541558745235E-2</v>
      </c>
      <c r="D1991">
        <f>LOG10(2.939308)</f>
        <v>0.46824509668571707</v>
      </c>
    </row>
    <row r="1992" spans="1:4">
      <c r="A1992">
        <v>1.0665279999999999</v>
      </c>
      <c r="B1992">
        <v>2.924636</v>
      </c>
      <c r="C1992">
        <f>LOG10(1.066528)</f>
        <v>2.7972261647489633E-2</v>
      </c>
      <c r="D1992">
        <f>LOG10(2.924636)</f>
        <v>0.46607182151956117</v>
      </c>
    </row>
    <row r="1993" spans="1:4">
      <c r="A1993">
        <v>1.055218</v>
      </c>
      <c r="B1993">
        <v>2.8466640000000001</v>
      </c>
      <c r="C1993">
        <f>LOG10(1.055218)</f>
        <v>2.3342190834366294E-2</v>
      </c>
      <c r="D1993">
        <f>LOG10(2.846664)</f>
        <v>0.45433620913591377</v>
      </c>
    </row>
    <row r="1994" spans="1:4">
      <c r="A1994">
        <v>1.0747599999999999</v>
      </c>
      <c r="B1994">
        <v>2.8638330000000001</v>
      </c>
      <c r="C1994">
        <f>LOG10(1.07476)</f>
        <v>3.1311494658655771E-2</v>
      </c>
      <c r="D1994">
        <f>LOG10(2.863833)</f>
        <v>0.45694768916197298</v>
      </c>
    </row>
    <row r="1995" spans="1:4">
      <c r="A1995">
        <v>1.128477</v>
      </c>
      <c r="B1995">
        <v>2.9568279999999998</v>
      </c>
      <c r="C1995">
        <f>LOG10(1.128477)</f>
        <v>5.2492711951772901E-2</v>
      </c>
      <c r="D1995">
        <f>LOG10(2.956828)</f>
        <v>0.4708260621576793</v>
      </c>
    </row>
    <row r="1996" spans="1:4">
      <c r="A1996">
        <v>1.0968899999999999</v>
      </c>
      <c r="B1996">
        <v>2.8931870000000002</v>
      </c>
      <c r="C1996">
        <f>LOG10(1.09689)</f>
        <v>4.0163077175147416E-2</v>
      </c>
      <c r="D1996">
        <f>LOG10(2.893187)</f>
        <v>0.46137650500763455</v>
      </c>
    </row>
    <row r="1997" spans="1:4">
      <c r="A1997">
        <v>1.0787340000000001</v>
      </c>
      <c r="B1997">
        <v>2.9353590000000001</v>
      </c>
      <c r="C1997">
        <f>LOG10(1.078734)</f>
        <v>3.291436722779207E-2</v>
      </c>
      <c r="D1997">
        <f>LOG10(2.935359)</f>
        <v>0.46766122387476255</v>
      </c>
    </row>
    <row r="1998" spans="1:4">
      <c r="A1998">
        <v>1.096041</v>
      </c>
      <c r="B1998">
        <v>2.7825920000000002</v>
      </c>
      <c r="C1998">
        <f>LOG10(1.096041)</f>
        <v>3.9826800262141228E-2</v>
      </c>
      <c r="D1998">
        <f>LOG10(2.782592)</f>
        <v>0.44444953219158556</v>
      </c>
    </row>
    <row r="1999" spans="1:4">
      <c r="A1999">
        <v>1.085232</v>
      </c>
      <c r="B1999">
        <v>2.7997700000000001</v>
      </c>
      <c r="C1999">
        <f>LOG10(1.085232)</f>
        <v>3.552259122531571E-2</v>
      </c>
      <c r="D1999">
        <f>LOG10(2.79977)</f>
        <v>0.44712235568736414</v>
      </c>
    </row>
    <row r="2000" spans="1:4">
      <c r="A2000">
        <v>1.084665</v>
      </c>
      <c r="B2000">
        <v>2.834209</v>
      </c>
      <c r="C2000">
        <f>LOG10(1.084665)</f>
        <v>3.5295626556629961E-2</v>
      </c>
      <c r="D2000">
        <f>LOG10(2.834209)</f>
        <v>0.45243187279921476</v>
      </c>
    </row>
    <row r="2001" spans="1:4">
      <c r="A2001">
        <v>1.090454</v>
      </c>
      <c r="B2001">
        <v>2.8282219999999998</v>
      </c>
      <c r="C2001">
        <f>LOG10(1.090454)</f>
        <v>3.7607349907813385E-2</v>
      </c>
      <c r="D2001">
        <f>LOG10(2.828222)</f>
        <v>0.45151349621076048</v>
      </c>
    </row>
    <row r="2002" spans="1:4">
      <c r="A2002">
        <v>1.1155900000000001</v>
      </c>
      <c r="B2002">
        <v>2.758213</v>
      </c>
      <c r="C2002">
        <f>LOG10(1.11559)</f>
        <v>4.7504612653636015E-2</v>
      </c>
      <c r="D2002">
        <f>LOG10(2.758213)</f>
        <v>0.44062780105403149</v>
      </c>
    </row>
    <row r="2003" spans="1:4">
      <c r="A2003">
        <v>1.092139</v>
      </c>
      <c r="B2003">
        <v>2.8356219999999999</v>
      </c>
      <c r="C2003">
        <f>LOG10(1.092139)</f>
        <v>3.827791592483188E-2</v>
      </c>
      <c r="D2003">
        <f>LOG10(2.835622)</f>
        <v>0.45264833714026248</v>
      </c>
    </row>
    <row r="2004" spans="1:4">
      <c r="A2004">
        <v>1.108946</v>
      </c>
      <c r="B2004">
        <v>2.799506</v>
      </c>
      <c r="C2004">
        <f>LOG10(1.108946)</f>
        <v>4.491039874338245E-2</v>
      </c>
      <c r="D2004">
        <f>LOG10(2.799506)</f>
        <v>0.4470814026272516</v>
      </c>
    </row>
    <row r="2005" spans="1:4">
      <c r="A2005">
        <v>1.362047</v>
      </c>
      <c r="B2005">
        <v>3.0249830000000002</v>
      </c>
      <c r="C2005">
        <f>LOG10(1.362047)</f>
        <v>0.13419209398533527</v>
      </c>
      <c r="D2005">
        <f>LOG10(3.024983)</f>
        <v>0.48072293831842555</v>
      </c>
    </row>
    <row r="2006" spans="1:4">
      <c r="A2006">
        <v>1.4369499999999999</v>
      </c>
      <c r="B2006">
        <v>3.2974329999999998</v>
      </c>
      <c r="C2006">
        <f>LOG10(1.43695)</f>
        <v>0.15744165672025021</v>
      </c>
      <c r="D2006">
        <f>LOG10(3.297433)</f>
        <v>0.5181759799497444</v>
      </c>
    </row>
    <row r="2007" spans="1:4">
      <c r="A2007">
        <v>1.123882</v>
      </c>
      <c r="B2007">
        <v>2.9970729999999999</v>
      </c>
      <c r="C2007">
        <f>LOG10(1.123882)</f>
        <v>5.0720715646697771E-2</v>
      </c>
      <c r="D2007">
        <f>LOG10(2.997073)</f>
        <v>0.47669732122761777</v>
      </c>
    </row>
    <row r="2008" spans="1:4">
      <c r="A2008">
        <v>1.083013</v>
      </c>
      <c r="B2008">
        <v>2.8036050000000001</v>
      </c>
      <c r="C2008">
        <f>LOG10(1.083013)</f>
        <v>3.4633669731857407E-2</v>
      </c>
      <c r="D2008">
        <f>LOG10(2.803605)</f>
        <v>0.44771682584085232</v>
      </c>
    </row>
    <row r="2009" spans="1:4">
      <c r="A2009">
        <v>1.085912</v>
      </c>
      <c r="B2009">
        <v>2.8223669999999998</v>
      </c>
      <c r="C2009">
        <f>LOG10(1.085912)</f>
        <v>3.5794632377215869E-2</v>
      </c>
      <c r="D2009">
        <f>LOG10(2.822367)</f>
        <v>0.45061348557414349</v>
      </c>
    </row>
    <row r="2010" spans="1:4">
      <c r="A2010">
        <v>1.0784309999999999</v>
      </c>
      <c r="B2010">
        <v>2.892938</v>
      </c>
      <c r="C2010">
        <f>LOG10(1.078431)</f>
        <v>3.2792363367278692E-2</v>
      </c>
      <c r="D2010">
        <f>LOG10(2.892938)</f>
        <v>0.46133912616564243</v>
      </c>
    </row>
    <row r="2011" spans="1:4">
      <c r="A2011">
        <v>1.0832379999999999</v>
      </c>
      <c r="B2011">
        <v>2.8538260000000002</v>
      </c>
      <c r="C2011">
        <f>LOG10(1.083238)</f>
        <v>3.4723886663117529E-2</v>
      </c>
      <c r="D2011">
        <f>LOG10(2.853826)</f>
        <v>0.45542749031208957</v>
      </c>
    </row>
    <row r="2012" spans="1:4">
      <c r="A2012">
        <v>1.1178999999999999</v>
      </c>
      <c r="B2012">
        <v>2.9046099999999999</v>
      </c>
      <c r="C2012">
        <f>LOG10(1.1179)</f>
        <v>4.8402956152739721E-2</v>
      </c>
      <c r="D2012">
        <f>LOG10(2.90461)</f>
        <v>0.46308782821744904</v>
      </c>
    </row>
    <row r="2013" spans="1:4">
      <c r="A2013">
        <v>1.4540979999999999</v>
      </c>
      <c r="B2013">
        <v>2.8186629999999999</v>
      </c>
      <c r="C2013">
        <f>LOG10(1.454098)</f>
        <v>0.16259367710416353</v>
      </c>
      <c r="D2013">
        <f>LOG10(2.818663)</f>
        <v>0.45004315462672628</v>
      </c>
    </row>
    <row r="2014" spans="1:4">
      <c r="A2014">
        <v>1.47343</v>
      </c>
      <c r="B2014">
        <v>2.868716</v>
      </c>
      <c r="C2014">
        <f>LOG10(1.47343)</f>
        <v>0.16832950812903119</v>
      </c>
      <c r="D2014">
        <f>LOG10(2.868716)</f>
        <v>0.45768755565697472</v>
      </c>
    </row>
    <row r="2015" spans="1:4">
      <c r="A2015">
        <v>1.171394</v>
      </c>
      <c r="B2015">
        <v>2.927724</v>
      </c>
      <c r="C2015">
        <f>LOG10(1.171394)</f>
        <v>6.8702995196837174E-2</v>
      </c>
      <c r="D2015">
        <f>LOG10(2.927724)</f>
        <v>0.46653013286219153</v>
      </c>
    </row>
    <row r="2016" spans="1:4">
      <c r="A2016">
        <v>1.061242</v>
      </c>
      <c r="B2016">
        <v>2.9053330000000002</v>
      </c>
      <c r="C2016">
        <f>LOG10(1.061242)</f>
        <v>2.5814429406119225E-2</v>
      </c>
      <c r="D2016">
        <f>LOG10(2.905333)</f>
        <v>0.46319591702728313</v>
      </c>
    </row>
    <row r="2017" spans="1:4">
      <c r="A2017">
        <v>1.063588</v>
      </c>
      <c r="B2017">
        <v>2.8987240000000001</v>
      </c>
      <c r="C2017">
        <f>LOG10(1.063588)</f>
        <v>2.677342873175351E-2</v>
      </c>
      <c r="D2017">
        <f>LOG10(2.898724)</f>
        <v>0.46220686627487712</v>
      </c>
    </row>
    <row r="2018" spans="1:4">
      <c r="A2018">
        <v>1.089216</v>
      </c>
      <c r="B2018">
        <v>3.0997849999999998</v>
      </c>
      <c r="C2018">
        <f>LOG10(1.089216)</f>
        <v>3.7114012268251742E-2</v>
      </c>
      <c r="D2018">
        <f>LOG10(3.099785)</f>
        <v>0.49133157236598091</v>
      </c>
    </row>
    <row r="2019" spans="1:4">
      <c r="A2019">
        <v>1.08162</v>
      </c>
      <c r="B2019">
        <v>2.8056559999999999</v>
      </c>
      <c r="C2019">
        <f>LOG10(1.08162)</f>
        <v>3.4074709116544748E-2</v>
      </c>
      <c r="D2019">
        <f>LOG10(2.805656)</f>
        <v>0.44803442133946775</v>
      </c>
    </row>
    <row r="2020" spans="1:4">
      <c r="A2020">
        <v>1.0868070000000001</v>
      </c>
      <c r="B2020">
        <v>2.9240889999999999</v>
      </c>
      <c r="C2020">
        <f>LOG10(1.086807)</f>
        <v>3.6152426996113554E-2</v>
      </c>
      <c r="D2020">
        <f>LOG10(2.924089)</f>
        <v>0.46599058703433793</v>
      </c>
    </row>
    <row r="2021" spans="1:4">
      <c r="A2021">
        <v>1.0930150000000001</v>
      </c>
      <c r="B2021">
        <v>2.893389</v>
      </c>
      <c r="C2021">
        <f>LOG10(1.093015)</f>
        <v>3.8626122034357911E-2</v>
      </c>
      <c r="D2021">
        <f>LOG10(2.893389)</f>
        <v>0.46140682604217376</v>
      </c>
    </row>
    <row r="2022" spans="1:4">
      <c r="A2022">
        <v>1.1210500000000001</v>
      </c>
      <c r="B2022">
        <v>2.8185259999999999</v>
      </c>
      <c r="C2022">
        <f>LOG10(1.12105)</f>
        <v>4.9624983014097443E-2</v>
      </c>
      <c r="D2022">
        <f>LOG10(2.818526)</f>
        <v>0.45002204540224139</v>
      </c>
    </row>
    <row r="2023" spans="1:4">
      <c r="A2023">
        <v>1.0962620000000001</v>
      </c>
      <c r="B2023">
        <v>2.8735110000000001</v>
      </c>
      <c r="C2023">
        <f>LOG10(1.096262)</f>
        <v>3.9914360312759911E-2</v>
      </c>
      <c r="D2023">
        <f>LOG10(2.873511)</f>
        <v>0.4584128639823864</v>
      </c>
    </row>
    <row r="2024" spans="1:4">
      <c r="A2024">
        <v>1.092757</v>
      </c>
      <c r="B2024">
        <v>2.8590279999999999</v>
      </c>
      <c r="C2024">
        <f>LOG10(1.092757)</f>
        <v>3.8523597181032453E-2</v>
      </c>
      <c r="D2024">
        <f>LOG10(2.859028)</f>
        <v>0.45621840865842506</v>
      </c>
    </row>
    <row r="2025" spans="1:4">
      <c r="A2025">
        <v>1.0925990000000001</v>
      </c>
      <c r="B2025">
        <v>2.967654</v>
      </c>
      <c r="C2025">
        <f>LOG10(1.092599)</f>
        <v>3.8460798691211828E-2</v>
      </c>
      <c r="D2025">
        <f>LOG10(2.967654)</f>
        <v>0.4724132649863092</v>
      </c>
    </row>
    <row r="2026" spans="1:4">
      <c r="A2026">
        <v>1.0694680000000001</v>
      </c>
      <c r="B2026">
        <v>2.8961830000000002</v>
      </c>
      <c r="C2026">
        <f>LOG10(1.069468)</f>
        <v>2.9167794394845438E-2</v>
      </c>
      <c r="D2026">
        <f>LOG10(2.896183)</f>
        <v>0.46182599999031276</v>
      </c>
    </row>
    <row r="2027" spans="1:4">
      <c r="A2027">
        <v>1.0734919999999999</v>
      </c>
      <c r="B2027">
        <v>2.99796</v>
      </c>
      <c r="C2027">
        <f>LOG10(1.073492)</f>
        <v>3.0798812285261212E-2</v>
      </c>
      <c r="D2027">
        <f>LOG10(2.99796)</f>
        <v>0.47682583401754208</v>
      </c>
    </row>
    <row r="2028" spans="1:4">
      <c r="A2028">
        <v>1.1122570000000001</v>
      </c>
      <c r="B2028">
        <v>2.945989</v>
      </c>
      <c r="C2028">
        <f>LOG10(1.112257)</f>
        <v>4.6205147665132194E-2</v>
      </c>
      <c r="D2028">
        <f>LOG10(2.945989)</f>
        <v>0.46923112090164953</v>
      </c>
    </row>
    <row r="2029" spans="1:4">
      <c r="A2029">
        <v>1.071375</v>
      </c>
      <c r="B2029">
        <v>3.04731</v>
      </c>
      <c r="C2029">
        <f>LOG10(1.071375)</f>
        <v>2.994150811046184E-2</v>
      </c>
      <c r="D2029">
        <f>LOG10(3.04731)</f>
        <v>0.48391663684203695</v>
      </c>
    </row>
    <row r="2030" spans="1:4">
      <c r="A2030">
        <v>1.075366</v>
      </c>
      <c r="B2030">
        <v>3.2119209999999998</v>
      </c>
      <c r="C2030">
        <f>LOG10(1.075366)</f>
        <v>3.1556301207669307E-2</v>
      </c>
      <c r="D2030">
        <f>LOG10(3.211921)</f>
        <v>0.50676485488621992</v>
      </c>
    </row>
    <row r="2031" spans="1:4">
      <c r="A2031">
        <v>1.0825530000000001</v>
      </c>
      <c r="B2031">
        <v>3.0868920000000002</v>
      </c>
      <c r="C2031">
        <f>LOG10(1.082553)</f>
        <v>3.4449167883675358E-2</v>
      </c>
      <c r="D2031">
        <f>LOG10(3.086892)</f>
        <v>0.48952143524026209</v>
      </c>
    </row>
    <row r="2032" spans="1:4">
      <c r="A2032">
        <v>1.101478</v>
      </c>
      <c r="B2032">
        <v>2.9825050000000002</v>
      </c>
      <c r="C2032">
        <f>LOG10(1.101478)</f>
        <v>4.1975827338790205E-2</v>
      </c>
      <c r="D2032">
        <f>LOG10(2.982505)</f>
        <v>0.47458118041298786</v>
      </c>
    </row>
    <row r="2033" spans="1:4">
      <c r="A2033">
        <v>1.1000350000000001</v>
      </c>
      <c r="B2033">
        <v>3.201765</v>
      </c>
      <c r="C2033">
        <f>LOG10(1.100035)</f>
        <v>4.1406503399178424E-2</v>
      </c>
      <c r="D2033">
        <f>LOG10(3.201765)</f>
        <v>0.5053894528335694</v>
      </c>
    </row>
    <row r="2034" spans="1:4">
      <c r="A2034">
        <v>1.093656</v>
      </c>
      <c r="B2034">
        <v>2.8962310000000002</v>
      </c>
      <c r="C2034">
        <f>LOG10(1.093656)</f>
        <v>3.8880739917774146E-2</v>
      </c>
      <c r="D2034">
        <f>LOG10(2.896231)</f>
        <v>0.46183319772691511</v>
      </c>
    </row>
    <row r="2035" spans="1:4">
      <c r="A2035">
        <v>1.103839</v>
      </c>
      <c r="B2035">
        <v>3.0235539999999999</v>
      </c>
      <c r="C2035">
        <f>LOG10(1.103839)</f>
        <v>4.2905734162638057E-2</v>
      </c>
      <c r="D2035">
        <f>LOG10(3.023554)</f>
        <v>0.48051772941379733</v>
      </c>
    </row>
    <row r="2036" spans="1:4">
      <c r="A2036">
        <v>1.101747</v>
      </c>
      <c r="B2036">
        <v>3.0933440000000001</v>
      </c>
      <c r="C2036">
        <f>LOG10(1.101747)</f>
        <v>4.2081876622192947E-2</v>
      </c>
      <c r="D2036">
        <f>LOG10(3.093344)</f>
        <v>0.49042821906379663</v>
      </c>
    </row>
    <row r="2037" spans="1:4">
      <c r="A2037">
        <v>1.083512</v>
      </c>
      <c r="B2037">
        <v>3.0330530000000002</v>
      </c>
      <c r="C2037">
        <f>LOG10(1.083512)</f>
        <v>3.4833725535784746E-2</v>
      </c>
      <c r="D2037">
        <f>LOG10(3.033053)</f>
        <v>0.48187999930058545</v>
      </c>
    </row>
    <row r="2038" spans="1:4">
      <c r="A2038">
        <v>1.0655209999999999</v>
      </c>
      <c r="B2038">
        <v>3.090017</v>
      </c>
      <c r="C2038">
        <f>LOG10(1.065521)</f>
        <v>2.756201350047513E-2</v>
      </c>
      <c r="D2038">
        <f>LOG10(3.090017)</f>
        <v>0.48996086874065442</v>
      </c>
    </row>
    <row r="2039" spans="1:4">
      <c r="A2039">
        <v>1.0857650000000001</v>
      </c>
      <c r="B2039">
        <v>3.3724050000000001</v>
      </c>
      <c r="C2039">
        <f>LOG10(1.085765)</f>
        <v>3.5735837916587292E-2</v>
      </c>
      <c r="D2039">
        <f>LOG10(3.372405)</f>
        <v>0.52793972452425619</v>
      </c>
    </row>
    <row r="2040" spans="1:4">
      <c r="A2040">
        <v>1.0750470000000001</v>
      </c>
      <c r="B2040">
        <v>2.8713419999999998</v>
      </c>
      <c r="C2040">
        <f>LOG10(1.075047)</f>
        <v>3.1427451595298708E-2</v>
      </c>
      <c r="D2040">
        <f>LOG10(2.871342)</f>
        <v>0.45808492355431707</v>
      </c>
    </row>
    <row r="2041" spans="1:4">
      <c r="A2041">
        <v>1.056249</v>
      </c>
      <c r="B2041">
        <v>3.1665079999999999</v>
      </c>
      <c r="C2041">
        <f>LOG10(1.056249)</f>
        <v>2.376631079118072E-2</v>
      </c>
      <c r="D2041">
        <f>LOG10(3.166508)</f>
        <v>0.50058058958470708</v>
      </c>
    </row>
    <row r="2042" spans="1:4">
      <c r="A2042">
        <v>1.0823700000000001</v>
      </c>
      <c r="B2042">
        <v>3.0823140000000002</v>
      </c>
      <c r="C2042">
        <f>LOG10(1.08237)</f>
        <v>3.4375746436004835E-2</v>
      </c>
      <c r="D2042">
        <f>LOG10(3.082314)</f>
        <v>0.48887687887333192</v>
      </c>
    </row>
    <row r="2043" spans="1:4">
      <c r="A2043">
        <v>1.106266</v>
      </c>
      <c r="B2043">
        <v>3.1754410000000002</v>
      </c>
      <c r="C2043">
        <f>LOG10(1.106266)</f>
        <v>4.3859564981778211E-2</v>
      </c>
      <c r="D2043">
        <f>LOG10(3.175441)</f>
        <v>0.50180404791670141</v>
      </c>
    </row>
    <row r="2044" spans="1:4">
      <c r="A2044">
        <v>1.0956159999999999</v>
      </c>
      <c r="B2044">
        <v>3.051968</v>
      </c>
      <c r="C2044">
        <f>LOG10(1.095616)</f>
        <v>3.9658365915779079E-2</v>
      </c>
      <c r="D2044">
        <f>LOG10(3.051968)</f>
        <v>0.48457997571263378</v>
      </c>
    </row>
    <row r="2045" spans="1:4">
      <c r="A2045">
        <v>1.0618939999999999</v>
      </c>
      <c r="B2045">
        <v>3.113613</v>
      </c>
      <c r="C2045">
        <f>LOG10(1.061894)</f>
        <v>2.6081166921852649E-2</v>
      </c>
      <c r="D2045">
        <f>LOG10(3.113613)</f>
        <v>0.4932646318643622</v>
      </c>
    </row>
    <row r="2046" spans="1:4">
      <c r="A2046">
        <v>1.059447</v>
      </c>
      <c r="B2046">
        <v>3.0355780000000001</v>
      </c>
      <c r="C2046">
        <f>LOG10(1.059447)</f>
        <v>2.5079235531691332E-2</v>
      </c>
      <c r="D2046">
        <f>LOG10(3.035578)</f>
        <v>0.48224139666684007</v>
      </c>
    </row>
    <row r="2047" spans="1:4">
      <c r="A2047">
        <v>1.0854729999999999</v>
      </c>
      <c r="B2047">
        <v>3.180596</v>
      </c>
      <c r="C2047">
        <f>LOG10(1.085473)</f>
        <v>3.5619025306011798E-2</v>
      </c>
      <c r="D2047">
        <f>LOG10(3.180596)</f>
        <v>0.50250850843041228</v>
      </c>
    </row>
    <row r="2048" spans="1:4">
      <c r="A2048">
        <v>1.0606690000000001</v>
      </c>
      <c r="B2048">
        <v>3.2303120000000001</v>
      </c>
      <c r="C2048">
        <f>LOG10(1.060669)</f>
        <v>2.557987598311573E-2</v>
      </c>
      <c r="D2048">
        <f>LOG10(3.230312)</f>
        <v>0.50924447073187962</v>
      </c>
    </row>
    <row r="2049" spans="1:4">
      <c r="A2049">
        <v>1.069574</v>
      </c>
      <c r="B2049">
        <v>3.1661139999999999</v>
      </c>
      <c r="C2049">
        <f>LOG10(1.069574)</f>
        <v>2.9210837229085629E-2</v>
      </c>
      <c r="D2049">
        <f>LOG10(3.166114)</f>
        <v>0.50052654813833908</v>
      </c>
    </row>
    <row r="2050" spans="1:4">
      <c r="A2050">
        <v>1.0653109999999999</v>
      </c>
      <c r="B2050">
        <v>3.0899760000000001</v>
      </c>
      <c r="C2050">
        <f>LOG10(1.065311)</f>
        <v>2.7476411405617369E-2</v>
      </c>
      <c r="D2050">
        <f>LOG10(3.089976)</f>
        <v>0.48995510625071043</v>
      </c>
    </row>
    <row r="2051" spans="1:4">
      <c r="A2051">
        <v>1.070201</v>
      </c>
      <c r="B2051">
        <v>3.1004700000000001</v>
      </c>
      <c r="C2051">
        <f>LOG10(1.070201)</f>
        <v>2.9465352444887995E-2</v>
      </c>
      <c r="D2051">
        <f>LOG10(3.10047)</f>
        <v>0.49142753349058438</v>
      </c>
    </row>
    <row r="2052" spans="1:4">
      <c r="A2052">
        <v>1.067396</v>
      </c>
      <c r="B2052">
        <v>3.0378189999999998</v>
      </c>
      <c r="C2052">
        <f>LOG10(1.067396)</f>
        <v>2.8325570979108317E-2</v>
      </c>
      <c r="D2052">
        <f>LOG10(3.037819)</f>
        <v>0.48256189406824984</v>
      </c>
    </row>
    <row r="2053" spans="1:4">
      <c r="A2053">
        <v>1.066036</v>
      </c>
      <c r="B2053">
        <v>3.2334550000000002</v>
      </c>
      <c r="C2053">
        <f>LOG10(1.066036)</f>
        <v>2.7771871048297883E-2</v>
      </c>
      <c r="D2053">
        <f>LOG10(3.233455)</f>
        <v>0.50966682124797968</v>
      </c>
    </row>
    <row r="2054" spans="1:4">
      <c r="A2054">
        <v>1.0843910000000001</v>
      </c>
      <c r="B2054">
        <v>3.1910790000000002</v>
      </c>
      <c r="C2054">
        <f>LOG10(1.084391)</f>
        <v>3.5185904457546859E-2</v>
      </c>
      <c r="D2054">
        <f>LOG10(3.191079)</f>
        <v>0.50393755594511747</v>
      </c>
    </row>
    <row r="2055" spans="1:4">
      <c r="A2055">
        <v>1.0871550000000001</v>
      </c>
      <c r="B2055">
        <v>3.1994069999999999</v>
      </c>
      <c r="C2055">
        <f>LOG10(1.087155)</f>
        <v>3.6291467587433228E-2</v>
      </c>
      <c r="D2055">
        <f>LOG10(3.199407)</f>
        <v>0.50506949066581375</v>
      </c>
    </row>
    <row r="2056" spans="1:4">
      <c r="A2056">
        <v>1.0669690000000001</v>
      </c>
      <c r="B2056">
        <v>3.128987</v>
      </c>
      <c r="C2056">
        <f>LOG10(1.066969)</f>
        <v>2.8151801500835648E-2</v>
      </c>
      <c r="D2056">
        <f>LOG10(3.128987)</f>
        <v>0.49540375878697529</v>
      </c>
    </row>
    <row r="2057" spans="1:4">
      <c r="A2057">
        <v>1.061806</v>
      </c>
      <c r="B2057">
        <v>3.1776589999999998</v>
      </c>
      <c r="C2057">
        <f>LOG10(1.061806)</f>
        <v>2.6045175101511449E-2</v>
      </c>
      <c r="D2057">
        <f>LOG10(3.177659)</f>
        <v>0.50210729049119174</v>
      </c>
    </row>
    <row r="2058" spans="1:4">
      <c r="A2058">
        <v>1.064265</v>
      </c>
      <c r="B2058">
        <v>3.0768900000000001</v>
      </c>
      <c r="C2058">
        <f>LOG10(1.064265)</f>
        <v>2.7049779940384273E-2</v>
      </c>
      <c r="D2058">
        <f>LOG10(3.07689)</f>
        <v>0.48811197033035092</v>
      </c>
    </row>
    <row r="2059" spans="1:4">
      <c r="A2059">
        <v>1.0913710000000001</v>
      </c>
      <c r="B2059">
        <v>3.037118</v>
      </c>
      <c r="C2059">
        <f>LOG10(1.091371)</f>
        <v>3.7972409491743978E-2</v>
      </c>
      <c r="D2059">
        <f>LOG10(3.037118)</f>
        <v>0.48246166572574506</v>
      </c>
    </row>
    <row r="2060" spans="1:4">
      <c r="A2060">
        <v>1.083453</v>
      </c>
      <c r="B2060">
        <v>3.0399379999999998</v>
      </c>
      <c r="C2060">
        <f>LOG10(1.083453)</f>
        <v>3.4810076446446764E-2</v>
      </c>
      <c r="D2060">
        <f>LOG10(3.039938)</f>
        <v>0.48286472619676074</v>
      </c>
    </row>
    <row r="2061" spans="1:4">
      <c r="A2061">
        <v>1.054354</v>
      </c>
      <c r="B2061">
        <v>3.1998220000000002</v>
      </c>
      <c r="C2061">
        <f>LOG10(1.054354)</f>
        <v>2.2986449998457503E-2</v>
      </c>
      <c r="D2061">
        <f>LOG10(3.199822)</f>
        <v>0.50512582001744111</v>
      </c>
    </row>
    <row r="2062" spans="1:4">
      <c r="A2062">
        <v>1.059088</v>
      </c>
      <c r="B2062">
        <v>3.0691120000000001</v>
      </c>
      <c r="C2062">
        <f>LOG10(1.059088)</f>
        <v>2.4932047290292789E-2</v>
      </c>
      <c r="D2062">
        <f>LOG10(3.069112)</f>
        <v>0.48701273727328348</v>
      </c>
    </row>
    <row r="2063" spans="1:4">
      <c r="A2063">
        <v>1.0651299999999999</v>
      </c>
      <c r="B2063">
        <v>2.9503460000000001</v>
      </c>
      <c r="C2063">
        <f>LOG10(1.06513)</f>
        <v>2.7402617011486191E-2</v>
      </c>
      <c r="D2063">
        <f>LOG10(2.950346)</f>
        <v>0.46987295058128992</v>
      </c>
    </row>
    <row r="2064" spans="1:4">
      <c r="A2064">
        <v>1</v>
      </c>
      <c r="B2064">
        <v>1.904215</v>
      </c>
      <c r="C2064">
        <f>LOG10(1)</f>
        <v>0</v>
      </c>
      <c r="D2064">
        <f>LOG10(1.904215)</f>
        <v>0.27971598188571439</v>
      </c>
    </row>
    <row r="2065" spans="1:4">
      <c r="A2065">
        <v>1.0062880000000001</v>
      </c>
      <c r="B2065">
        <v>4.4209100000000001</v>
      </c>
      <c r="C2065">
        <f>LOG10(1.006288)</f>
        <v>2.7222937522798753E-3</v>
      </c>
      <c r="D2065">
        <f>LOG10(4.42091)</f>
        <v>0.64551167371582063</v>
      </c>
    </row>
    <row r="2066" spans="1:4">
      <c r="A2066">
        <v>1.010996</v>
      </c>
      <c r="B2066">
        <v>4.4372550000000004</v>
      </c>
      <c r="C2066">
        <f>LOG10(1.010996)</f>
        <v>4.7494373107199823E-3</v>
      </c>
      <c r="D2066">
        <f>LOG10(4.437255)</f>
        <v>0.64711438745233973</v>
      </c>
    </row>
    <row r="2067" spans="1:4">
      <c r="A2067">
        <v>1.0112749999999999</v>
      </c>
      <c r="B2067">
        <v>4.1961490000000001</v>
      </c>
      <c r="C2067">
        <f>LOG10(1.011275)</f>
        <v>4.8692710631891047E-3</v>
      </c>
      <c r="D2067">
        <f>LOG10(4.196149)</f>
        <v>0.62285090104890506</v>
      </c>
    </row>
    <row r="2068" spans="1:4">
      <c r="A2068">
        <v>1.0048600000000001</v>
      </c>
      <c r="B2068">
        <v>4.238416</v>
      </c>
      <c r="C2068">
        <f>LOG10(1.00486)</f>
        <v>2.1055588084767144E-3</v>
      </c>
      <c r="D2068">
        <f>LOG10(4.238416)</f>
        <v>0.62720358041582913</v>
      </c>
    </row>
    <row r="2069" spans="1:4">
      <c r="A2069">
        <v>1.0077929999999999</v>
      </c>
      <c r="B2069">
        <v>4.2988520000000001</v>
      </c>
      <c r="C2069">
        <f>LOG10(1.007793)</f>
        <v>3.3713374768532364E-3</v>
      </c>
      <c r="D2069">
        <f>LOG10(4.298852)</f>
        <v>0.63335249357252166</v>
      </c>
    </row>
    <row r="2070" spans="1:4">
      <c r="A2070">
        <v>1.009387</v>
      </c>
      <c r="B2070">
        <v>4.3076129999999999</v>
      </c>
      <c r="C2070">
        <f>LOG10(1.009387)</f>
        <v>4.0577071099504227E-3</v>
      </c>
      <c r="D2070">
        <f>LOG10(4.307613)</f>
        <v>0.63423667895413749</v>
      </c>
    </row>
    <row r="2071" spans="1:4">
      <c r="A2071">
        <v>1.0094080000000001</v>
      </c>
      <c r="B2071">
        <v>4.0861980000000004</v>
      </c>
      <c r="C2071">
        <f>LOG10(1.009408)</f>
        <v>4.0667423850727783E-3</v>
      </c>
      <c r="D2071">
        <f>LOG10(4.086198)</f>
        <v>0.61131940689359443</v>
      </c>
    </row>
    <row r="2072" spans="1:4">
      <c r="A2072">
        <v>1.0069980000000001</v>
      </c>
      <c r="B2072">
        <v>3.9423059999999999</v>
      </c>
      <c r="C2072">
        <f>LOG10(1.006998)</f>
        <v>3.0286080016554127E-3</v>
      </c>
      <c r="D2072">
        <f>LOG10(3.942306)</f>
        <v>0.59575033099206431</v>
      </c>
    </row>
    <row r="2073" spans="1:4">
      <c r="A2073">
        <v>1.006022</v>
      </c>
      <c r="B2073">
        <v>4.0399510000000003</v>
      </c>
      <c r="C2073">
        <f>LOG10(1.006022)</f>
        <v>2.6074781097007913E-3</v>
      </c>
      <c r="D2073">
        <f>LOG10(4.039951)</f>
        <v>0.60637609764558853</v>
      </c>
    </row>
    <row r="2074" spans="1:4">
      <c r="A2074">
        <v>1.0076430000000001</v>
      </c>
      <c r="B2074">
        <v>4.2094690000000003</v>
      </c>
      <c r="C2074">
        <f>LOG10(1.007643)</f>
        <v>3.3066922364132383E-3</v>
      </c>
      <c r="D2074">
        <f>LOG10(4.209469)</f>
        <v>0.62422731557097555</v>
      </c>
    </row>
    <row r="2075" spans="1:4">
      <c r="A2075">
        <v>1.0073890000000001</v>
      </c>
      <c r="B2075">
        <v>3.9841950000000002</v>
      </c>
      <c r="C2075">
        <f>LOG10(1.007389)</f>
        <v>3.1972043483919385E-3</v>
      </c>
      <c r="D2075">
        <f>LOG10(3.984195)</f>
        <v>0.60034058611498764</v>
      </c>
    </row>
    <row r="2076" spans="1:4">
      <c r="A2076">
        <v>1.008313</v>
      </c>
      <c r="B2076">
        <v>3.8897699999999999</v>
      </c>
      <c r="C2076">
        <f>LOG10(1.008313)</f>
        <v>3.5953665066736102E-3</v>
      </c>
      <c r="D2076">
        <f>LOG10(3.88977)</f>
        <v>0.58992392248665027</v>
      </c>
    </row>
    <row r="2077" spans="1:4">
      <c r="A2077">
        <v>1.0048870000000001</v>
      </c>
      <c r="B2077">
        <v>3.8137449999999999</v>
      </c>
      <c r="C2077">
        <f>LOG10(1.004887)</f>
        <v>2.1172278902189365E-3</v>
      </c>
      <c r="D2077">
        <f>LOG10(3.813745)</f>
        <v>0.58135165127023847</v>
      </c>
    </row>
    <row r="2078" spans="1:4">
      <c r="A2078">
        <v>1.0077689999999999</v>
      </c>
      <c r="B2078">
        <v>3.9149720000000001</v>
      </c>
      <c r="C2078">
        <f>LOG10(1.007769)</f>
        <v>3.3609948849943096E-3</v>
      </c>
      <c r="D2078">
        <f>LOG10(3.914972)</f>
        <v>0.59272866031759486</v>
      </c>
    </row>
    <row r="2079" spans="1:4">
      <c r="A2079">
        <v>1.014643</v>
      </c>
      <c r="B2079">
        <v>3.6263369999999999</v>
      </c>
      <c r="C2079">
        <f>LOG10(1.014643)</f>
        <v>6.3132635274186716E-3</v>
      </c>
      <c r="D2079">
        <f>LOG10(3.626337)</f>
        <v>0.55946816116037534</v>
      </c>
    </row>
    <row r="2080" spans="1:4">
      <c r="A2080">
        <v>1.007933</v>
      </c>
      <c r="B2080">
        <v>3.3701349999999999</v>
      </c>
      <c r="C2080">
        <f>LOG10(1.007933)</f>
        <v>3.4316643541810409E-3</v>
      </c>
      <c r="D2080">
        <f>LOG10(3.370135)</f>
        <v>0.52764729807630995</v>
      </c>
    </row>
    <row r="2081" spans="1:4">
      <c r="A2081">
        <v>1.0058389999999999</v>
      </c>
      <c r="B2081">
        <v>3.3771810000000002</v>
      </c>
      <c r="C2081">
        <f>LOG10(1.005839)</f>
        <v>2.5284707723076971E-3</v>
      </c>
      <c r="D2081">
        <f>LOG10(3.377181)</f>
        <v>0.52855433726991197</v>
      </c>
    </row>
    <row r="2082" spans="1:4">
      <c r="A2082">
        <v>1.0059499999999999</v>
      </c>
      <c r="B2082">
        <v>3.2578499999999999</v>
      </c>
      <c r="C2082">
        <f>LOG10(1.00595)</f>
        <v>2.5763949706606721E-3</v>
      </c>
      <c r="D2082">
        <f>LOG10(3.25785)</f>
        <v>0.51293108437029067</v>
      </c>
    </row>
    <row r="2083" spans="1:4">
      <c r="A2083">
        <v>1.007876</v>
      </c>
      <c r="B2083">
        <v>3.4350990000000001</v>
      </c>
      <c r="C2083">
        <f>LOG10(1.007876)</f>
        <v>3.4071037083310903E-3</v>
      </c>
      <c r="D2083">
        <f>LOG10(3.435099)</f>
        <v>0.53593925799939446</v>
      </c>
    </row>
    <row r="2084" spans="1:4">
      <c r="A2084">
        <v>1.0058240000000001</v>
      </c>
      <c r="B2084">
        <v>3.2723270000000002</v>
      </c>
      <c r="C2084">
        <f>LOG10(1.005824)</f>
        <v>2.5219941236556956E-3</v>
      </c>
      <c r="D2084">
        <f>LOG10(3.272327)</f>
        <v>0.51485669573268411</v>
      </c>
    </row>
    <row r="2085" spans="1:4">
      <c r="A2085">
        <v>1.0094689999999999</v>
      </c>
      <c r="B2085">
        <v>3.0764010000000002</v>
      </c>
      <c r="C2085">
        <f>LOG10(1.009469)</f>
        <v>4.0929866420573325E-3</v>
      </c>
      <c r="D2085">
        <f>LOG10(3.076401)</f>
        <v>0.48804294385261804</v>
      </c>
    </row>
    <row r="2086" spans="1:4">
      <c r="A2086">
        <v>1.006189</v>
      </c>
      <c r="B2086">
        <v>2.9588589999999999</v>
      </c>
      <c r="C2086">
        <f>LOG10(1.006189)</f>
        <v>2.6795651608543486E-3</v>
      </c>
      <c r="D2086">
        <f>LOG10(2.958859)</f>
        <v>0.47112426999977841</v>
      </c>
    </row>
    <row r="2087" spans="1:4">
      <c r="A2087">
        <v>1.0094030000000001</v>
      </c>
      <c r="B2087">
        <v>2.9060860000000002</v>
      </c>
      <c r="C2087">
        <f>LOG10(1.009403)</f>
        <v>4.0645911461410162E-3</v>
      </c>
      <c r="D2087">
        <f>LOG10(2.906086)</f>
        <v>0.4633084622582167</v>
      </c>
    </row>
    <row r="2088" spans="1:4">
      <c r="A2088">
        <v>1.0071300000000001</v>
      </c>
      <c r="B2088">
        <v>3.102373</v>
      </c>
      <c r="C2088">
        <f>LOG10(1.00713)</f>
        <v>3.0855327568778345E-3</v>
      </c>
      <c r="D2088">
        <f>LOG10(3.102373)</f>
        <v>0.49169401207951258</v>
      </c>
    </row>
    <row r="2089" spans="1:4">
      <c r="A2089">
        <v>1.014079</v>
      </c>
      <c r="B2089">
        <v>3.0422020000000001</v>
      </c>
      <c r="C2089">
        <f>LOG10(1.014079)</f>
        <v>6.0717892454778093E-3</v>
      </c>
      <c r="D2089">
        <f>LOG10(3.042202)</f>
        <v>0.48318804751210104</v>
      </c>
    </row>
    <row r="2090" spans="1:4">
      <c r="A2090">
        <v>1.0191870000000001</v>
      </c>
      <c r="B2090">
        <v>3.050081</v>
      </c>
      <c r="C2090">
        <f>LOG10(1.019187)</f>
        <v>8.2538754855142442E-3</v>
      </c>
      <c r="D2090">
        <f>LOG10(3.050081)</f>
        <v>0.48431137291594212</v>
      </c>
    </row>
    <row r="2091" spans="1:4">
      <c r="A2091">
        <v>1.0355559999999999</v>
      </c>
      <c r="B2091">
        <v>3.1563949999999998</v>
      </c>
      <c r="C2091">
        <f>LOG10(1.035556)</f>
        <v>1.5173589307097959E-2</v>
      </c>
      <c r="D2091">
        <f>LOG10(3.156395)</f>
        <v>0.49919134675094845</v>
      </c>
    </row>
    <row r="2092" spans="1:4">
      <c r="A2092">
        <v>1.0121979999999999</v>
      </c>
      <c r="B2092">
        <v>3.0408750000000002</v>
      </c>
      <c r="C2092">
        <f>LOG10(1.012198)</f>
        <v>5.2654748520200257E-3</v>
      </c>
      <c r="D2092">
        <f>LOG10(3.040875)</f>
        <v>0.48299856814610675</v>
      </c>
    </row>
    <row r="2093" spans="1:4">
      <c r="A2093">
        <v>1.0133639999999999</v>
      </c>
      <c r="B2093">
        <v>3.0603340000000001</v>
      </c>
      <c r="C2093">
        <f>LOG10(1.013364)</f>
        <v>5.7654718126977436E-3</v>
      </c>
      <c r="D2093">
        <f>LOG10(3.060334)</f>
        <v>0.48576882727934684</v>
      </c>
    </row>
    <row r="2094" spans="1:4">
      <c r="A2094">
        <v>1.0123800000000001</v>
      </c>
      <c r="B2094">
        <v>2.925878</v>
      </c>
      <c r="C2094">
        <f>LOG10(1.01238)</f>
        <v>5.3435568976802697E-3</v>
      </c>
      <c r="D2094">
        <f>LOG10(2.925878)</f>
        <v>0.46625621343952811</v>
      </c>
    </row>
    <row r="2095" spans="1:4">
      <c r="A2095">
        <v>1.0080020000000001</v>
      </c>
      <c r="B2095">
        <v>3.1339860000000002</v>
      </c>
      <c r="C2095">
        <f>LOG10(1.008002)</f>
        <v>3.4613938040522602E-3</v>
      </c>
      <c r="D2095">
        <f>LOG10(3.133986)</f>
        <v>0.49609705207630872</v>
      </c>
    </row>
    <row r="2096" spans="1:4">
      <c r="A2096">
        <v>1.0113369999999999</v>
      </c>
      <c r="B2096">
        <v>2.9148960000000002</v>
      </c>
      <c r="C2096">
        <f>LOG10(1.011337)</f>
        <v>4.8958962961912211E-3</v>
      </c>
      <c r="D2096">
        <f>LOG10(2.914896)</f>
        <v>0.46462306426420824</v>
      </c>
    </row>
    <row r="2097" spans="1:4">
      <c r="A2097">
        <v>1.011191</v>
      </c>
      <c r="B2097">
        <v>2.9614449999999999</v>
      </c>
      <c r="C2097">
        <f>LOG10(1.011191)</f>
        <v>4.8331955627843133E-3</v>
      </c>
      <c r="D2097">
        <f>LOG10(2.961445)</f>
        <v>0.47150367132836846</v>
      </c>
    </row>
    <row r="2098" spans="1:4">
      <c r="A2098">
        <v>1.013916</v>
      </c>
      <c r="B2098">
        <v>2.8965070000000002</v>
      </c>
      <c r="C2098">
        <f>LOG10(1.013916)</f>
        <v>6.0019764493884397E-3</v>
      </c>
      <c r="D2098">
        <f>LOG10(2.896507)</f>
        <v>0.46187458239754786</v>
      </c>
    </row>
    <row r="2099" spans="1:4">
      <c r="A2099">
        <v>1.0267390000000001</v>
      </c>
      <c r="B2099">
        <v>2.8579949999999998</v>
      </c>
      <c r="C2099">
        <f>LOG10(1.026739)</f>
        <v>1.1460058723263583E-2</v>
      </c>
      <c r="D2099">
        <f>LOG10(2.857995)</f>
        <v>0.45606146466687969</v>
      </c>
    </row>
    <row r="2100" spans="1:4">
      <c r="A2100">
        <v>1.010303</v>
      </c>
      <c r="B2100">
        <v>2.921106</v>
      </c>
      <c r="C2100">
        <f>LOG10(1.010303)</f>
        <v>4.4516425878696145E-3</v>
      </c>
      <c r="D2100">
        <f>LOG10(2.921106)</f>
        <v>0.46554731677492506</v>
      </c>
    </row>
    <row r="2101" spans="1:4">
      <c r="A2101">
        <v>1.0121150000000001</v>
      </c>
      <c r="B2101">
        <v>2.8843380000000001</v>
      </c>
      <c r="C2101">
        <f>LOG10(1.012115)</f>
        <v>5.229861345592811E-3</v>
      </c>
      <c r="D2101">
        <f>LOG10(2.884338)</f>
        <v>0.46004615165546825</v>
      </c>
    </row>
    <row r="2102" spans="1:4">
      <c r="A2102">
        <v>1.0112540000000001</v>
      </c>
      <c r="B2102">
        <v>2.9485950000000001</v>
      </c>
      <c r="C2102">
        <f>LOG10(1.011254)</f>
        <v>4.8602524690228698E-3</v>
      </c>
      <c r="D2102">
        <f>LOG10(2.948595)</f>
        <v>0.46961512475792705</v>
      </c>
    </row>
    <row r="2103" spans="1:4">
      <c r="A2103">
        <v>1.015747</v>
      </c>
      <c r="B2103">
        <v>2.889211</v>
      </c>
      <c r="C2103">
        <f>LOG10(1.015747)</f>
        <v>6.7855483153384626E-3</v>
      </c>
      <c r="D2103">
        <f>LOG10(2.889211)</f>
        <v>0.46077925966679717</v>
      </c>
    </row>
    <row r="2104" spans="1:4">
      <c r="A2104">
        <v>1.011498</v>
      </c>
      <c r="B2104">
        <v>2.8569689999999999</v>
      </c>
      <c r="C2104">
        <f>LOG10(1.011498)</f>
        <v>4.9650283922189273E-3</v>
      </c>
      <c r="D2104">
        <f>LOG10(2.856969)</f>
        <v>0.45590552802643192</v>
      </c>
    </row>
    <row r="2105" spans="1:4">
      <c r="A2105">
        <v>1.013069</v>
      </c>
      <c r="B2105">
        <v>2.9185599999999998</v>
      </c>
      <c r="C2105">
        <f>LOG10(1.013069)</f>
        <v>5.6390261092706239E-3</v>
      </c>
      <c r="D2105">
        <f>LOG10(2.91856)</f>
        <v>0.46516862600014974</v>
      </c>
    </row>
    <row r="2106" spans="1:4">
      <c r="A2106">
        <v>1.017765</v>
      </c>
      <c r="B2106">
        <v>2.9992290000000001</v>
      </c>
      <c r="C2106">
        <f>LOG10(1.017765)</f>
        <v>7.6475118072445456E-3</v>
      </c>
      <c r="D2106">
        <f>LOG10(2.999229)</f>
        <v>0.4770096266929974</v>
      </c>
    </row>
    <row r="2107" spans="1:4">
      <c r="A2107">
        <v>1.0122359999999999</v>
      </c>
      <c r="B2107">
        <v>2.9481769999999998</v>
      </c>
      <c r="C2107">
        <f>LOG10(1.012236)</f>
        <v>5.2817788563138219E-3</v>
      </c>
      <c r="D2107">
        <f>LOG10(2.948177)</f>
        <v>0.4695535537513697</v>
      </c>
    </row>
    <row r="2108" spans="1:4">
      <c r="A2108">
        <v>1.0161150000000001</v>
      </c>
      <c r="B2108">
        <v>2.8990779999999998</v>
      </c>
      <c r="C2108">
        <f>LOG10(1.016115)</f>
        <v>6.9428625139286862E-3</v>
      </c>
      <c r="D2108">
        <f>LOG10(2.899078)</f>
        <v>0.46225990025112695</v>
      </c>
    </row>
    <row r="2109" spans="1:4">
      <c r="A2109">
        <v>1.010059</v>
      </c>
      <c r="B2109">
        <v>2.8415490000000001</v>
      </c>
      <c r="C2109">
        <f>LOG10(1.010059)</f>
        <v>4.3467427193316461E-3</v>
      </c>
      <c r="D2109">
        <f>LOG10(2.841549)</f>
        <v>0.4535551494696568</v>
      </c>
    </row>
    <row r="2110" spans="1:4">
      <c r="A2110">
        <v>1.0159560000000001</v>
      </c>
      <c r="B2110">
        <v>2.8097270000000001</v>
      </c>
      <c r="C2110">
        <f>LOG10(1.015956)</f>
        <v>6.8748995118844197E-3</v>
      </c>
      <c r="D2110">
        <f>LOG10(2.809727)</f>
        <v>0.44866412483273821</v>
      </c>
    </row>
    <row r="2111" spans="1:4">
      <c r="A2111">
        <v>1.015096</v>
      </c>
      <c r="B2111">
        <v>2.811598</v>
      </c>
      <c r="C2111">
        <f>LOG10(1.015096)</f>
        <v>6.5071164351754307E-3</v>
      </c>
      <c r="D2111">
        <f>LOG10(2.811598)</f>
        <v>0.44895322571398838</v>
      </c>
    </row>
    <row r="2112" spans="1:4">
      <c r="A2112">
        <v>1.016222</v>
      </c>
      <c r="B2112">
        <v>2.8574630000000001</v>
      </c>
      <c r="C2112">
        <f>LOG10(1.016222)</f>
        <v>6.9885926360555989E-3</v>
      </c>
      <c r="D2112">
        <f>LOG10(2.857463)</f>
        <v>0.45598061562029768</v>
      </c>
    </row>
    <row r="2113" spans="1:4">
      <c r="A2113">
        <v>1.0133019999999999</v>
      </c>
      <c r="B2113">
        <v>2.790333</v>
      </c>
      <c r="C2113">
        <f>LOG10(1.013302)</f>
        <v>5.738899838937485E-3</v>
      </c>
      <c r="D2113">
        <f>LOG10(2.790333)</f>
        <v>0.4456560353282959</v>
      </c>
    </row>
    <row r="2114" spans="1:4">
      <c r="A2114">
        <v>1.014106</v>
      </c>
      <c r="B2114">
        <v>2.85236</v>
      </c>
      <c r="C2114">
        <f>LOG10(1.014106)</f>
        <v>6.0833522449202466E-3</v>
      </c>
      <c r="D2114">
        <f>LOG10(2.85236)</f>
        <v>0.45520433750056954</v>
      </c>
    </row>
    <row r="2115" spans="1:4">
      <c r="A2115">
        <v>1.017808</v>
      </c>
      <c r="B2115">
        <v>2.780904</v>
      </c>
      <c r="C2115">
        <f>LOG10(1.017808)</f>
        <v>7.6658601177444627E-3</v>
      </c>
      <c r="D2115">
        <f>LOG10(2.780904)</f>
        <v>0.44418599677861942</v>
      </c>
    </row>
    <row r="2116" spans="1:4">
      <c r="A2116">
        <v>1.0552710000000001</v>
      </c>
      <c r="B2116">
        <v>3.1425689999999999</v>
      </c>
      <c r="C2116">
        <f>LOG10(1.055271)</f>
        <v>2.336400341670692E-2</v>
      </c>
      <c r="D2116">
        <f>LOG10(3.142569)</f>
        <v>0.49728482207486735</v>
      </c>
    </row>
    <row r="2117" spans="1:4">
      <c r="A2117">
        <v>1.06366</v>
      </c>
      <c r="B2117">
        <v>3.3018830000000001</v>
      </c>
      <c r="C2117">
        <f>LOG10(1.06366)</f>
        <v>2.6802827469191746E-2</v>
      </c>
      <c r="D2117">
        <f>LOG10(3.301883)</f>
        <v>0.51876168026698544</v>
      </c>
    </row>
    <row r="2118" spans="1:4">
      <c r="A2118">
        <v>1.0184260000000001</v>
      </c>
      <c r="B2118">
        <v>2.995282</v>
      </c>
      <c r="C2118">
        <f>LOG10(1.018426)</f>
        <v>7.929478147948343E-3</v>
      </c>
      <c r="D2118">
        <f>LOG10(2.995282)</f>
        <v>0.47643771663468243</v>
      </c>
    </row>
    <row r="2119" spans="1:4">
      <c r="A2119">
        <v>1.0150600000000001</v>
      </c>
      <c r="B2119">
        <v>2.7600440000000002</v>
      </c>
      <c r="C2119">
        <f>LOG10(1.01506)</f>
        <v>6.4917140706772115E-3</v>
      </c>
      <c r="D2119">
        <f>LOG10(2.760044)</f>
        <v>0.44091600554524946</v>
      </c>
    </row>
    <row r="2120" spans="1:4">
      <c r="A2120">
        <v>1.01206</v>
      </c>
      <c r="B2120">
        <v>2.8236620000000001</v>
      </c>
      <c r="C2120">
        <f>LOG10(1.01206)</f>
        <v>5.2062604252073527E-3</v>
      </c>
      <c r="D2120">
        <f>LOG10(2.823662)</f>
        <v>0.45081270926354622</v>
      </c>
    </row>
    <row r="2121" spans="1:4">
      <c r="A2121">
        <v>1.0147440000000001</v>
      </c>
      <c r="B2121">
        <v>2.8150270000000002</v>
      </c>
      <c r="C2121">
        <f>LOG10(1.014744)</f>
        <v>6.3564920912248845E-3</v>
      </c>
      <c r="D2121">
        <f>LOG10(2.815027)</f>
        <v>0.44948256469172637</v>
      </c>
    </row>
    <row r="2122" spans="1:4">
      <c r="A2122">
        <v>1.0181309999999999</v>
      </c>
      <c r="B2122">
        <v>2.9329160000000001</v>
      </c>
      <c r="C2122">
        <f>LOG10(1.018131)</f>
        <v>7.8036610232053733E-3</v>
      </c>
      <c r="D2122">
        <f>LOG10(2.932916)</f>
        <v>0.46729962477431725</v>
      </c>
    </row>
    <row r="2123" spans="1:4">
      <c r="A2123">
        <v>1.01281</v>
      </c>
      <c r="B2123">
        <v>2.9380380000000001</v>
      </c>
      <c r="C2123">
        <f>LOG10(1.01281)</f>
        <v>5.5279807097914158E-3</v>
      </c>
      <c r="D2123">
        <f>LOG10(2.938038)</f>
        <v>0.46805740856914152</v>
      </c>
    </row>
    <row r="2124" spans="1:4">
      <c r="A2124">
        <v>1.056627</v>
      </c>
      <c r="B2124">
        <v>2.7923439999999999</v>
      </c>
      <c r="C2124">
        <f>LOG10(1.056627)</f>
        <v>2.3921704023827449E-2</v>
      </c>
      <c r="D2124">
        <f>LOG10(2.792344)</f>
        <v>0.4459689197172309</v>
      </c>
    </row>
    <row r="2125" spans="1:4">
      <c r="A2125">
        <v>1.08094</v>
      </c>
      <c r="B2125">
        <v>2.8566919999999998</v>
      </c>
      <c r="C2125">
        <f>LOG10(1.08094)</f>
        <v>3.380158813268546E-2</v>
      </c>
      <c r="D2125">
        <f>LOG10(2.856692)</f>
        <v>0.45586341857276241</v>
      </c>
    </row>
    <row r="2126" spans="1:4">
      <c r="A2126">
        <v>1.019571</v>
      </c>
      <c r="B2126">
        <v>2.9073340000000001</v>
      </c>
      <c r="C2126">
        <f>LOG10(1.019571)</f>
        <v>8.4174741892573141E-3</v>
      </c>
      <c r="D2126">
        <f>LOG10(2.907334)</f>
        <v>0.4634949272037191</v>
      </c>
    </row>
    <row r="2127" spans="1:4">
      <c r="A2127">
        <v>1.0241530000000001</v>
      </c>
      <c r="B2127">
        <v>2.870841</v>
      </c>
      <c r="C2127">
        <f>LOG10(1.024153)</f>
        <v>1.0364841495440253E-2</v>
      </c>
      <c r="D2127">
        <f>LOG10(2.870841)</f>
        <v>0.45800913999395837</v>
      </c>
    </row>
    <row r="2128" spans="1:4">
      <c r="A2128">
        <v>1.009762</v>
      </c>
      <c r="B2128">
        <v>3.1147550000000002</v>
      </c>
      <c r="C2128">
        <f>LOG10(1.009762)</f>
        <v>4.2190230233240455E-3</v>
      </c>
      <c r="D2128">
        <f>LOG10(3.114755)</f>
        <v>0.49342389165886746</v>
      </c>
    </row>
    <row r="2129" spans="1:4">
      <c r="A2129">
        <v>1.025836</v>
      </c>
      <c r="B2129">
        <v>3.0229010000000001</v>
      </c>
      <c r="C2129">
        <f>LOG10(1.025836)</f>
        <v>1.1077935836198182E-2</v>
      </c>
      <c r="D2129">
        <f>LOG10(3.022901)</f>
        <v>0.4804239242675471</v>
      </c>
    </row>
    <row r="2130" spans="1:4">
      <c r="A2130">
        <v>1.012003</v>
      </c>
      <c r="B2130">
        <v>2.7997670000000001</v>
      </c>
      <c r="C2130">
        <f>LOG10(1.012003)</f>
        <v>5.1817999361069463E-3</v>
      </c>
      <c r="D2130">
        <f>LOG10(2.799767)</f>
        <v>0.44712189033337302</v>
      </c>
    </row>
    <row r="2131" spans="1:4">
      <c r="A2131">
        <v>1.0122679999999999</v>
      </c>
      <c r="B2131">
        <v>2.9151760000000002</v>
      </c>
      <c r="C2131">
        <f>LOG10(1.012268)</f>
        <v>5.2955080694169583E-3</v>
      </c>
      <c r="D2131">
        <f>LOG10(2.915176)</f>
        <v>0.46466477985709503</v>
      </c>
    </row>
    <row r="2132" spans="1:4">
      <c r="A2132">
        <v>1.020359</v>
      </c>
      <c r="B2132">
        <v>2.8350379999999999</v>
      </c>
      <c r="C2132">
        <f>LOG10(1.020359)</f>
        <v>8.752999495284278E-3</v>
      </c>
      <c r="D2132">
        <f>LOG10(2.835038)</f>
        <v>0.4525588844210629</v>
      </c>
    </row>
    <row r="2133" spans="1:4">
      <c r="A2133">
        <v>1.0215939999999999</v>
      </c>
      <c r="B2133">
        <v>2.8691659999999999</v>
      </c>
      <c r="C2133">
        <f>LOG10(1.021594)</f>
        <v>9.2783335755003034E-3</v>
      </c>
      <c r="D2133">
        <f>LOG10(2.869166)</f>
        <v>0.45775567574632375</v>
      </c>
    </row>
    <row r="2134" spans="1:4">
      <c r="A2134">
        <v>1.009538</v>
      </c>
      <c r="B2134">
        <v>2.9133429999999998</v>
      </c>
      <c r="C2134">
        <f>LOG10(1.009538)</f>
        <v>4.1226708573800456E-3</v>
      </c>
      <c r="D2134">
        <f>LOG10(2.913343)</f>
        <v>0.46439161893523034</v>
      </c>
    </row>
    <row r="2135" spans="1:4">
      <c r="A2135">
        <v>1.016778</v>
      </c>
      <c r="B2135">
        <v>2.8925510000000001</v>
      </c>
      <c r="C2135">
        <f>LOG10(1.016778)</f>
        <v>7.2261408288332015E-3</v>
      </c>
      <c r="D2135">
        <f>LOG10(2.892551)</f>
        <v>0.46128102495250484</v>
      </c>
    </row>
    <row r="2136" spans="1:4">
      <c r="A2136">
        <v>1.012313</v>
      </c>
      <c r="B2136">
        <v>3.040654</v>
      </c>
      <c r="C2136">
        <f>LOG10(1.012313)</f>
        <v>5.3148140410613585E-3</v>
      </c>
      <c r="D2136">
        <f>LOG10(3.040654)</f>
        <v>0.48296700401789394</v>
      </c>
    </row>
    <row r="2137" spans="1:4">
      <c r="A2137">
        <v>1.0140169999999999</v>
      </c>
      <c r="B2137">
        <v>2.980683</v>
      </c>
      <c r="C2137">
        <f>LOG10(1.014017)</f>
        <v>6.0452360074788264E-3</v>
      </c>
      <c r="D2137">
        <f>LOG10(2.980683)</f>
        <v>0.47431579063468421</v>
      </c>
    </row>
    <row r="2138" spans="1:4">
      <c r="A2138">
        <v>1.014157</v>
      </c>
      <c r="B2138">
        <v>3.0649570000000002</v>
      </c>
      <c r="C2138">
        <f>LOG10(1.014157)</f>
        <v>6.1051926261545776E-3</v>
      </c>
      <c r="D2138">
        <f>LOG10(3.064957)</f>
        <v>0.48642438593641757</v>
      </c>
    </row>
    <row r="2139" spans="1:4">
      <c r="A2139">
        <v>1.0182709999999999</v>
      </c>
      <c r="B2139">
        <v>2.9461680000000001</v>
      </c>
      <c r="C2139">
        <f>LOG10(1.018271)</f>
        <v>7.8633753895851529E-3</v>
      </c>
      <c r="D2139">
        <f>LOG10(2.946168)</f>
        <v>0.46925750808457239</v>
      </c>
    </row>
    <row r="2140" spans="1:4">
      <c r="A2140">
        <v>1.011266</v>
      </c>
      <c r="B2140">
        <v>3.1443469999999998</v>
      </c>
      <c r="C2140">
        <f>LOG10(1.011266)</f>
        <v>4.8654059743359016E-3</v>
      </c>
      <c r="D2140">
        <f>LOG10(3.144347)</f>
        <v>0.49753046735131462</v>
      </c>
    </row>
    <row r="2141" spans="1:4">
      <c r="A2141">
        <v>1.0116480000000001</v>
      </c>
      <c r="B2141">
        <v>3.2719580000000001</v>
      </c>
      <c r="C2141">
        <f>LOG10(1.011648)</f>
        <v>5.0294272763379139E-3</v>
      </c>
      <c r="D2141">
        <f>LOG10(3.271958)</f>
        <v>0.51480772027883637</v>
      </c>
    </row>
    <row r="2142" spans="1:4">
      <c r="A2142">
        <v>1.011717</v>
      </c>
      <c r="B2142">
        <v>3.319347</v>
      </c>
      <c r="C2142">
        <f>LOG10(1.011717)</f>
        <v>5.0590475566757529E-3</v>
      </c>
      <c r="D2142">
        <f>LOG10(3.319347)</f>
        <v>0.52105265533356637</v>
      </c>
    </row>
    <row r="2143" spans="1:4">
      <c r="A2143">
        <v>1.018961</v>
      </c>
      <c r="B2143">
        <v>3.0378129999999999</v>
      </c>
      <c r="C2143">
        <f>LOG10(1.018961)</f>
        <v>8.1575620153320691E-3</v>
      </c>
      <c r="D2143">
        <f>LOG10(3.037813)</f>
        <v>0.48256103629184355</v>
      </c>
    </row>
    <row r="2144" spans="1:4">
      <c r="A2144">
        <v>1.0161480000000001</v>
      </c>
      <c r="B2144">
        <v>3.2562769999999999</v>
      </c>
      <c r="C2144">
        <f>LOG10(1.016148)</f>
        <v>6.956966709993905E-3</v>
      </c>
      <c r="D2144">
        <f>LOG10(3.256277)</f>
        <v>0.51272134168848182</v>
      </c>
    </row>
    <row r="2145" spans="1:4">
      <c r="A2145">
        <v>1.01864</v>
      </c>
      <c r="B2145">
        <v>3.0567519999999999</v>
      </c>
      <c r="C2145">
        <f>LOG10(1.01864)</f>
        <v>8.0207260696839814E-3</v>
      </c>
      <c r="D2145">
        <f>LOG10(3.056752)</f>
        <v>0.48526020503274597</v>
      </c>
    </row>
    <row r="2146" spans="1:4">
      <c r="A2146">
        <v>1.0154110000000001</v>
      </c>
      <c r="B2146">
        <v>3.1239080000000001</v>
      </c>
      <c r="C2146">
        <f>LOG10(1.015411)</f>
        <v>6.641863828705229E-3</v>
      </c>
      <c r="D2146">
        <f>LOG10(3.123908)</f>
        <v>0.49469823529467571</v>
      </c>
    </row>
    <row r="2147" spans="1:4">
      <c r="A2147">
        <v>1.0207470000000001</v>
      </c>
      <c r="B2147">
        <v>3.1734990000000001</v>
      </c>
      <c r="C2147">
        <f>LOG10(1.020747)</f>
        <v>8.9181121949756838E-3</v>
      </c>
      <c r="D2147">
        <f>LOG10(3.173499)</f>
        <v>0.5015383657996364</v>
      </c>
    </row>
    <row r="2148" spans="1:4">
      <c r="A2148">
        <v>1.0094129999999999</v>
      </c>
      <c r="B2148">
        <v>3.077258</v>
      </c>
      <c r="C2148">
        <f>LOG10(1.009413)</f>
        <v>4.0688936133485279E-3</v>
      </c>
      <c r="D2148">
        <f>LOG10(3.077258)</f>
        <v>0.48816390940283694</v>
      </c>
    </row>
    <row r="2149" spans="1:4">
      <c r="A2149">
        <v>1.009568</v>
      </c>
      <c r="B2149">
        <v>3.2101769999999998</v>
      </c>
      <c r="C2149">
        <f>LOG10(1.009568)</f>
        <v>4.1355764051403364E-3</v>
      </c>
      <c r="D2149">
        <f>LOG10(3.210177)</f>
        <v>0.50652897882358183</v>
      </c>
    </row>
    <row r="2150" spans="1:4">
      <c r="A2150">
        <v>1.016721</v>
      </c>
      <c r="B2150">
        <v>3.375086</v>
      </c>
      <c r="C2150">
        <f>LOG10(1.016721)</f>
        <v>7.2017938431942043E-3</v>
      </c>
      <c r="D2150">
        <f>LOG10(3.375086)</f>
        <v>0.52828484349284932</v>
      </c>
    </row>
    <row r="2151" spans="1:4">
      <c r="A2151">
        <v>1.0120150000000001</v>
      </c>
      <c r="B2151">
        <v>3.0325690000000001</v>
      </c>
      <c r="C2151">
        <f>LOG10(1.012015)</f>
        <v>5.1869496272489756E-3</v>
      </c>
      <c r="D2151">
        <f>LOG10(3.032569)</f>
        <v>0.48181069114729552</v>
      </c>
    </row>
    <row r="2152" spans="1:4">
      <c r="A2152">
        <v>1.009579</v>
      </c>
      <c r="B2152">
        <v>3.423994</v>
      </c>
      <c r="C2152">
        <f>LOG10(1.009579)</f>
        <v>4.140308343231992E-3</v>
      </c>
      <c r="D2152">
        <f>LOG10(3.423994)</f>
        <v>0.53453299497439877</v>
      </c>
    </row>
    <row r="2153" spans="1:4">
      <c r="A2153">
        <v>1.014499</v>
      </c>
      <c r="B2153">
        <v>3.1014599999999999</v>
      </c>
      <c r="C2153">
        <f>LOG10(1.014499)</f>
        <v>6.2516232819365717E-3</v>
      </c>
      <c r="D2153">
        <f>LOG10(3.10146)</f>
        <v>0.49156618437530447</v>
      </c>
    </row>
    <row r="2154" spans="1:4">
      <c r="A2154">
        <v>1.017989</v>
      </c>
      <c r="B2154">
        <v>3.4754200000000002</v>
      </c>
      <c r="C2154">
        <f>LOG10(1.017989)</f>
        <v>7.7430852059350895E-3</v>
      </c>
      <c r="D2154">
        <f>LOG10(3.47542)</f>
        <v>0.54100729602263087</v>
      </c>
    </row>
    <row r="2155" spans="1:4">
      <c r="A2155">
        <v>1.012297</v>
      </c>
      <c r="B2155">
        <v>3.3227739999999999</v>
      </c>
      <c r="C2155">
        <f>LOG10(1.012297)</f>
        <v>5.3079497939119286E-3</v>
      </c>
      <c r="D2155">
        <f>LOG10(3.322774)</f>
        <v>0.52150080354452144</v>
      </c>
    </row>
    <row r="2156" spans="1:4">
      <c r="A2156">
        <v>1.0092289999999999</v>
      </c>
      <c r="B2156">
        <v>3.200968</v>
      </c>
      <c r="C2156">
        <f>LOG10(1.009229)</f>
        <v>3.9897213927254658E-3</v>
      </c>
      <c r="D2156">
        <f>LOG10(3.200968)</f>
        <v>0.50528133253435825</v>
      </c>
    </row>
    <row r="2157" spans="1:4">
      <c r="A2157">
        <v>1.0146280000000001</v>
      </c>
      <c r="B2157">
        <v>3.2634940000000001</v>
      </c>
      <c r="C2157">
        <f>LOG10(1.014628)</f>
        <v>6.3068430766966008E-3</v>
      </c>
      <c r="D2157">
        <f>LOG10(3.263494)</f>
        <v>0.51368281857350406</v>
      </c>
    </row>
    <row r="2158" spans="1:4">
      <c r="A2158">
        <v>1.0142929999999999</v>
      </c>
      <c r="B2158">
        <v>3.4585210000000002</v>
      </c>
      <c r="C2158">
        <f>LOG10(1.014293)</f>
        <v>6.1634282736956125E-3</v>
      </c>
      <c r="D2158">
        <f>LOG10(3.458521)</f>
        <v>0.53889041704128104</v>
      </c>
    </row>
    <row r="2159" spans="1:4">
      <c r="A2159">
        <v>1.0084230000000001</v>
      </c>
      <c r="B2159">
        <v>3.3562460000000001</v>
      </c>
      <c r="C2159">
        <f>LOG10(1.008423)</f>
        <v>3.6427424577715781E-3</v>
      </c>
      <c r="D2159">
        <f>LOG10(3.356246)</f>
        <v>0.52585378544840911</v>
      </c>
    </row>
    <row r="2160" spans="1:4">
      <c r="A2160">
        <v>1.009927</v>
      </c>
      <c r="B2160">
        <v>3.3562599999999998</v>
      </c>
      <c r="C2160">
        <f>LOG10(1.009927)</f>
        <v>4.2899830470439796E-3</v>
      </c>
      <c r="D2160">
        <f>LOG10(3.35626)</f>
        <v>0.52585559702898621</v>
      </c>
    </row>
    <row r="2161" spans="1:4">
      <c r="A2161">
        <v>1.0114620000000001</v>
      </c>
      <c r="B2161">
        <v>3.3016510000000001</v>
      </c>
      <c r="C2161">
        <f>LOG10(1.011462)</f>
        <v>4.9495712389878849E-3</v>
      </c>
      <c r="D2161">
        <f>LOG10(3.301651)</f>
        <v>0.51873116438871691</v>
      </c>
    </row>
    <row r="2162" spans="1:4">
      <c r="A2162">
        <v>1.016737</v>
      </c>
      <c r="B2162">
        <v>3.2916859999999999</v>
      </c>
      <c r="C2162">
        <f>LOG10(1.016737)</f>
        <v>7.2086282225721924E-3</v>
      </c>
      <c r="D2162">
        <f>LOG10(3.291686)</f>
        <v>0.5174184003642508</v>
      </c>
    </row>
    <row r="2163" spans="1:4">
      <c r="A2163">
        <v>1.0069170000000001</v>
      </c>
      <c r="B2163">
        <v>3.1743489999999999</v>
      </c>
      <c r="C2163">
        <f>LOG10(1.006917)</f>
        <v>2.9936732074330834E-3</v>
      </c>
      <c r="D2163">
        <f>LOG10(3.174349)</f>
        <v>0.50165467303062994</v>
      </c>
    </row>
    <row r="2164" spans="1:4">
      <c r="A2164">
        <v>1.0135909999999999</v>
      </c>
      <c r="B2164">
        <v>3.3911950000000002</v>
      </c>
      <c r="C2164">
        <f>LOG10(1.013591)</f>
        <v>5.8627456523282981E-3</v>
      </c>
      <c r="D2164">
        <f>LOG10(3.391195)</f>
        <v>0.53035276323402336</v>
      </c>
    </row>
    <row r="2165" spans="1:4">
      <c r="A2165">
        <v>1.0113449999999999</v>
      </c>
      <c r="B2165">
        <v>3.3931520000000002</v>
      </c>
      <c r="C2165">
        <f>LOG10(1.011345)</f>
        <v>4.8993316912313185E-3</v>
      </c>
      <c r="D2165">
        <f>LOG10(3.393152)</f>
        <v>0.53060331478295153</v>
      </c>
    </row>
    <row r="2166" spans="1:4">
      <c r="A2166">
        <v>1.009744</v>
      </c>
      <c r="B2166">
        <v>3.316335</v>
      </c>
      <c r="C2166">
        <f>LOG10(1.009744)</f>
        <v>4.2112812283756794E-3</v>
      </c>
      <c r="D2166">
        <f>LOG10(3.316335)</f>
        <v>0.5206583944062555</v>
      </c>
    </row>
    <row r="2167" spans="1:4">
      <c r="A2167">
        <v>1.0070749999999999</v>
      </c>
      <c r="B2167">
        <v>3.3208859999999998</v>
      </c>
      <c r="C2167">
        <f>LOG10(1.007075)</f>
        <v>3.0618150156244113E-3</v>
      </c>
      <c r="D2167">
        <f>LOG10(3.320886)</f>
        <v>0.52125396731150953</v>
      </c>
    </row>
    <row r="2168" spans="1:4">
      <c r="A2168">
        <v>1.0135369999999999</v>
      </c>
      <c r="B2168">
        <v>3.3243079999999998</v>
      </c>
      <c r="C2168">
        <f>LOG10(1.013537)</f>
        <v>5.8396075949107874E-3</v>
      </c>
      <c r="D2168">
        <f>LOG10(3.324308)</f>
        <v>0.52170125473410112</v>
      </c>
    </row>
    <row r="2169" spans="1:4">
      <c r="A2169">
        <v>1.0128680000000001</v>
      </c>
      <c r="B2169">
        <v>3.2688820000000001</v>
      </c>
      <c r="C2169">
        <f>LOG10(1.012868)</f>
        <v>5.552850486683223E-3</v>
      </c>
      <c r="D2169">
        <f>LOG10(3.268882)</f>
        <v>0.51439924371472046</v>
      </c>
    </row>
    <row r="2170" spans="1:4">
      <c r="A2170">
        <v>1.010656</v>
      </c>
      <c r="B2170">
        <v>3.3622429999999999</v>
      </c>
      <c r="C2170">
        <f>LOG10(1.010656)</f>
        <v>4.6033586332430848E-3</v>
      </c>
      <c r="D2170">
        <f>LOG10(3.362243)</f>
        <v>0.52662909808185421</v>
      </c>
    </row>
    <row r="2171" spans="1:4">
      <c r="A2171">
        <v>1.0169280000000001</v>
      </c>
      <c r="B2171">
        <v>3.1094330000000001</v>
      </c>
      <c r="C2171">
        <f>LOG10(1.016928)</f>
        <v>7.2902053223279925E-3</v>
      </c>
      <c r="D2171">
        <f>LOG10(3.109433)</f>
        <v>0.4926812033609026</v>
      </c>
    </row>
    <row r="2172" spans="1:4">
      <c r="A2172">
        <v>1.0073259999999999</v>
      </c>
      <c r="B2172">
        <v>3.3763200000000002</v>
      </c>
      <c r="C2172">
        <f>LOG10(1.007326)</f>
        <v>3.1700436310012543E-3</v>
      </c>
      <c r="D2172">
        <f>LOG10(3.37632)</f>
        <v>0.52844360135651103</v>
      </c>
    </row>
    <row r="2173" spans="1:4">
      <c r="A2173">
        <v>1.009304</v>
      </c>
      <c r="B2173">
        <v>3.2166320000000002</v>
      </c>
      <c r="C2173">
        <f>LOG10(1.009304)</f>
        <v>4.0219944208679369E-3</v>
      </c>
      <c r="D2173">
        <f>LOG10(3.216632)</f>
        <v>0.50740137811951824</v>
      </c>
    </row>
    <row r="2174" spans="1:4">
      <c r="A2174">
        <v>1.0077499999999999</v>
      </c>
      <c r="B2174">
        <v>3.0659999999999998</v>
      </c>
      <c r="C2174">
        <f>LOG10(1.00775)</f>
        <v>3.3528068250887446E-3</v>
      </c>
      <c r="D2174">
        <f>LOG10(3.066)</f>
        <v>0.48657215051835634</v>
      </c>
    </row>
    <row r="2175" spans="1:4">
      <c r="A2175">
        <v>1.004073</v>
      </c>
      <c r="B2175">
        <v>4.3547820000000002</v>
      </c>
      <c r="C2175">
        <f>LOG10(1.004073)</f>
        <v>1.7652888495059303E-3</v>
      </c>
      <c r="D2175">
        <f>LOG10(4.354782)</f>
        <v>0.63896641914465646</v>
      </c>
    </row>
    <row r="2176" spans="1:4">
      <c r="A2176">
        <v>1.0073129999999999</v>
      </c>
      <c r="B2176">
        <v>3.9514779999999998</v>
      </c>
      <c r="C2176">
        <f>LOG10(1.007313)</f>
        <v>3.1644388270985818E-3</v>
      </c>
      <c r="D2176">
        <f>LOG10(3.951478)</f>
        <v>0.59675956833137422</v>
      </c>
    </row>
    <row r="2177" spans="1:4">
      <c r="A2177">
        <v>1.0122530000000001</v>
      </c>
      <c r="B2177">
        <v>4.545261</v>
      </c>
      <c r="C2177">
        <f>LOG10(1.012253)</f>
        <v>5.2890725548151198E-3</v>
      </c>
      <c r="D2177">
        <f>LOG10(4.545261)</f>
        <v>0.65755882652504294</v>
      </c>
    </row>
    <row r="2178" spans="1:4">
      <c r="A2178">
        <v>1.0087790000000001</v>
      </c>
      <c r="B2178">
        <v>4.6003100000000003</v>
      </c>
      <c r="C2178">
        <f>LOG10(1.008779)</f>
        <v>3.7960328443195912E-3</v>
      </c>
      <c r="D2178">
        <f>LOG10(4.60031)</f>
        <v>0.66278709836703165</v>
      </c>
    </row>
    <row r="2179" spans="1:4">
      <c r="A2179">
        <v>1.0057</v>
      </c>
      <c r="B2179">
        <v>4.9284869999999996</v>
      </c>
      <c r="C2179">
        <f>LOG10(1.0057)</f>
        <v>2.4684501283325239E-3</v>
      </c>
      <c r="D2179">
        <f>LOG10(4.928487)</f>
        <v>0.6927136153419956</v>
      </c>
    </row>
    <row r="2180" spans="1:4">
      <c r="A2180">
        <v>1.014364</v>
      </c>
      <c r="B2180">
        <v>4.8542959999999997</v>
      </c>
      <c r="C2180">
        <f>LOG10(1.014364)</f>
        <v>6.1938276051033249E-3</v>
      </c>
      <c r="D2180">
        <f>LOG10(4.854296)</f>
        <v>0.68612625474153532</v>
      </c>
    </row>
    <row r="2181" spans="1:4">
      <c r="A2181">
        <v>1.0125820000000001</v>
      </c>
      <c r="B2181">
        <v>5.0233309999999998</v>
      </c>
      <c r="C2181">
        <f>LOG10(1.012582)</f>
        <v>5.430202953888204E-3</v>
      </c>
      <c r="D2181">
        <f>LOG10(5.023331)</f>
        <v>0.70099179586556792</v>
      </c>
    </row>
    <row r="2182" spans="1:4">
      <c r="A2182">
        <v>1.0055909999999999</v>
      </c>
      <c r="B2182">
        <v>4.5311709999999996</v>
      </c>
      <c r="C2182">
        <f>LOG10(1.005591)</f>
        <v>2.4213777767196965E-3</v>
      </c>
      <c r="D2182">
        <f>LOG10(4.531171)</f>
        <v>0.65621045214940688</v>
      </c>
    </row>
    <row r="2183" spans="1:4">
      <c r="A2183">
        <v>1.0069159999999999</v>
      </c>
      <c r="B2183">
        <v>4.8427150000000001</v>
      </c>
      <c r="C2183">
        <f>LOG10(1.006916)</f>
        <v>2.9932418961158449E-3</v>
      </c>
      <c r="D2183">
        <f>LOG10(4.842715)</f>
        <v>0.68508891101032254</v>
      </c>
    </row>
    <row r="2184" spans="1:4">
      <c r="A2184">
        <v>1.008338</v>
      </c>
      <c r="B2184">
        <v>4.5152739999999998</v>
      </c>
      <c r="C2184">
        <f>LOG10(1.008338)</f>
        <v>3.6061342221068824E-3</v>
      </c>
      <c r="D2184">
        <f>LOG10(4.515274)</f>
        <v>0.654684109705435</v>
      </c>
    </row>
    <row r="2185" spans="1:4">
      <c r="A2185">
        <v>1.0167139999999999</v>
      </c>
      <c r="B2185">
        <v>4.6026870000000004</v>
      </c>
      <c r="C2185">
        <f>LOG10(1.016714)</f>
        <v>7.1988037683962652E-3</v>
      </c>
      <c r="D2185">
        <f>LOG10(4.602687)</f>
        <v>0.66301144224249742</v>
      </c>
    </row>
    <row r="2186" spans="1:4">
      <c r="A2186">
        <v>1.006481</v>
      </c>
      <c r="B2186">
        <v>4.9280299999999997</v>
      </c>
      <c r="C2186">
        <f>LOG10(1.006481)</f>
        <v>2.8055808411253103E-3</v>
      </c>
      <c r="D2186">
        <f>LOG10(4.92803)</f>
        <v>0.69267334298648264</v>
      </c>
    </row>
    <row r="2187" spans="1:4">
      <c r="A2187">
        <v>1.010259</v>
      </c>
      <c r="B2187">
        <v>4.76647</v>
      </c>
      <c r="C2187">
        <f>LOG10(1.010259)</f>
        <v>4.4327280906092141E-3</v>
      </c>
      <c r="D2187">
        <f>LOG10(4.76647)</f>
        <v>0.678196863932084</v>
      </c>
    </row>
    <row r="2188" spans="1:4">
      <c r="A2188">
        <v>1.010143</v>
      </c>
      <c r="B2188">
        <v>4.4325789999999996</v>
      </c>
      <c r="C2188">
        <f>LOG10(1.010143)</f>
        <v>4.3828586488286825E-3</v>
      </c>
      <c r="D2188">
        <f>LOG10(4.432579)</f>
        <v>0.64665648459068326</v>
      </c>
    </row>
    <row r="2189" spans="1:4">
      <c r="A2189">
        <v>1.010724</v>
      </c>
      <c r="B2189">
        <v>4.8004280000000001</v>
      </c>
      <c r="C2189">
        <f>LOG10(1.010724)</f>
        <v>4.6325782997882602E-3</v>
      </c>
      <c r="D2189">
        <f>LOG10(4.800428)</f>
        <v>0.68127996024052151</v>
      </c>
    </row>
    <row r="2190" spans="1:4">
      <c r="A2190">
        <v>1.004316</v>
      </c>
      <c r="B2190">
        <v>4.8692929999999999</v>
      </c>
      <c r="C2190">
        <f>LOG10(1.004316)</f>
        <v>1.8703815975915474E-3</v>
      </c>
      <c r="D2190">
        <f>LOG10(4.869293)</f>
        <v>0.687465908136912</v>
      </c>
    </row>
    <row r="2191" spans="1:4">
      <c r="A2191">
        <v>1.0099499999999999</v>
      </c>
      <c r="B2191">
        <v>4.9165770000000002</v>
      </c>
      <c r="C2191">
        <f>LOG10(1.00995)</f>
        <v>4.2998735236266187E-3</v>
      </c>
      <c r="D2191">
        <f>LOG10(4.916577)</f>
        <v>0.69166284516869347</v>
      </c>
    </row>
    <row r="2192" spans="1:4">
      <c r="A2192">
        <v>1.009503</v>
      </c>
      <c r="B2192">
        <v>4.5670289999999998</v>
      </c>
      <c r="C2192">
        <f>LOG10(1.009503)</f>
        <v>4.1076139002720526E-3</v>
      </c>
      <c r="D2192">
        <f>LOG10(4.567029)</f>
        <v>0.65963376932541273</v>
      </c>
    </row>
    <row r="2193" spans="1:4">
      <c r="A2193">
        <v>1.007879</v>
      </c>
      <c r="B2193">
        <v>4.7465390000000003</v>
      </c>
      <c r="C2193">
        <f>LOG10(1.007879)</f>
        <v>3.4083964085309657E-3</v>
      </c>
      <c r="D2193">
        <f>LOG10(4.746539)</f>
        <v>0.67637705361042477</v>
      </c>
    </row>
    <row r="2194" spans="1:4">
      <c r="A2194">
        <v>1.0070460000000001</v>
      </c>
      <c r="B2194">
        <v>5.2429040000000002</v>
      </c>
      <c r="C2194">
        <f>LOG10(1.007046)</f>
        <v>3.0493087759536144E-3</v>
      </c>
      <c r="D2194">
        <f>LOG10(5.242904)</f>
        <v>0.71957190565345963</v>
      </c>
    </row>
    <row r="2195" spans="1:4">
      <c r="A2195">
        <v>1.0063139999999999</v>
      </c>
      <c r="B2195">
        <v>4.0636460000000003</v>
      </c>
      <c r="C2195">
        <f>LOG10(1.006314)</f>
        <v>2.7335147055831629E-3</v>
      </c>
      <c r="D2195">
        <f>LOG10(4.063646)</f>
        <v>0.60891586784307383</v>
      </c>
    </row>
    <row r="2196" spans="1:4">
      <c r="A2196">
        <v>1.011366</v>
      </c>
      <c r="B2196">
        <v>4.7982259999999997</v>
      </c>
      <c r="C2196">
        <f>LOG10(1.011366)</f>
        <v>4.9083494739203112E-3</v>
      </c>
      <c r="D2196">
        <f>LOG10(4.798226)</f>
        <v>0.68108069970546581</v>
      </c>
    </row>
    <row r="2197" spans="1:4">
      <c r="A2197">
        <v>1.0079130000000001</v>
      </c>
      <c r="B2197">
        <v>4.8940760000000001</v>
      </c>
      <c r="C2197">
        <f>LOG10(1.007913)</f>
        <v>3.4230467418849522E-3</v>
      </c>
      <c r="D2197">
        <f>LOG10(4.894076)</f>
        <v>0.68967070921772089</v>
      </c>
    </row>
    <row r="2198" spans="1:4">
      <c r="A2198">
        <v>1.010432</v>
      </c>
      <c r="B2198">
        <v>4.9492580000000004</v>
      </c>
      <c r="C2198">
        <f>LOG10(1.010432)</f>
        <v>4.507091707364891E-3</v>
      </c>
      <c r="D2198">
        <f>LOG10(4.949258)</f>
        <v>0.69454009374969017</v>
      </c>
    </row>
    <row r="2199" spans="1:4">
      <c r="A2199">
        <v>1.0077119999999999</v>
      </c>
      <c r="B2199">
        <v>4.6565279999999998</v>
      </c>
      <c r="C2199">
        <f>LOG10(1.007712)</f>
        <v>3.3364302421372708E-3</v>
      </c>
      <c r="D2199">
        <f>LOG10(4.656528)</f>
        <v>0.668062218739224</v>
      </c>
    </row>
    <row r="2200" spans="1:4">
      <c r="A2200">
        <v>1.011563</v>
      </c>
      <c r="B2200">
        <v>4.7437959999999997</v>
      </c>
      <c r="C2200">
        <f>LOG10(1.011563)</f>
        <v>4.992935747788944E-3</v>
      </c>
      <c r="D2200">
        <f>LOG10(4.743796)</f>
        <v>0.67612600455956762</v>
      </c>
    </row>
    <row r="2201" spans="1:4">
      <c r="A2201">
        <v>1.009315</v>
      </c>
      <c r="B2201">
        <v>4.7020780000000002</v>
      </c>
      <c r="C2201">
        <f>LOG10(1.009315)</f>
        <v>4.0267275966687941E-3</v>
      </c>
      <c r="D2201">
        <f>LOG10(4.702078)</f>
        <v>0.6722898291038123</v>
      </c>
    </row>
    <row r="2202" spans="1:4">
      <c r="A2202">
        <v>1.0091410000000001</v>
      </c>
      <c r="B2202">
        <v>4.7418370000000003</v>
      </c>
      <c r="C2202">
        <f>LOG10(1.009141)</f>
        <v>3.9518513149581144E-3</v>
      </c>
      <c r="D2202">
        <f>LOG10(4.741837)</f>
        <v>0.67594662108518189</v>
      </c>
    </row>
    <row r="2203" spans="1:4">
      <c r="A2203">
        <v>1.008426</v>
      </c>
      <c r="B2203">
        <v>4.6334809999999997</v>
      </c>
      <c r="C2203">
        <f>LOG10(1.008426)</f>
        <v>3.6440344567717012E-3</v>
      </c>
      <c r="D2203">
        <f>LOG10(4.633481)</f>
        <v>0.6659073864977223</v>
      </c>
    </row>
    <row r="2204" spans="1:4">
      <c r="A2204">
        <v>1.0113490000000001</v>
      </c>
      <c r="B2204">
        <v>4.7960690000000001</v>
      </c>
      <c r="C2204">
        <f>LOG10(1.011349)</f>
        <v>4.9010493785608556E-3</v>
      </c>
      <c r="D2204">
        <f>LOG10(4.796069)</f>
        <v>0.68088542257186757</v>
      </c>
    </row>
    <row r="2205" spans="1:4">
      <c r="A2205">
        <v>1.0101830000000001</v>
      </c>
      <c r="B2205">
        <v>4.4505689999999998</v>
      </c>
      <c r="C2205">
        <f>LOG10(1.010183)</f>
        <v>4.4000556549340505E-3</v>
      </c>
      <c r="D2205">
        <f>LOG10(4.450569)</f>
        <v>0.6484155385681093</v>
      </c>
    </row>
    <row r="2206" spans="1:4">
      <c r="A2206">
        <v>1.011344</v>
      </c>
      <c r="B2206">
        <v>4.4678329999999997</v>
      </c>
      <c r="C2206">
        <f>LOG10(1.011344)</f>
        <v>4.8989022683374704E-3</v>
      </c>
      <c r="D2206">
        <f>LOG10(4.467833)</f>
        <v>0.65009693155773163</v>
      </c>
    </row>
    <row r="2207" spans="1:4">
      <c r="A2207">
        <v>1.007787</v>
      </c>
      <c r="B2207">
        <v>4.3350460000000002</v>
      </c>
      <c r="C2207">
        <f>LOG10(1.007787)</f>
        <v>3.3687518519795964E-3</v>
      </c>
      <c r="D2207">
        <f>LOG10(4.335046)</f>
        <v>0.63699371021826701</v>
      </c>
    </row>
    <row r="2208" spans="1:4">
      <c r="A2208">
        <v>1.0099419999999999</v>
      </c>
      <c r="B2208">
        <v>4.5106719999999996</v>
      </c>
      <c r="C2208">
        <f>LOG10(1.009942)</f>
        <v>4.2964333834060054E-3</v>
      </c>
      <c r="D2208">
        <f>LOG10(4.510672)</f>
        <v>0.65424124789817251</v>
      </c>
    </row>
    <row r="2209" spans="1:4">
      <c r="A2209">
        <v>1.092376</v>
      </c>
      <c r="B2209">
        <v>2.9846509999999999</v>
      </c>
      <c r="C2209">
        <f>LOG10(1.092376)</f>
        <v>3.8372149924245862E-2</v>
      </c>
      <c r="D2209">
        <f>LOG10(2.984651)</f>
        <v>0.47489355568802505</v>
      </c>
    </row>
    <row r="2210" spans="1:4">
      <c r="A2210">
        <v>1.089704</v>
      </c>
      <c r="B2210">
        <v>3.1840950000000001</v>
      </c>
      <c r="C2210">
        <f>LOG10(1.089704)</f>
        <v>3.7308545074148582E-2</v>
      </c>
      <c r="D2210">
        <f>LOG10(3.184095)</f>
        <v>0.50298601677929111</v>
      </c>
    </row>
    <row r="2211" spans="1:4">
      <c r="A2211">
        <v>1.087693</v>
      </c>
      <c r="B2211">
        <v>3.3207170000000001</v>
      </c>
      <c r="C2211">
        <f>LOG10(1.087693)</f>
        <v>3.6506333579015074E-2</v>
      </c>
      <c r="D2211">
        <f>LOG10(3.320717)</f>
        <v>0.52123186548836309</v>
      </c>
    </row>
    <row r="2212" spans="1:4">
      <c r="A2212">
        <v>1.090347</v>
      </c>
      <c r="B2212">
        <v>3.3002560000000001</v>
      </c>
      <c r="C2212">
        <f>LOG10(1.090347)</f>
        <v>3.7564732988983128E-2</v>
      </c>
      <c r="D2212">
        <f>LOG10(3.300256)</f>
        <v>0.51854762929460796</v>
      </c>
    </row>
    <row r="2213" spans="1:4">
      <c r="A2213">
        <v>1.107083</v>
      </c>
      <c r="B2213">
        <v>3.241444</v>
      </c>
      <c r="C2213">
        <f>LOG10(1.107083)</f>
        <v>4.4180181936293701E-2</v>
      </c>
      <c r="D2213">
        <f>LOG10(3.241444)</f>
        <v>0.51073852302327583</v>
      </c>
    </row>
    <row r="2214" spans="1:4">
      <c r="A2214">
        <v>1.0692189999999999</v>
      </c>
      <c r="B2214">
        <v>3.097178</v>
      </c>
      <c r="C2214">
        <f>LOG10(1.069219)</f>
        <v>2.906666755722722E-2</v>
      </c>
      <c r="D2214">
        <f>LOG10(3.097178)</f>
        <v>0.49096616570432605</v>
      </c>
    </row>
    <row r="2215" spans="1:4">
      <c r="A2215">
        <v>1.072012</v>
      </c>
      <c r="B2215">
        <v>3.025604</v>
      </c>
      <c r="C2215">
        <f>LOG10(1.072012)</f>
        <v>3.0199646834935926E-2</v>
      </c>
      <c r="D2215">
        <f>LOG10(3.025604)</f>
        <v>0.48081208566039707</v>
      </c>
    </row>
    <row r="2216" spans="1:4">
      <c r="A2216">
        <v>1.104222</v>
      </c>
      <c r="B2216">
        <v>3.3467899999999999</v>
      </c>
      <c r="C2216">
        <f>LOG10(1.104222)</f>
        <v>4.3056395569399115E-2</v>
      </c>
      <c r="D2216">
        <f>LOG10(3.34679)</f>
        <v>0.52462846267075991</v>
      </c>
    </row>
    <row r="2217" spans="1:4">
      <c r="A2217">
        <v>1.1023769999999999</v>
      </c>
      <c r="B2217">
        <v>3.042284</v>
      </c>
      <c r="C2217">
        <f>LOG10(1.102377)</f>
        <v>4.2330143535533556E-2</v>
      </c>
      <c r="D2217">
        <f>LOG10(3.042284)</f>
        <v>0.48319975339736998</v>
      </c>
    </row>
    <row r="2218" spans="1:4">
      <c r="A2218">
        <v>1.0809599999999999</v>
      </c>
      <c r="B2218">
        <v>3.1799210000000002</v>
      </c>
      <c r="C2218">
        <f>LOG10(1.08096)</f>
        <v>3.3809623554895807E-2</v>
      </c>
      <c r="D2218">
        <f>LOG10(3.179921)</f>
        <v>0.50241633077366354</v>
      </c>
    </row>
    <row r="2219" spans="1:4">
      <c r="A2219">
        <v>1.089431</v>
      </c>
      <c r="B2219">
        <v>3.2344309999999998</v>
      </c>
      <c r="C2219">
        <f>LOG10(1.089431)</f>
        <v>3.7199729058454423E-2</v>
      </c>
      <c r="D2219">
        <f>LOG10(3.234431)</f>
        <v>0.50979789078679172</v>
      </c>
    </row>
    <row r="2220" spans="1:4">
      <c r="A2220">
        <v>1.1076319999999999</v>
      </c>
      <c r="B2220">
        <v>3.2905150000000001</v>
      </c>
      <c r="C2220">
        <f>LOG10(1.107632)</f>
        <v>4.4395494222929675E-2</v>
      </c>
      <c r="D2220">
        <f>LOG10(3.290515)</f>
        <v>0.51726387489665304</v>
      </c>
    </row>
    <row r="2221" spans="1:4">
      <c r="A2221">
        <v>1.0939110000000001</v>
      </c>
      <c r="B2221">
        <v>3.1518950000000001</v>
      </c>
      <c r="C2221">
        <f>LOG10(1.093911)</f>
        <v>3.8981989473455853E-2</v>
      </c>
      <c r="D2221">
        <f>LOG10(3.151895)</f>
        <v>0.49857174127939913</v>
      </c>
    </row>
    <row r="2222" spans="1:4">
      <c r="A2222">
        <v>1.087259</v>
      </c>
      <c r="B2222">
        <v>3.222988</v>
      </c>
      <c r="C2222">
        <f>LOG10(1.087259)</f>
        <v>3.6333011310157905E-2</v>
      </c>
      <c r="D2222">
        <f>LOG10(3.222988)</f>
        <v>0.50825868852707701</v>
      </c>
    </row>
    <row r="2223" spans="1:4">
      <c r="A2223">
        <v>1.1011359999999999</v>
      </c>
      <c r="B2223">
        <v>3.1100059999999998</v>
      </c>
      <c r="C2223">
        <f>LOG10(1.101136)</f>
        <v>4.1840961480310634E-2</v>
      </c>
      <c r="D2223">
        <f>LOG10(3.110006)</f>
        <v>0.4927612268931969</v>
      </c>
    </row>
    <row r="2224" spans="1:4">
      <c r="A2224">
        <v>1.073037</v>
      </c>
      <c r="B2224">
        <v>3.4413339999999999</v>
      </c>
      <c r="C2224">
        <f>LOG10(1.073037)</f>
        <v>3.0614697379545558E-2</v>
      </c>
      <c r="D2224">
        <f>LOG10(3.441334)</f>
        <v>0.53672682528514826</v>
      </c>
    </row>
    <row r="2225" spans="1:4">
      <c r="A2225">
        <v>1.054076</v>
      </c>
      <c r="B2225">
        <v>3.2980900000000002</v>
      </c>
      <c r="C2225">
        <f>LOG10(1.054076)</f>
        <v>2.2871925099201895E-2</v>
      </c>
      <c r="D2225">
        <f>LOG10(3.29809)</f>
        <v>0.5182625027245279</v>
      </c>
    </row>
    <row r="2226" spans="1:4">
      <c r="A2226">
        <v>1.1044780000000001</v>
      </c>
      <c r="B2226">
        <v>3.5529999999999999</v>
      </c>
      <c r="C2226">
        <f>LOG10(1.104478)</f>
        <v>4.315706962007608E-2</v>
      </c>
      <c r="D2226">
        <f>LOG10(3.553)</f>
        <v>0.55059520748932789</v>
      </c>
    </row>
    <row r="2227" spans="1:4">
      <c r="A2227">
        <v>1.091844</v>
      </c>
      <c r="B2227">
        <v>3.0756950000000001</v>
      </c>
      <c r="C2227">
        <f>LOG10(1.091844)</f>
        <v>3.8160591867876674E-2</v>
      </c>
      <c r="D2227">
        <f>LOG10(3.075695)</f>
        <v>0.48794326663510723</v>
      </c>
    </row>
    <row r="2228" spans="1:4">
      <c r="A2228">
        <v>1.085742</v>
      </c>
      <c r="B2228">
        <v>3.3651469999999999</v>
      </c>
      <c r="C2228">
        <f>LOG10(1.085742)</f>
        <v>3.5726638063136036E-2</v>
      </c>
      <c r="D2228">
        <f>LOG10(3.365147)</f>
        <v>0.52700404029682391</v>
      </c>
    </row>
    <row r="2229" spans="1:4">
      <c r="A2229">
        <v>1.094301</v>
      </c>
      <c r="B2229">
        <v>3.4813710000000002</v>
      </c>
      <c r="C2229">
        <f>LOG10(1.094301)</f>
        <v>3.9136796091585747E-2</v>
      </c>
      <c r="D2229">
        <f>LOG10(3.481371)</f>
        <v>0.54175030730245943</v>
      </c>
    </row>
    <row r="2230" spans="1:4">
      <c r="A2230">
        <v>1.0996539999999999</v>
      </c>
      <c r="B2230">
        <v>3.3488280000000001</v>
      </c>
      <c r="C2230">
        <f>LOG10(1.099654)</f>
        <v>4.1256058314205132E-2</v>
      </c>
      <c r="D2230">
        <f>LOG10(3.348828)</f>
        <v>0.52489284220419574</v>
      </c>
    </row>
    <row r="2231" spans="1:4">
      <c r="A2231">
        <v>1.124566</v>
      </c>
      <c r="B2231">
        <v>3.3259509999999999</v>
      </c>
      <c r="C2231">
        <f>LOG10(1.124566)</f>
        <v>5.098494896210945E-2</v>
      </c>
      <c r="D2231">
        <f>LOG10(3.325951)</f>
        <v>0.52191584663143464</v>
      </c>
    </row>
    <row r="2232" spans="1:4">
      <c r="A2232">
        <v>1.133202</v>
      </c>
      <c r="B2232">
        <v>3.2739959999999999</v>
      </c>
      <c r="C2232">
        <f>LOG10(1.133202)</f>
        <v>5.430733233992565E-2</v>
      </c>
      <c r="D2232">
        <f>LOG10(3.273996)</f>
        <v>0.51507814447757538</v>
      </c>
    </row>
    <row r="2233" spans="1:4">
      <c r="A2233">
        <v>1.1381349999999999</v>
      </c>
      <c r="B2233">
        <v>3.0280840000000002</v>
      </c>
      <c r="C2233">
        <f>LOG10(1.138135)</f>
        <v>5.6193778999063082E-2</v>
      </c>
      <c r="D2233">
        <f>LOG10(3.028084)</f>
        <v>0.48116791846029466</v>
      </c>
    </row>
    <row r="2234" spans="1:4">
      <c r="A2234">
        <v>1.136719</v>
      </c>
      <c r="B2234">
        <v>3.1593789999999999</v>
      </c>
      <c r="C2234">
        <f>LOG10(1.136719)</f>
        <v>5.5653119188984836E-2</v>
      </c>
      <c r="D2234">
        <f>LOG10(3.159379)</f>
        <v>0.49960172711934919</v>
      </c>
    </row>
    <row r="2235" spans="1:4">
      <c r="A2235">
        <v>1.1322779999999999</v>
      </c>
      <c r="B2235">
        <v>3.171484</v>
      </c>
      <c r="C2235">
        <f>LOG10(1.132278)</f>
        <v>5.3953069116652763E-2</v>
      </c>
      <c r="D2235">
        <f>LOG10(3.171484)</f>
        <v>0.50126252474207833</v>
      </c>
    </row>
    <row r="2236" spans="1:4">
      <c r="A2236">
        <v>1.104427</v>
      </c>
      <c r="B2236">
        <v>3.3382390000000002</v>
      </c>
      <c r="C2236">
        <f>LOG10(1.104427)</f>
        <v>4.3137015322964149E-2</v>
      </c>
      <c r="D2236">
        <f>LOG10(3.338239)</f>
        <v>0.52351742661088951</v>
      </c>
    </row>
    <row r="2237" spans="1:4">
      <c r="A2237">
        <v>1.1298870000000001</v>
      </c>
      <c r="B2237">
        <v>3.2357999999999998</v>
      </c>
      <c r="C2237">
        <f>LOG10(1.129887)</f>
        <v>5.3035011863612244E-2</v>
      </c>
      <c r="D2237">
        <f>LOG10(3.2358)</f>
        <v>0.509981670671806</v>
      </c>
    </row>
    <row r="2238" spans="1:4">
      <c r="A2238">
        <v>1.08744</v>
      </c>
      <c r="B2238">
        <v>3.363165</v>
      </c>
      <c r="C2238">
        <f>LOG10(1.08744)</f>
        <v>3.6405303890791815E-2</v>
      </c>
      <c r="D2238">
        <f>LOG10(3.363165)</f>
        <v>0.52674817472815527</v>
      </c>
    </row>
    <row r="2239" spans="1:4">
      <c r="A2239">
        <v>1.1064149999999999</v>
      </c>
      <c r="B2239">
        <v>3.269606</v>
      </c>
      <c r="C2239">
        <f>LOG10(1.106415)</f>
        <v>4.391805500171455E-2</v>
      </c>
      <c r="D2239">
        <f>LOG10(3.269606)</f>
        <v>0.51449542167090323</v>
      </c>
    </row>
    <row r="2240" spans="1:4">
      <c r="A2240">
        <v>1.1202190000000001</v>
      </c>
      <c r="B2240">
        <v>3.2680959999999999</v>
      </c>
      <c r="C2240">
        <f>LOG10(1.120219)</f>
        <v>4.9302934450538641E-2</v>
      </c>
      <c r="D2240">
        <f>LOG10(3.268096)</f>
        <v>0.51429480540563599</v>
      </c>
    </row>
    <row r="2241" spans="1:4">
      <c r="A2241">
        <v>1.1059859999999999</v>
      </c>
      <c r="B2241">
        <v>3.3972519999999999</v>
      </c>
      <c r="C2241">
        <f>LOG10(1.105986)</f>
        <v>4.3749629535380363E-2</v>
      </c>
      <c r="D2241">
        <f>LOG10(3.397252)</f>
        <v>0.53112776298726638</v>
      </c>
    </row>
    <row r="2242" spans="1:4">
      <c r="A2242">
        <v>1.0879840000000001</v>
      </c>
      <c r="B2242">
        <v>3.5394239999999999</v>
      </c>
      <c r="C2242">
        <f>LOG10(1.087984)</f>
        <v>3.6622508631642355E-2</v>
      </c>
      <c r="D2242">
        <f>LOG10(3.539424)</f>
        <v>0.54893259141130613</v>
      </c>
    </row>
    <row r="2243" spans="1:4">
      <c r="A2243">
        <v>1.095601</v>
      </c>
      <c r="B2243">
        <v>3.41655</v>
      </c>
      <c r="C2243">
        <f>LOG10(1.095601)</f>
        <v>3.9652419980503298E-2</v>
      </c>
      <c r="D2243">
        <f>LOG10(3.41655)</f>
        <v>0.53358778085124237</v>
      </c>
    </row>
    <row r="2244" spans="1:4">
      <c r="A2244">
        <v>1.0752930000000001</v>
      </c>
      <c r="B2244">
        <v>3.2919339999999999</v>
      </c>
      <c r="C2244">
        <f>LOG10(1.075293)</f>
        <v>3.1526818619131459E-2</v>
      </c>
      <c r="D2244">
        <f>LOG10(3.291934)</f>
        <v>0.51745111945543865</v>
      </c>
    </row>
    <row r="2245" spans="1:4">
      <c r="A2245">
        <v>1.0713490000000001</v>
      </c>
      <c r="B2245">
        <v>3.0386850000000001</v>
      </c>
      <c r="C2245">
        <f>LOG10(1.071349)</f>
        <v>2.9930968576177466E-2</v>
      </c>
      <c r="D2245">
        <f>LOG10(3.038685)</f>
        <v>0.48268568203049739</v>
      </c>
    </row>
    <row r="2246" spans="1:4">
      <c r="A2246">
        <v>1.0786230000000001</v>
      </c>
      <c r="B2246">
        <v>3.155446</v>
      </c>
      <c r="C2246">
        <f>LOG10(1.078623)</f>
        <v>3.2869676722202326E-2</v>
      </c>
      <c r="D2246">
        <f>LOG10(3.155446)</f>
        <v>0.49906075237557307</v>
      </c>
    </row>
    <row r="2247" spans="1:4">
      <c r="A2247">
        <v>1.0802400000000001</v>
      </c>
      <c r="B2247">
        <v>3.2642950000000002</v>
      </c>
      <c r="C2247">
        <f>LOG10(1.08024)</f>
        <v>3.3520254650084964E-2</v>
      </c>
      <c r="D2247">
        <f>LOG10(3.264295)</f>
        <v>0.51378939980085392</v>
      </c>
    </row>
    <row r="2248" spans="1:4">
      <c r="A2248">
        <v>1.0903849999999999</v>
      </c>
      <c r="B2248">
        <v>3.1878929999999999</v>
      </c>
      <c r="C2248">
        <f>LOG10(1.090385)</f>
        <v>3.757986844837382E-2</v>
      </c>
      <c r="D2248">
        <f>LOG10(3.187893)</f>
        <v>0.50350373609627752</v>
      </c>
    </row>
    <row r="2249" spans="1:4">
      <c r="A2249">
        <v>1.0878110000000001</v>
      </c>
      <c r="B2249">
        <v>3.287417</v>
      </c>
      <c r="C2249">
        <f>LOG10(1.087811)</f>
        <v>3.6553446109182673E-2</v>
      </c>
      <c r="D2249">
        <f>LOG10(3.287417)</f>
        <v>0.51685479666221257</v>
      </c>
    </row>
    <row r="2250" spans="1:4">
      <c r="A2250">
        <v>1.0672630000000001</v>
      </c>
      <c r="B2250">
        <v>3.172669</v>
      </c>
      <c r="C2250">
        <f>LOG10(1.067263)</f>
        <v>2.8271453514756541E-2</v>
      </c>
      <c r="D2250">
        <f>LOG10(3.172669)</f>
        <v>0.50142476514423773</v>
      </c>
    </row>
    <row r="2251" spans="1:4">
      <c r="A2251">
        <v>1.065313</v>
      </c>
      <c r="B2251">
        <v>2.984861</v>
      </c>
      <c r="C2251">
        <f>LOG10(1.065313)</f>
        <v>2.7477226743249757E-2</v>
      </c>
      <c r="D2251">
        <f>LOG10(2.984861)</f>
        <v>0.47492411156637399</v>
      </c>
    </row>
    <row r="2252" spans="1:4">
      <c r="A2252">
        <v>1.0846640000000001</v>
      </c>
      <c r="B2252">
        <v>3.1480899999999998</v>
      </c>
      <c r="C2252">
        <f>LOG10(1.084664)</f>
        <v>3.529522616140926E-2</v>
      </c>
      <c r="D2252">
        <f>LOG10(3.14809)</f>
        <v>0.49804713980667387</v>
      </c>
    </row>
    <row r="2253" spans="1:4">
      <c r="A2253">
        <v>1.074727</v>
      </c>
      <c r="B2253">
        <v>3.0357759999999998</v>
      </c>
      <c r="C2253">
        <f>LOG10(1.074727)</f>
        <v>3.1298159646251496E-2</v>
      </c>
      <c r="D2253">
        <f>LOG10(3.035776)</f>
        <v>0.48226972323368078</v>
      </c>
    </row>
    <row r="2254" spans="1:4">
      <c r="A2254">
        <v>1.0598099999999999</v>
      </c>
      <c r="B2254">
        <v>2.9610750000000001</v>
      </c>
      <c r="C2254">
        <f>LOG10(1.05981)</f>
        <v>2.5228013049918323E-2</v>
      </c>
      <c r="D2254">
        <f>LOG10(2.961075)</f>
        <v>0.47144940761680204</v>
      </c>
    </row>
    <row r="2255" spans="1:4">
      <c r="A2255">
        <v>1.0810569999999999</v>
      </c>
      <c r="B2255">
        <v>3.0485259999999998</v>
      </c>
      <c r="C2255">
        <f>LOG10(1.081057)</f>
        <v>3.3848593243638203E-2</v>
      </c>
      <c r="D2255">
        <f>LOG10(3.048526)</f>
        <v>0.48408990334625362</v>
      </c>
    </row>
    <row r="2256" spans="1:4">
      <c r="A2256">
        <v>1.078687</v>
      </c>
      <c r="B2256">
        <v>2.9573520000000002</v>
      </c>
      <c r="C2256">
        <f>LOG10(1.078687)</f>
        <v>3.2895444782286315E-2</v>
      </c>
      <c r="D2256">
        <f>LOG10(2.957352)</f>
        <v>0.47090301967642678</v>
      </c>
    </row>
    <row r="2257" spans="1:4">
      <c r="A2257">
        <v>1.0724990000000001</v>
      </c>
      <c r="B2257">
        <v>3.0535909999999999</v>
      </c>
      <c r="C2257">
        <f>LOG10(1.072499)</f>
        <v>3.0396895919993248E-2</v>
      </c>
      <c r="D2257">
        <f>LOG10(3.053591)</f>
        <v>0.48481086692529135</v>
      </c>
    </row>
    <row r="2258" spans="1:4">
      <c r="A2258">
        <v>1.087874</v>
      </c>
      <c r="B2258">
        <v>2.8823530000000002</v>
      </c>
      <c r="C2258">
        <f>LOG10(1.087874)</f>
        <v>3.6578597316611616E-2</v>
      </c>
      <c r="D2258">
        <f>LOG10(2.882353)</f>
        <v>0.45974716751339234</v>
      </c>
    </row>
    <row r="2259" spans="1:4">
      <c r="A2259">
        <v>1.0874189999999999</v>
      </c>
      <c r="B2259">
        <v>2.9225129999999999</v>
      </c>
      <c r="C2259">
        <f>LOG10(1.087419)</f>
        <v>3.6396916970885491E-2</v>
      </c>
      <c r="D2259">
        <f>LOG10(2.922513)</f>
        <v>0.46575645167843127</v>
      </c>
    </row>
    <row r="2260" spans="1:4">
      <c r="A2260">
        <v>1.0687</v>
      </c>
      <c r="B2260">
        <v>3.095809</v>
      </c>
      <c r="C2260">
        <f>LOG10(1.0687)</f>
        <v>2.8855809390444003E-2</v>
      </c>
      <c r="D2260">
        <f>LOG10(3.095809)</f>
        <v>0.49077415846923578</v>
      </c>
    </row>
    <row r="2261" spans="1:4">
      <c r="A2261">
        <v>1.0767960000000001</v>
      </c>
      <c r="B2261">
        <v>3.0310969999999999</v>
      </c>
      <c r="C2261">
        <f>LOG10(1.076796)</f>
        <v>3.213343359874065E-2</v>
      </c>
      <c r="D2261">
        <f>LOG10(3.031097)</f>
        <v>0.48159983471492623</v>
      </c>
    </row>
    <row r="2262" spans="1:4">
      <c r="A2262">
        <v>1.0788740000000001</v>
      </c>
      <c r="B2262">
        <v>3.0357859999999999</v>
      </c>
      <c r="C2262">
        <f>LOG10(1.078874)</f>
        <v>3.29707270740216E-2</v>
      </c>
      <c r="D2262">
        <f>LOG10(3.035786)</f>
        <v>0.48227115381935842</v>
      </c>
    </row>
    <row r="2263" spans="1:4">
      <c r="A2263">
        <v>1.0754969999999999</v>
      </c>
      <c r="B2263">
        <v>2.9000759999999999</v>
      </c>
      <c r="C2263">
        <f>LOG10(1.075497)</f>
        <v>3.1609203300642798E-2</v>
      </c>
      <c r="D2263">
        <f>LOG10(2.900076)</f>
        <v>0.46240937926038184</v>
      </c>
    </row>
    <row r="2264" spans="1:4">
      <c r="A2264">
        <v>1.078762</v>
      </c>
      <c r="B2264">
        <v>2.939724</v>
      </c>
      <c r="C2264">
        <f>LOG10(1.078762)</f>
        <v>3.2925639782173576E-2</v>
      </c>
      <c r="D2264">
        <f>LOG10(2.939724)</f>
        <v>0.46830655799593729</v>
      </c>
    </row>
    <row r="2265" spans="1:4">
      <c r="A2265">
        <v>1.071102</v>
      </c>
      <c r="B2265">
        <v>2.9485489999999999</v>
      </c>
      <c r="C2265">
        <f>LOG10(1.071102)</f>
        <v>2.983083024162007E-2</v>
      </c>
      <c r="D2265">
        <f>LOG10(2.948549)</f>
        <v>0.46960834942865987</v>
      </c>
    </row>
    <row r="2266" spans="1:4">
      <c r="A2266">
        <v>1.063253</v>
      </c>
      <c r="B2266">
        <v>2.8520979999999998</v>
      </c>
      <c r="C2266">
        <f>LOG10(1.063253)</f>
        <v>2.6636616762602313E-2</v>
      </c>
      <c r="D2266">
        <f>LOG10(2.852098)</f>
        <v>0.45516444408586171</v>
      </c>
    </row>
    <row r="2267" spans="1:4">
      <c r="A2267">
        <v>1.06847</v>
      </c>
      <c r="B2267">
        <v>3.0870410000000001</v>
      </c>
      <c r="C2267">
        <f>LOG10(1.06847)</f>
        <v>2.8762332754309904E-2</v>
      </c>
      <c r="D2267">
        <f>LOG10(3.087041)</f>
        <v>0.48954239752728923</v>
      </c>
    </row>
    <row r="2268" spans="1:4">
      <c r="A2268">
        <v>1.068522</v>
      </c>
      <c r="B2268">
        <v>2.9860039999999999</v>
      </c>
      <c r="C2268">
        <f>LOG10(1.068522)</f>
        <v>2.8783468362738387E-2</v>
      </c>
      <c r="D2268">
        <f>LOG10(2.986004)</f>
        <v>0.47509038516287266</v>
      </c>
    </row>
    <row r="2269" spans="1:4">
      <c r="A2269">
        <v>1.064106</v>
      </c>
      <c r="B2269">
        <v>2.8983919999999999</v>
      </c>
      <c r="C2269">
        <f>LOG10(1.064106)</f>
        <v>2.6984891983584371E-2</v>
      </c>
      <c r="D2269">
        <f>LOG10(2.898392)</f>
        <v>0.46215712230972283</v>
      </c>
    </row>
    <row r="2270" spans="1:4">
      <c r="A2270">
        <v>1.077833</v>
      </c>
      <c r="B2270">
        <v>2.972836</v>
      </c>
      <c r="C2270">
        <f>LOG10(1.077833)</f>
        <v>3.2551476252494618E-2</v>
      </c>
      <c r="D2270">
        <f>LOG10(2.972836)</f>
        <v>0.47317095149905747</v>
      </c>
    </row>
    <row r="2271" spans="1:4">
      <c r="A2271">
        <v>1.07101</v>
      </c>
      <c r="B2271">
        <v>2.8953289999999998</v>
      </c>
      <c r="C2271">
        <f>LOG10(1.07101)</f>
        <v>2.9793525850103982E-2</v>
      </c>
      <c r="D2271">
        <f>LOG10(2.895329)</f>
        <v>0.46169792031432016</v>
      </c>
    </row>
    <row r="2272" spans="1:4">
      <c r="A2272">
        <v>1.0553110000000001</v>
      </c>
      <c r="B2272">
        <v>2.7946049999999998</v>
      </c>
      <c r="C2272">
        <f>LOG10(1.055311)</f>
        <v>2.3380465017609636E-2</v>
      </c>
      <c r="D2272">
        <f>LOG10(2.794605)</f>
        <v>0.44632043174184016</v>
      </c>
    </row>
    <row r="2273" spans="1:4">
      <c r="A2273">
        <v>1.0693569999999999</v>
      </c>
      <c r="B2273">
        <v>2.9753229999999999</v>
      </c>
      <c r="C2273">
        <f>LOG10(1.069357)</f>
        <v>2.912271666521854E-2</v>
      </c>
      <c r="D2273">
        <f>LOG10(2.975323)</f>
        <v>0.47353411947739604</v>
      </c>
    </row>
    <row r="2274" spans="1:4">
      <c r="A2274">
        <v>1.0760810000000001</v>
      </c>
      <c r="B2274">
        <v>2.85371</v>
      </c>
      <c r="C2274">
        <f>LOG10(1.076081)</f>
        <v>3.1844963271845439E-2</v>
      </c>
      <c r="D2274">
        <f>LOG10(2.85371)</f>
        <v>0.45540983710415261</v>
      </c>
    </row>
    <row r="2275" spans="1:4">
      <c r="A2275">
        <v>1.0701369999999999</v>
      </c>
      <c r="B2275">
        <v>2.8125200000000001</v>
      </c>
      <c r="C2275">
        <f>LOG10(1.070137)</f>
        <v>2.9439380054685962E-2</v>
      </c>
      <c r="D2275">
        <f>LOG10(2.81252)</f>
        <v>0.44909561942475407</v>
      </c>
    </row>
    <row r="2276" spans="1:4">
      <c r="A2276">
        <v>1.074065</v>
      </c>
      <c r="B2276">
        <v>2.9434429999999998</v>
      </c>
      <c r="C2276">
        <f>LOG10(1.074065)</f>
        <v>3.1030564684881686E-2</v>
      </c>
      <c r="D2276">
        <f>LOG10(2.943443)</f>
        <v>0.46885563008358572</v>
      </c>
    </row>
    <row r="2277" spans="1:4">
      <c r="A2277">
        <v>1.059663</v>
      </c>
      <c r="B2277">
        <v>2.9186260000000002</v>
      </c>
      <c r="C2277">
        <f>LOG10(1.059663)</f>
        <v>2.5167770443438223E-2</v>
      </c>
      <c r="D2277">
        <f>LOG10(2.918626)</f>
        <v>0.46517844697752037</v>
      </c>
    </row>
    <row r="2278" spans="1:4">
      <c r="A2278">
        <v>1.062541</v>
      </c>
      <c r="B2278">
        <v>2.942123</v>
      </c>
      <c r="C2278">
        <f>LOG10(1.062541)</f>
        <v>2.6345697056668557E-2</v>
      </c>
      <c r="D2278">
        <f>LOG10(2.942123)</f>
        <v>0.468660825123205</v>
      </c>
    </row>
    <row r="2279" spans="1:4">
      <c r="A2279">
        <v>1.073671</v>
      </c>
      <c r="B2279">
        <v>3.021525</v>
      </c>
      <c r="C2279">
        <f>LOG10(1.073671)</f>
        <v>3.087122291495336E-2</v>
      </c>
      <c r="D2279">
        <f>LOG10(3.021525)</f>
        <v>0.48022619193781985</v>
      </c>
    </row>
    <row r="2280" spans="1:4">
      <c r="A2280">
        <v>1.0622590000000001</v>
      </c>
      <c r="B2280">
        <v>3.0056289999999999</v>
      </c>
      <c r="C2280">
        <f>LOG10(1.062259)</f>
        <v>2.6230419341480543E-2</v>
      </c>
      <c r="D2280">
        <f>LOG10(3.005629)</f>
        <v>0.4779353723931028</v>
      </c>
    </row>
    <row r="2281" spans="1:4">
      <c r="A2281">
        <v>1.0566489999999999</v>
      </c>
      <c r="B2281">
        <v>2.9893459999999998</v>
      </c>
      <c r="C2281">
        <f>LOG10(1.056649)</f>
        <v>2.3930746362454493E-2</v>
      </c>
      <c r="D2281">
        <f>LOG10(2.989346)</f>
        <v>0.47557618509421101</v>
      </c>
    </row>
    <row r="2282" spans="1:4">
      <c r="A2282">
        <v>1.0703800000000001</v>
      </c>
      <c r="B2282">
        <v>2.9412729999999998</v>
      </c>
      <c r="C2282">
        <f>LOG10(1.07038)</f>
        <v>2.9537985727573348E-2</v>
      </c>
      <c r="D2282">
        <f>LOG10(2.941273)</f>
        <v>0.46853533626874538</v>
      </c>
    </row>
    <row r="2283" spans="1:4">
      <c r="A2283">
        <v>1.0597449999999999</v>
      </c>
      <c r="B2283">
        <v>3.0554519999999998</v>
      </c>
      <c r="C2283">
        <f>LOG10(1.059745)</f>
        <v>2.5201376193283272E-2</v>
      </c>
      <c r="D2283">
        <f>LOG10(3.055452)</f>
        <v>0.48507546550671327</v>
      </c>
    </row>
    <row r="2284" spans="1:4">
      <c r="A2284">
        <v>1.0751580000000001</v>
      </c>
      <c r="B2284">
        <v>2.9940030000000002</v>
      </c>
      <c r="C2284">
        <f>LOG10(1.075158)</f>
        <v>3.1472290750201679E-2</v>
      </c>
      <c r="D2284">
        <f>LOG10(2.994003)</f>
        <v>0.47625223117162707</v>
      </c>
    </row>
    <row r="2285" spans="1:4">
      <c r="A2285">
        <v>1.0716270000000001</v>
      </c>
      <c r="B2285">
        <v>3.0497260000000002</v>
      </c>
      <c r="C2285">
        <f>LOG10(1.071627)</f>
        <v>3.0043647268469285E-2</v>
      </c>
      <c r="D2285">
        <f>LOG10(3.049726)</f>
        <v>0.48426082228663547</v>
      </c>
    </row>
    <row r="2286" spans="1:4">
      <c r="A2286">
        <v>1.0527820000000001</v>
      </c>
      <c r="B2286">
        <v>3.168075</v>
      </c>
      <c r="C2286">
        <f>LOG10(1.052782)</f>
        <v>2.2338450958802953E-2</v>
      </c>
      <c r="D2286">
        <f>LOG10(3.168075)</f>
        <v>0.5007954543886014</v>
      </c>
    </row>
    <row r="2287" spans="1:4">
      <c r="A2287">
        <v>1.040149</v>
      </c>
      <c r="B2287">
        <v>3.3970319999999998</v>
      </c>
      <c r="C2287">
        <f>LOG10(1.040149)</f>
        <v>1.7095555878375617E-2</v>
      </c>
      <c r="D2287">
        <f>LOG10(3.397032)</f>
        <v>0.53109963793801851</v>
      </c>
    </row>
    <row r="2288" spans="1:4">
      <c r="A2288">
        <v>1.045302</v>
      </c>
      <c r="B2288">
        <v>3.2474880000000002</v>
      </c>
      <c r="C2288">
        <f>LOG10(1.045302)</f>
        <v>1.9241781342117955E-2</v>
      </c>
      <c r="D2288">
        <f>LOG10(3.247488)</f>
        <v>0.51154755495879556</v>
      </c>
    </row>
    <row r="2289" spans="1:4">
      <c r="A2289">
        <v>1.0553950000000001</v>
      </c>
      <c r="B2289">
        <v>3.2709299999999999</v>
      </c>
      <c r="C2289">
        <f>LOG10(1.055395)</f>
        <v>2.3415032348634537E-2</v>
      </c>
      <c r="D2289">
        <f>LOG10(3.27093)</f>
        <v>0.51467125004395831</v>
      </c>
    </row>
    <row r="2290" spans="1:4">
      <c r="A2290">
        <v>1.047393</v>
      </c>
      <c r="B2290">
        <v>3.1157710000000001</v>
      </c>
      <c r="C2290">
        <f>LOG10(1.047393)</f>
        <v>2.0109667072119704E-2</v>
      </c>
      <c r="D2290">
        <f>LOG10(3.115771)</f>
        <v>0.49356553080699866</v>
      </c>
    </row>
    <row r="2291" spans="1:4">
      <c r="A2291">
        <v>1.0690980000000001</v>
      </c>
      <c r="B2291">
        <v>2.9815450000000001</v>
      </c>
      <c r="C2291">
        <f>LOG10(1.069098)</f>
        <v>2.9017517096966837E-2</v>
      </c>
      <c r="D2291">
        <f>LOG10(2.981545)</f>
        <v>0.4744413684710263</v>
      </c>
    </row>
    <row r="2292" spans="1:4">
      <c r="A2292">
        <v>1.0850390000000001</v>
      </c>
      <c r="B2292">
        <v>2.9209200000000002</v>
      </c>
      <c r="C2292">
        <f>LOG10(1.085039)</f>
        <v>3.5445348489059975E-2</v>
      </c>
      <c r="D2292">
        <f>LOG10(2.92092)</f>
        <v>0.46551966240513581</v>
      </c>
    </row>
    <row r="2293" spans="1:4">
      <c r="A2293">
        <v>1.0932729999999999</v>
      </c>
      <c r="B2293">
        <v>2.772878</v>
      </c>
      <c r="C2293">
        <f>LOG10(1.093273)</f>
        <v>3.8728622690127973E-2</v>
      </c>
      <c r="D2293">
        <f>LOG10(2.772878)</f>
        <v>0.44293076207971593</v>
      </c>
    </row>
    <row r="2294" spans="1:4">
      <c r="A2294">
        <v>1.098905</v>
      </c>
      <c r="B2294">
        <v>2.9135779999999998</v>
      </c>
      <c r="C2294">
        <f>LOG10(1.098905)</f>
        <v>4.096014942158057E-2</v>
      </c>
      <c r="D2294">
        <f>LOG10(2.913578)</f>
        <v>0.46442664916931192</v>
      </c>
    </row>
    <row r="2295" spans="1:4">
      <c r="A2295">
        <v>1.0986560000000001</v>
      </c>
      <c r="B2295">
        <v>3.0556160000000001</v>
      </c>
      <c r="C2295">
        <f>LOG10(1.098656)</f>
        <v>4.0861731833666814E-2</v>
      </c>
      <c r="D2295">
        <f>LOG10(3.055616)</f>
        <v>0.48509877544044316</v>
      </c>
    </row>
    <row r="2296" spans="1:4">
      <c r="A2296">
        <v>1.103599</v>
      </c>
      <c r="B2296">
        <v>2.9503439999999999</v>
      </c>
      <c r="C2296">
        <f>LOG10(1.103599)</f>
        <v>4.281129828170506E-2</v>
      </c>
      <c r="D2296">
        <f>LOG10(2.950344)</f>
        <v>0.46987265617878315</v>
      </c>
    </row>
    <row r="2297" spans="1:4">
      <c r="A2297">
        <v>1.1132919999999999</v>
      </c>
      <c r="B2297">
        <v>2.9911919999999999</v>
      </c>
      <c r="C2297">
        <f>LOG10(1.113292)</f>
        <v>4.6609088284884588E-2</v>
      </c>
      <c r="D2297">
        <f>LOG10(2.991192)</f>
        <v>0.47584429061884925</v>
      </c>
    </row>
    <row r="2298" spans="1:4">
      <c r="A2298">
        <v>1.096876</v>
      </c>
      <c r="B2298">
        <v>2.9549099999999999</v>
      </c>
      <c r="C2298">
        <f>LOG10(1.096876)</f>
        <v>4.0157534083726805E-2</v>
      </c>
      <c r="D2298">
        <f>LOG10(2.95491)</f>
        <v>0.47054425777273634</v>
      </c>
    </row>
    <row r="2299" spans="1:4">
      <c r="A2299">
        <v>1.096071</v>
      </c>
      <c r="B2299">
        <v>2.9539260000000001</v>
      </c>
      <c r="C2299">
        <f>LOG10(1.096071)</f>
        <v>3.9838687277456049E-2</v>
      </c>
      <c r="D2299">
        <f>LOG10(2.953926)</f>
        <v>0.47039961142474385</v>
      </c>
    </row>
    <row r="2300" spans="1:4">
      <c r="A2300">
        <v>1.0700480000000001</v>
      </c>
      <c r="B2300">
        <v>2.846635</v>
      </c>
      <c r="C2300">
        <f>LOG10(1.070048)</f>
        <v>2.9403259617516674E-2</v>
      </c>
      <c r="D2300">
        <f>LOG10(2.846635)</f>
        <v>0.45433178479776631</v>
      </c>
    </row>
    <row r="2301" spans="1:4">
      <c r="A2301">
        <v>1.0722769999999999</v>
      </c>
      <c r="B2301">
        <v>3.2065139999999999</v>
      </c>
      <c r="C2301">
        <f>LOG10(1.072277)</f>
        <v>3.0306990610229515E-2</v>
      </c>
      <c r="D2301">
        <f>LOG10(3.206514)</f>
        <v>0.50603314043584746</v>
      </c>
    </row>
    <row r="2302" spans="1:4">
      <c r="A2302">
        <v>1.094419</v>
      </c>
      <c r="B2302">
        <v>2.9682979999999999</v>
      </c>
      <c r="C2302">
        <f>LOG10(1.094419)</f>
        <v>3.9183624145347089E-2</v>
      </c>
      <c r="D2302">
        <f>LOG10(2.968298)</f>
        <v>0.4725074994570202</v>
      </c>
    </row>
    <row r="2303" spans="1:4">
      <c r="A2303">
        <v>1.090965</v>
      </c>
      <c r="B2303">
        <v>2.9896880000000001</v>
      </c>
      <c r="C2303">
        <f>LOG10(1.090965)</f>
        <v>3.7810817911265997E-2</v>
      </c>
      <c r="D2303">
        <f>LOG10(2.989688)</f>
        <v>0.47562586827479603</v>
      </c>
    </row>
    <row r="2304" spans="1:4">
      <c r="A2304">
        <v>1.069223</v>
      </c>
      <c r="B2304">
        <v>2.905097</v>
      </c>
      <c r="C2304">
        <f>LOG10(1.069223)</f>
        <v>2.9068292270852995E-2</v>
      </c>
      <c r="D2304">
        <f>LOG10(2.905097)</f>
        <v>0.46316063788347256</v>
      </c>
    </row>
    <row r="2305" spans="1:4">
      <c r="A2305">
        <v>1.0951610000000001</v>
      </c>
      <c r="B2305">
        <v>3.0322990000000001</v>
      </c>
      <c r="C2305">
        <f>LOG10(1.095161)</f>
        <v>3.9477969652620279E-2</v>
      </c>
      <c r="D2305">
        <f>LOG10(3.032299)</f>
        <v>0.48177202270135694</v>
      </c>
    </row>
    <row r="2306" spans="1:4">
      <c r="A2306">
        <v>1.082158</v>
      </c>
      <c r="B2306">
        <v>3.0331839999999999</v>
      </c>
      <c r="C2306">
        <f>LOG10(1.082158)</f>
        <v>3.4290674373681836E-2</v>
      </c>
      <c r="D2306">
        <f>LOG10(3.033184)</f>
        <v>0.48189875642370411</v>
      </c>
    </row>
    <row r="2307" spans="1:4">
      <c r="A2307">
        <v>1.079842</v>
      </c>
      <c r="B2307">
        <v>3.067088</v>
      </c>
      <c r="C2307">
        <f>LOG10(1.079842)</f>
        <v>3.3360215164775088E-2</v>
      </c>
      <c r="D2307">
        <f>LOG10(3.067088)</f>
        <v>0.4867262368126562</v>
      </c>
    </row>
    <row r="2308" spans="1:4">
      <c r="A2308">
        <v>1.0944430000000001</v>
      </c>
      <c r="B2308">
        <v>2.9257200000000001</v>
      </c>
      <c r="C2308">
        <f>LOG10(1.094443)</f>
        <v>3.9193147877374143E-2</v>
      </c>
      <c r="D2308">
        <f>LOG10(2.92572)</f>
        <v>0.46623276052011797</v>
      </c>
    </row>
    <row r="2309" spans="1:4">
      <c r="A2309">
        <v>1.0843609999999999</v>
      </c>
      <c r="B2309">
        <v>3.0617719999999999</v>
      </c>
      <c r="C2309">
        <f>LOG10(1.084361)</f>
        <v>3.5173889405149893E-2</v>
      </c>
      <c r="D2309">
        <f>LOG10(3.061772)</f>
        <v>0.48597284709751465</v>
      </c>
    </row>
    <row r="2310" spans="1:4">
      <c r="A2310">
        <v>1.082333</v>
      </c>
      <c r="B2310">
        <v>2.9809860000000001</v>
      </c>
      <c r="C2310">
        <f>LOG10(1.082333)</f>
        <v>3.4360900153783194E-2</v>
      </c>
      <c r="D2310">
        <f>LOG10(2.980986)</f>
        <v>0.4743599364026328</v>
      </c>
    </row>
    <row r="2311" spans="1:4">
      <c r="A2311">
        <v>1.0484309999999999</v>
      </c>
      <c r="B2311">
        <v>3.1116519999999999</v>
      </c>
      <c r="C2311">
        <f>LOG10(1.048431)</f>
        <v>2.0539853680417625E-2</v>
      </c>
      <c r="D2311">
        <f>LOG10(3.111652)</f>
        <v>0.4929910205378783</v>
      </c>
    </row>
    <row r="2312" spans="1:4">
      <c r="A2312">
        <v>1.0348809999999999</v>
      </c>
      <c r="B2312">
        <v>3.0491869999999999</v>
      </c>
      <c r="C2312">
        <f>LOG10(1.034881)</f>
        <v>1.4890413546936472E-2</v>
      </c>
      <c r="D2312">
        <f>LOG10(3.049187)</f>
        <v>0.48418405951715326</v>
      </c>
    </row>
    <row r="2313" spans="1:4">
      <c r="A2313">
        <v>1.034853</v>
      </c>
      <c r="B2313">
        <v>3.005201</v>
      </c>
      <c r="C2313">
        <f>LOG10(1.034853)</f>
        <v>1.4878663007500972E-2</v>
      </c>
      <c r="D2313">
        <f>LOG10(3.005201)</f>
        <v>0.47787352468203176</v>
      </c>
    </row>
    <row r="2314" spans="1:4">
      <c r="A2314">
        <v>1.040303</v>
      </c>
      <c r="B2314">
        <v>3.0874039999999998</v>
      </c>
      <c r="C2314">
        <f>LOG10(1.040303)</f>
        <v>1.71598508972804E-2</v>
      </c>
      <c r="D2314">
        <f>LOG10(3.087404)</f>
        <v>0.48959346248846786</v>
      </c>
    </row>
    <row r="2315" spans="1:4">
      <c r="A2315">
        <v>1.057914</v>
      </c>
      <c r="B2315">
        <v>3.3939089999999998</v>
      </c>
      <c r="C2315">
        <f>LOG10(1.057914)</f>
        <v>2.4450364444437094E-2</v>
      </c>
      <c r="D2315">
        <f>LOG10(3.393909)</f>
        <v>0.53070019351268849</v>
      </c>
    </row>
    <row r="2316" spans="1:4">
      <c r="A2316">
        <v>1.038732</v>
      </c>
      <c r="B2316">
        <v>3.0874619999999999</v>
      </c>
      <c r="C2316">
        <f>LOG10(1.038732)</f>
        <v>1.6503511046409357E-2</v>
      </c>
      <c r="D2316">
        <f>LOG10(3.087462)</f>
        <v>0.48960162107197436</v>
      </c>
    </row>
    <row r="2317" spans="1:4">
      <c r="A2317">
        <v>1.058656</v>
      </c>
      <c r="B2317">
        <v>3.0342720000000001</v>
      </c>
      <c r="C2317">
        <f>LOG10(1.058656)</f>
        <v>2.4754863250310091E-2</v>
      </c>
      <c r="D2317">
        <f>LOG10(3.034272)</f>
        <v>0.48205450947782613</v>
      </c>
    </row>
    <row r="2318" spans="1:4">
      <c r="A2318">
        <v>1.0581400000000001</v>
      </c>
      <c r="B2318">
        <v>2.9984579999999998</v>
      </c>
      <c r="C2318">
        <f>LOG10(1.05814)</f>
        <v>2.4543131976157321E-2</v>
      </c>
      <c r="D2318">
        <f>LOG10(2.998458)</f>
        <v>0.47689796996686551</v>
      </c>
    </row>
    <row r="2319" spans="1:4">
      <c r="A2319">
        <v>1.0435490000000001</v>
      </c>
      <c r="B2319">
        <v>3.013935</v>
      </c>
      <c r="C2319">
        <f>LOG10(1.043549)</f>
        <v>1.8512846242864863E-2</v>
      </c>
      <c r="D2319">
        <f>LOG10(3.013935)</f>
        <v>0.47913388187187006</v>
      </c>
    </row>
    <row r="2320" spans="1:4">
      <c r="A2320">
        <v>1.067801</v>
      </c>
      <c r="B2320">
        <v>3.1901250000000001</v>
      </c>
      <c r="C2320">
        <f>LOG10(1.067801)</f>
        <v>2.8490323240637515E-2</v>
      </c>
      <c r="D2320">
        <f>LOG10(3.190125)</f>
        <v>0.50380770053262081</v>
      </c>
    </row>
    <row r="2321" spans="1:4">
      <c r="A2321">
        <v>1.10046</v>
      </c>
      <c r="B2321">
        <v>3.2890830000000002</v>
      </c>
      <c r="C2321">
        <f>LOG10(1.10046)</f>
        <v>4.1574261251028914E-2</v>
      </c>
      <c r="D2321">
        <f>LOG10(3.289083)</f>
        <v>0.51707483304093327</v>
      </c>
    </row>
    <row r="2322" spans="1:4">
      <c r="A2322">
        <v>1.1107819999999999</v>
      </c>
      <c r="B2322">
        <v>3.081045</v>
      </c>
      <c r="C2322">
        <f>LOG10(1.110782)</f>
        <v>4.5628833480080941E-2</v>
      </c>
      <c r="D2322">
        <f>LOG10(3.081045)</f>
        <v>0.48869804142273943</v>
      </c>
    </row>
    <row r="2323" spans="1:4">
      <c r="A2323">
        <v>1.092179</v>
      </c>
      <c r="B2323">
        <v>3.2135289999999999</v>
      </c>
      <c r="C2323">
        <f>LOG10(1.092179)</f>
        <v>3.8293821831644065E-2</v>
      </c>
      <c r="D2323">
        <f>LOG10(3.213529)</f>
        <v>0.50698222348810118</v>
      </c>
    </row>
    <row r="2324" spans="1:4">
      <c r="A2324">
        <v>1.099062</v>
      </c>
      <c r="B2324">
        <v>3.1256279999999999</v>
      </c>
      <c r="C2324">
        <f>LOG10(1.099062)</f>
        <v>4.1022192422021216E-2</v>
      </c>
      <c r="D2324">
        <f>LOG10(3.125628)</f>
        <v>0.49493728873087767</v>
      </c>
    </row>
    <row r="2325" spans="1:4">
      <c r="A2325">
        <v>1.106214</v>
      </c>
      <c r="B2325">
        <v>3.2030949999999998</v>
      </c>
      <c r="C2325">
        <f>LOG10(1.106214)</f>
        <v>4.383915050294622E-2</v>
      </c>
      <c r="D2325">
        <f>LOG10(3.203095)</f>
        <v>0.50556981951425684</v>
      </c>
    </row>
    <row r="2326" spans="1:4">
      <c r="A2326">
        <v>1.096751</v>
      </c>
      <c r="B2326">
        <v>3.1664400000000001</v>
      </c>
      <c r="C2326">
        <f>LOG10(1.096751)</f>
        <v>4.0108039059917715E-2</v>
      </c>
      <c r="D2326">
        <f>LOG10(3.16644)</f>
        <v>0.5005712631147059</v>
      </c>
    </row>
    <row r="2327" spans="1:4">
      <c r="A2327">
        <v>1.1128720000000001</v>
      </c>
      <c r="B2327">
        <v>3.178496</v>
      </c>
      <c r="C2327">
        <f>LOG10(1.112872)</f>
        <v>4.6445215646064172E-2</v>
      </c>
      <c r="D2327">
        <f>LOG10(3.178496)</f>
        <v>0.50222166922596279</v>
      </c>
    </row>
    <row r="2328" spans="1:4">
      <c r="A2328">
        <v>1.118174</v>
      </c>
      <c r="B2328">
        <v>2.8632490000000002</v>
      </c>
      <c r="C2328">
        <f>LOG10(1.118174)</f>
        <v>4.8509389740033451E-2</v>
      </c>
      <c r="D2328">
        <f>LOG10(2.863249)</f>
        <v>0.45685911771204074</v>
      </c>
    </row>
    <row r="2329" spans="1:4">
      <c r="A2329">
        <v>1.0941609999999999</v>
      </c>
      <c r="B2329">
        <v>3.0384929999999999</v>
      </c>
      <c r="C2329">
        <f>LOG10(1.094161)</f>
        <v>3.9081230833839062E-2</v>
      </c>
      <c r="D2329">
        <f>LOG10(3.038493)</f>
        <v>0.48265824016831949</v>
      </c>
    </row>
    <row r="2330" spans="1:4">
      <c r="A2330">
        <v>1.093836</v>
      </c>
      <c r="B2330">
        <v>3.0011320000000001</v>
      </c>
      <c r="C2330">
        <f>LOG10(1.093836)</f>
        <v>3.8952212642628957E-2</v>
      </c>
      <c r="D2330">
        <f>LOG10(3.001132)</f>
        <v>0.47728509759442189</v>
      </c>
    </row>
    <row r="2331" spans="1:4">
      <c r="A2331">
        <v>1.1013109999999999</v>
      </c>
      <c r="B2331">
        <v>3.2020400000000002</v>
      </c>
      <c r="C2331">
        <f>LOG10(1.101311)</f>
        <v>4.1909977020292324E-2</v>
      </c>
      <c r="D2331">
        <f>LOG10(3.20204)</f>
        <v>0.5054267528396118</v>
      </c>
    </row>
    <row r="2332" spans="1:4">
      <c r="A2332">
        <v>1.0939749999999999</v>
      </c>
      <c r="B2332">
        <v>3.0430259999999998</v>
      </c>
      <c r="C2332">
        <f>LOG10(1.093975)</f>
        <v>3.9007397421447355E-2</v>
      </c>
      <c r="D2332">
        <f>LOG10(3.043026)</f>
        <v>0.48330566304114131</v>
      </c>
    </row>
    <row r="2333" spans="1:4">
      <c r="A2333">
        <v>1.1087419999999999</v>
      </c>
      <c r="B2333">
        <v>3.160596</v>
      </c>
      <c r="C2333">
        <f>LOG10(1.108742)</f>
        <v>4.4830499249352458E-2</v>
      </c>
      <c r="D2333">
        <f>LOG10(3.160596)</f>
        <v>0.49976898613256021</v>
      </c>
    </row>
    <row r="2334" spans="1:4">
      <c r="A2334">
        <v>1.091877</v>
      </c>
      <c r="B2334">
        <v>2.9204310000000002</v>
      </c>
      <c r="C2334">
        <f>LOG10(1.091877)</f>
        <v>3.8173717828476839E-2</v>
      </c>
      <c r="D2334">
        <f>LOG10(2.920431)</f>
        <v>0.46544694977336731</v>
      </c>
    </row>
    <row r="2335" spans="1:4">
      <c r="A2335">
        <v>1.10104</v>
      </c>
      <c r="B2335">
        <v>3.1014339999999998</v>
      </c>
      <c r="C2335">
        <f>LOG10(1.10104)</f>
        <v>4.1803096867955337E-2</v>
      </c>
      <c r="D2335">
        <f>LOG10(3.101434)</f>
        <v>0.49156254360487389</v>
      </c>
    </row>
    <row r="2336" spans="1:4">
      <c r="A2336">
        <v>1.085723</v>
      </c>
      <c r="B2336">
        <v>3.1484800000000002</v>
      </c>
      <c r="C2336">
        <f>LOG10(1.085723)</f>
        <v>3.5719038037202971E-2</v>
      </c>
      <c r="D2336">
        <f>LOG10(3.14848)</f>
        <v>0.49810093889035245</v>
      </c>
    </row>
    <row r="2337" spans="1:4">
      <c r="A2337">
        <v>1.0470459999999999</v>
      </c>
      <c r="B2337">
        <v>3.0797599999999998</v>
      </c>
      <c r="C2337">
        <f>LOG10(1.047046)</f>
        <v>1.9965762010574043E-2</v>
      </c>
      <c r="D2337">
        <f>LOG10(3.07976)</f>
        <v>0.48851687405343025</v>
      </c>
    </row>
    <row r="2338" spans="1:4">
      <c r="A2338">
        <v>1.065968</v>
      </c>
      <c r="B2338">
        <v>3.135516</v>
      </c>
      <c r="C2338">
        <f>LOG10(1.065968)</f>
        <v>2.7744167512301313E-2</v>
      </c>
      <c r="D2338">
        <f>LOG10(3.135516)</f>
        <v>0.4963090212472262</v>
      </c>
    </row>
    <row r="2339" spans="1:4">
      <c r="A2339">
        <v>1.050492</v>
      </c>
      <c r="B2339">
        <v>3.2967369999999998</v>
      </c>
      <c r="C2339">
        <f>LOG10(1.050492)</f>
        <v>2.1392749393961252E-2</v>
      </c>
      <c r="D2339">
        <f>LOG10(3.296737)</f>
        <v>0.51808430231312685</v>
      </c>
    </row>
    <row r="2340" spans="1:4">
      <c r="A2340">
        <v>1.0729439999999999</v>
      </c>
      <c r="B2340">
        <v>3.4176600000000001</v>
      </c>
      <c r="C2340">
        <f>LOG10(1.072944)</f>
        <v>3.0577055492835153E-2</v>
      </c>
      <c r="D2340">
        <f>LOG10(3.41766)</f>
        <v>0.53372885549751514</v>
      </c>
    </row>
    <row r="2341" spans="1:4">
      <c r="A2341">
        <v>1.0913600000000001</v>
      </c>
      <c r="B2341">
        <v>3.1403349999999999</v>
      </c>
      <c r="C2341">
        <f>LOG10(1.09136)</f>
        <v>3.7968032187072932E-2</v>
      </c>
      <c r="D2341">
        <f>LOG10(3.140335)</f>
        <v>0.49697597956717998</v>
      </c>
    </row>
    <row r="2342" spans="1:4">
      <c r="A2342">
        <v>1.1389629999999999</v>
      </c>
      <c r="B2342">
        <v>3.1088930000000001</v>
      </c>
      <c r="C2342">
        <f>LOG10(1.138963)</f>
        <v>5.6509615951943024E-2</v>
      </c>
      <c r="D2342">
        <f>LOG10(3.108893)</f>
        <v>0.49260577501545488</v>
      </c>
    </row>
    <row r="2343" spans="1:4">
      <c r="A2343">
        <v>1.112355</v>
      </c>
      <c r="B2343">
        <v>3.107675</v>
      </c>
      <c r="C2343">
        <f>LOG10(1.112355)</f>
        <v>4.6243411289758889E-2</v>
      </c>
      <c r="D2343">
        <f>LOG10(3.107675)</f>
        <v>0.49243559407776483</v>
      </c>
    </row>
    <row r="2344" spans="1:4">
      <c r="A2344">
        <v>1.1264259999999999</v>
      </c>
      <c r="B2344">
        <v>3.0516239999999999</v>
      </c>
      <c r="C2344">
        <f>LOG10(1.126426)</f>
        <v>5.1702666235370329E-2</v>
      </c>
      <c r="D2344">
        <f>LOG10(3.051624)</f>
        <v>0.48453102181731017</v>
      </c>
    </row>
    <row r="2345" spans="1:4">
      <c r="A2345">
        <v>1.1242019999999999</v>
      </c>
      <c r="B2345">
        <v>3.1792760000000002</v>
      </c>
      <c r="C2345">
        <f>LOG10(1.124202)</f>
        <v>5.0844353584735325E-2</v>
      </c>
      <c r="D2345">
        <f>LOG10(3.179276)</f>
        <v>0.50232823161844375</v>
      </c>
    </row>
    <row r="2346" spans="1:4">
      <c r="A2346">
        <v>1.10609</v>
      </c>
      <c r="B2346">
        <v>2.9856180000000001</v>
      </c>
      <c r="C2346">
        <f>LOG10(1.10609)</f>
        <v>4.3790465949817531E-2</v>
      </c>
      <c r="D2346">
        <f>LOG10(2.985618)</f>
        <v>0.47503424039341202</v>
      </c>
    </row>
    <row r="2347" spans="1:4">
      <c r="A2347">
        <v>1.09192</v>
      </c>
      <c r="B2347">
        <v>3.0265300000000002</v>
      </c>
      <c r="C2347">
        <f>LOG10(1.09192)</f>
        <v>3.8190820757663259E-2</v>
      </c>
      <c r="D2347">
        <f>LOG10(3.02653)</f>
        <v>0.48094498314527784</v>
      </c>
    </row>
    <row r="2348" spans="1:4">
      <c r="A2348">
        <v>1.1096060000000001</v>
      </c>
      <c r="B2348">
        <v>3.0029210000000002</v>
      </c>
      <c r="C2348">
        <f>LOG10(1.109606)</f>
        <v>4.5168796442883762E-2</v>
      </c>
      <c r="D2348">
        <f>LOG10(3.002921)</f>
        <v>0.47754390705233918</v>
      </c>
    </row>
    <row r="2349" spans="1:4">
      <c r="A2349">
        <v>1.128417</v>
      </c>
      <c r="B2349">
        <v>3.1960999999999999</v>
      </c>
      <c r="C2349">
        <f>LOG10(1.128417)</f>
        <v>5.2469620332121901E-2</v>
      </c>
      <c r="D2349">
        <f>LOG10(3.1961)</f>
        <v>0.50462035911778924</v>
      </c>
    </row>
    <row r="2350" spans="1:4">
      <c r="A2350">
        <v>1.1594979999999999</v>
      </c>
      <c r="B2350">
        <v>3.2033830000000001</v>
      </c>
      <c r="C2350">
        <f>LOG10(1.159498)</f>
        <v>6.4270003866879852E-2</v>
      </c>
      <c r="D2350">
        <f>LOG10(3.203383)</f>
        <v>0.50560886649478887</v>
      </c>
    </row>
    <row r="2351" spans="1:4">
      <c r="A2351">
        <v>1.141697</v>
      </c>
      <c r="B2351">
        <v>3.0580880000000001</v>
      </c>
      <c r="C2351">
        <f>LOG10(1.141697)</f>
        <v>5.7550859874575117E-2</v>
      </c>
      <c r="D2351">
        <f>LOG10(3.058088)</f>
        <v>0.48544997857941447</v>
      </c>
    </row>
    <row r="2352" spans="1:4">
      <c r="A2352">
        <v>1.0127489999999999</v>
      </c>
      <c r="B2352">
        <v>3.1186319999999998</v>
      </c>
      <c r="C2352">
        <f>LOG10(1.012749)</f>
        <v>5.5018230284756449E-3</v>
      </c>
      <c r="D2352">
        <f>LOG10(3.118632)</f>
        <v>0.49396413083331953</v>
      </c>
    </row>
    <row r="2353" spans="1:4">
      <c r="A2353">
        <v>1.0172000000000001</v>
      </c>
      <c r="B2353">
        <v>3.3016580000000002</v>
      </c>
      <c r="C2353">
        <f>LOG10(1.0172)</f>
        <v>7.4063515036713219E-3</v>
      </c>
      <c r="D2353">
        <f>LOG10(3.301658)</f>
        <v>0.51873208515779601</v>
      </c>
    </row>
    <row r="2354" spans="1:4">
      <c r="A2354">
        <v>1.011671</v>
      </c>
      <c r="B2354">
        <v>3.5847090000000001</v>
      </c>
      <c r="C2354">
        <f>LOG10(1.011671)</f>
        <v>5.0393009275853488E-3</v>
      </c>
      <c r="D2354">
        <f>LOG10(3.584709)</f>
        <v>0.55445390621756252</v>
      </c>
    </row>
    <row r="2355" spans="1:4">
      <c r="A2355">
        <v>1.0116400000000001</v>
      </c>
      <c r="B2355">
        <v>3.361151</v>
      </c>
      <c r="C2355">
        <f>LOG10(1.01164)</f>
        <v>5.0259929102414924E-3</v>
      </c>
      <c r="D2355">
        <f>LOG10(3.361151)</f>
        <v>0.52648802362499247</v>
      </c>
    </row>
    <row r="2356" spans="1:4">
      <c r="A2356">
        <v>1.0169159999999999</v>
      </c>
      <c r="B2356">
        <v>3.3967019999999999</v>
      </c>
      <c r="C2356">
        <f>LOG10(1.016916)</f>
        <v>7.2850805106089494E-3</v>
      </c>
      <c r="D2356">
        <f>LOG10(3.396702)</f>
        <v>0.53105744694875079</v>
      </c>
    </row>
    <row r="2357" spans="1:4">
      <c r="A2357">
        <v>1.0184359999999999</v>
      </c>
      <c r="B2357">
        <v>3.3984540000000001</v>
      </c>
      <c r="C2357">
        <f>LOG10(1.018436)</f>
        <v>7.9337424965581164E-3</v>
      </c>
      <c r="D2357">
        <f>LOG10(3.398454)</f>
        <v>0.53128139587623824</v>
      </c>
    </row>
    <row r="2358" spans="1:4">
      <c r="A2358">
        <v>1.0099899999999999</v>
      </c>
      <c r="B2358">
        <v>3.2470430000000001</v>
      </c>
      <c r="C2358">
        <f>LOG10(1.00999)</f>
        <v>4.3170738159901724E-3</v>
      </c>
      <c r="D2358">
        <f>LOG10(3.247043)</f>
        <v>0.51148803994693426</v>
      </c>
    </row>
    <row r="2359" spans="1:4">
      <c r="A2359">
        <v>1.0159860000000001</v>
      </c>
      <c r="B2359">
        <v>3.450113</v>
      </c>
      <c r="C2359">
        <f>LOG10(1.015986)</f>
        <v>6.8877235338870484E-3</v>
      </c>
      <c r="D2359">
        <f>LOG10(3.450113)</f>
        <v>0.53783331955813674</v>
      </c>
    </row>
    <row r="2360" spans="1:4">
      <c r="A2360">
        <v>1.0134369999999999</v>
      </c>
      <c r="B2360">
        <v>3.219179</v>
      </c>
      <c r="C2360">
        <f>LOG10(1.013437)</f>
        <v>5.7967560849994069E-3</v>
      </c>
      <c r="D2360">
        <f>LOG10(3.219179)</f>
        <v>0.50774512597139165</v>
      </c>
    </row>
    <row r="2361" spans="1:4">
      <c r="A2361">
        <v>1.011622</v>
      </c>
      <c r="B2361">
        <v>3.296875</v>
      </c>
      <c r="C2361">
        <f>LOG10(1.011622)</f>
        <v>5.0182654872241109E-3</v>
      </c>
      <c r="D2361">
        <f>LOG10(3.296875)</f>
        <v>0.51810248131380554</v>
      </c>
    </row>
    <row r="2362" spans="1:4">
      <c r="A2362">
        <v>1.014059</v>
      </c>
      <c r="B2362">
        <v>3.4374359999999999</v>
      </c>
      <c r="C2362">
        <f>LOG10(1.014059)</f>
        <v>6.0632238622166041E-3</v>
      </c>
      <c r="D2362">
        <f>LOG10(3.437436)</f>
        <v>0.53623462098942021</v>
      </c>
    </row>
    <row r="2363" spans="1:4">
      <c r="A2363">
        <v>1.0166059999999999</v>
      </c>
      <c r="B2363">
        <v>3.4242859999999999</v>
      </c>
      <c r="C2363">
        <f>LOG10(1.016606)</f>
        <v>7.1526685766019008E-3</v>
      </c>
      <c r="D2363">
        <f>LOG10(3.424286)</f>
        <v>0.53457003025589789</v>
      </c>
    </row>
    <row r="2364" spans="1:4">
      <c r="A2364">
        <v>1.0374110000000001</v>
      </c>
      <c r="B2364">
        <v>3.29027</v>
      </c>
      <c r="C2364">
        <f>LOG10(1.037411)</f>
        <v>1.5950848645009404E-2</v>
      </c>
      <c r="D2364">
        <f>LOG10(3.29027)</f>
        <v>0.51723153767605834</v>
      </c>
    </row>
    <row r="2365" spans="1:4">
      <c r="A2365">
        <v>1.0213859999999999</v>
      </c>
      <c r="B2365">
        <v>3.2401659999999999</v>
      </c>
      <c r="C2365">
        <f>LOG10(1.021386)</f>
        <v>9.1899007444907078E-3</v>
      </c>
      <c r="D2365">
        <f>LOG10(3.240166)</f>
        <v>0.51056726052674639</v>
      </c>
    </row>
    <row r="2366" spans="1:4">
      <c r="A2366">
        <v>1.018915</v>
      </c>
      <c r="B2366">
        <v>3.1909149999999999</v>
      </c>
      <c r="C2366">
        <f>LOG10(1.018915)</f>
        <v>8.1379557721936845E-3</v>
      </c>
      <c r="D2366">
        <f>LOG10(3.190915)</f>
        <v>0.5039152355558949</v>
      </c>
    </row>
    <row r="2367" spans="1:4">
      <c r="A2367">
        <v>1.0149079999999999</v>
      </c>
      <c r="B2367">
        <v>3.5223420000000001</v>
      </c>
      <c r="C2367">
        <f>LOG10(1.014908)</f>
        <v>6.4266758421211633E-3</v>
      </c>
      <c r="D2367">
        <f>LOG10(3.522342)</f>
        <v>0.54683152127972989</v>
      </c>
    </row>
    <row r="2368" spans="1:4">
      <c r="A2368">
        <v>1.0098020000000001</v>
      </c>
      <c r="B2368">
        <v>3.499117</v>
      </c>
      <c r="C2368">
        <f>LOG10(1.009802)</f>
        <v>4.2362265180173738E-3</v>
      </c>
      <c r="D2368">
        <f>LOG10(3.499117)</f>
        <v>0.54395846423336802</v>
      </c>
    </row>
    <row r="2369" spans="1:4">
      <c r="A2369">
        <v>1.0150969999999999</v>
      </c>
      <c r="B2369">
        <v>3.7016810000000002</v>
      </c>
      <c r="C2369">
        <f>LOG10(1.015097)</f>
        <v>6.5075442708362446E-3</v>
      </c>
      <c r="D2369">
        <f>LOG10(3.701681)</f>
        <v>0.56839898980612402</v>
      </c>
    </row>
    <row r="2370" spans="1:4">
      <c r="A2370">
        <v>1.0145059999999999</v>
      </c>
      <c r="B2370">
        <v>3.2896290000000001</v>
      </c>
      <c r="C2370">
        <f>LOG10(1.014506)</f>
        <v>6.2546198850728651E-3</v>
      </c>
      <c r="D2370">
        <f>LOG10(3.289629)</f>
        <v>0.51714692155542175</v>
      </c>
    </row>
    <row r="2371" spans="1:4">
      <c r="A2371">
        <v>1.01725</v>
      </c>
      <c r="B2371">
        <v>3.5374089999999998</v>
      </c>
      <c r="C2371">
        <f>LOG10(1.01725)</f>
        <v>7.4276985253228581E-3</v>
      </c>
      <c r="D2371">
        <f>LOG10(3.537409)</f>
        <v>0.54868527643165799</v>
      </c>
    </row>
    <row r="2372" spans="1:4">
      <c r="A2372">
        <v>1.010537</v>
      </c>
      <c r="B2372">
        <v>3.6947109999999999</v>
      </c>
      <c r="C2372">
        <f>LOG10(1.010537)</f>
        <v>4.5522194858126381E-3</v>
      </c>
      <c r="D2372">
        <f>LOG10(3.694711)</f>
        <v>0.5675804735795924</v>
      </c>
    </row>
    <row r="2373" spans="1:4">
      <c r="A2373">
        <v>1.0171650000000001</v>
      </c>
      <c r="B2373">
        <v>3.506561</v>
      </c>
      <c r="C2373">
        <f>LOG10(1.017165)</f>
        <v>7.3914079641706756E-3</v>
      </c>
      <c r="D2373">
        <f>LOG10(3.506561)</f>
        <v>0.54488139827058291</v>
      </c>
    </row>
    <row r="2374" spans="1:4">
      <c r="A2374">
        <v>1.0214380000000001</v>
      </c>
      <c r="B2374">
        <v>3.3761019999999999</v>
      </c>
      <c r="C2374">
        <f>LOG10(1.021438)</f>
        <v>9.2120106404620858E-3</v>
      </c>
      <c r="D2374">
        <f>LOG10(3.376102)</f>
        <v>0.52841555921190342</v>
      </c>
    </row>
    <row r="2375" spans="1:4">
      <c r="A2375">
        <v>1.017415</v>
      </c>
      <c r="B2375">
        <v>3.3040259999999999</v>
      </c>
      <c r="C2375">
        <f>LOG10(1.017415)</f>
        <v>7.4981362530776551E-3</v>
      </c>
      <c r="D2375">
        <f>LOG10(3.304026)</f>
        <v>0.51904345620648662</v>
      </c>
    </row>
    <row r="2376" spans="1:4">
      <c r="A2376">
        <v>1.018715</v>
      </c>
      <c r="B2376">
        <v>3.1585779999999999</v>
      </c>
      <c r="C2376">
        <f>LOG10(1.018715)</f>
        <v>8.0527009451057691E-3</v>
      </c>
      <c r="D2376">
        <f>LOG10(3.158578)</f>
        <v>0.49949160611603488</v>
      </c>
    </row>
    <row r="2377" spans="1:4">
      <c r="A2377">
        <v>1.025695</v>
      </c>
      <c r="B2377">
        <v>3.2308979999999998</v>
      </c>
      <c r="C2377">
        <f>LOG10(1.025695)</f>
        <v>1.1018238447228917E-2</v>
      </c>
      <c r="D2377">
        <f>LOG10(3.230898)</f>
        <v>0.50932324748332181</v>
      </c>
    </row>
    <row r="2378" spans="1:4">
      <c r="A2378">
        <v>1.0184930000000001</v>
      </c>
      <c r="B2378">
        <v>3.4883540000000002</v>
      </c>
      <c r="C2378">
        <f>LOG10(1.018493)</f>
        <v>7.9580484841257071E-3</v>
      </c>
      <c r="D2378">
        <f>LOG10(3.488354)</f>
        <v>0.54262055092954031</v>
      </c>
    </row>
    <row r="2379" spans="1:4">
      <c r="A2379">
        <v>1.0131619999999999</v>
      </c>
      <c r="B2379">
        <v>3.3690570000000002</v>
      </c>
      <c r="C2379">
        <f>LOG10(1.013162)</f>
        <v>5.6788926268052193E-3</v>
      </c>
      <c r="D2379">
        <f>LOG10(3.369057)</f>
        <v>0.52750835873299262</v>
      </c>
    </row>
    <row r="2380" spans="1:4">
      <c r="A2380">
        <v>1.0230109999999999</v>
      </c>
      <c r="B2380">
        <v>3.41405</v>
      </c>
      <c r="C2380">
        <f>LOG10(1.023011)</f>
        <v>9.8803035201924065E-3</v>
      </c>
      <c r="D2380">
        <f>LOG10(3.41405)</f>
        <v>0.53326987722542962</v>
      </c>
    </row>
    <row r="2381" spans="1:4">
      <c r="A2381">
        <v>1.0114369999999999</v>
      </c>
      <c r="B2381">
        <v>3.5067550000000001</v>
      </c>
      <c r="C2381">
        <f>LOG10(1.011437)</f>
        <v>4.9388367811150939E-3</v>
      </c>
      <c r="D2381">
        <f>LOG10(3.506755)</f>
        <v>0.54490542488780958</v>
      </c>
    </row>
    <row r="2382" spans="1:4">
      <c r="A2382">
        <v>1.012195</v>
      </c>
      <c r="B2382">
        <v>3.382403</v>
      </c>
      <c r="C2382">
        <f>LOG10(1.012195)</f>
        <v>5.2641876677176694E-3</v>
      </c>
      <c r="D2382">
        <f>LOG10(3.382403)</f>
        <v>0.5292253508221253</v>
      </c>
    </row>
    <row r="2383" spans="1:4">
      <c r="A2383">
        <v>1.011423</v>
      </c>
      <c r="B2383">
        <v>3.2937280000000002</v>
      </c>
      <c r="C2383">
        <f>LOG10(1.011423)</f>
        <v>4.9328253688110052E-3</v>
      </c>
      <c r="D2383">
        <f>LOG10(3.293728)</f>
        <v>0.51768773175646676</v>
      </c>
    </row>
    <row r="2384" spans="1:4">
      <c r="A2384">
        <v>1.024912</v>
      </c>
      <c r="B2384">
        <v>3.4929510000000001</v>
      </c>
      <c r="C2384">
        <f>LOG10(1.024912)</f>
        <v>1.0686578020967974E-2</v>
      </c>
      <c r="D2384">
        <f>LOG10(3.492951)</f>
        <v>0.54319249328755337</v>
      </c>
    </row>
    <row r="2385" spans="1:4">
      <c r="A2385">
        <v>1.0130749999999999</v>
      </c>
      <c r="B2385">
        <v>3.5937969999999999</v>
      </c>
      <c r="C2385">
        <f>LOG10(1.013075)</f>
        <v>5.6415982530979196E-3</v>
      </c>
      <c r="D2385">
        <f>LOG10(3.593797)</f>
        <v>0.55555354181309347</v>
      </c>
    </row>
    <row r="2386" spans="1:4">
      <c r="A2386">
        <v>1.010664</v>
      </c>
      <c r="B2386">
        <v>3.7159550000000001</v>
      </c>
      <c r="C2386">
        <f>LOG10(1.010664)</f>
        <v>4.6067963431111391E-3</v>
      </c>
      <c r="D2386">
        <f>LOG10(3.715955)</f>
        <v>0.57007044607240642</v>
      </c>
    </row>
    <row r="2387" spans="1:4">
      <c r="A2387">
        <v>1.0156210000000001</v>
      </c>
      <c r="B2387">
        <v>3.3522699999999999</v>
      </c>
      <c r="C2387">
        <f>LOG10(1.015621)</f>
        <v>6.7316722034868231E-3</v>
      </c>
      <c r="D2387">
        <f>LOG10(3.35227)</f>
        <v>0.52533899050352639</v>
      </c>
    </row>
    <row r="2388" spans="1:4">
      <c r="A2388">
        <v>1.0154939999999999</v>
      </c>
      <c r="B2388">
        <v>3.1081400000000001</v>
      </c>
      <c r="C2388">
        <f>LOG10(1.015494)</f>
        <v>6.6773617392603419E-3</v>
      </c>
      <c r="D2388">
        <f>LOG10(3.10814)</f>
        <v>0.49250057250278612</v>
      </c>
    </row>
    <row r="2389" spans="1:4">
      <c r="A2389">
        <v>1.0098990000000001</v>
      </c>
      <c r="B2389">
        <v>3.3017430000000001</v>
      </c>
      <c r="C2389">
        <f>LOG10(1.009899)</f>
        <v>4.2779421628351081E-3</v>
      </c>
      <c r="D2389">
        <f>LOG10(3.301743)</f>
        <v>0.51874326576941232</v>
      </c>
    </row>
    <row r="2390" spans="1:4">
      <c r="A2390">
        <v>1.0091300000000001</v>
      </c>
      <c r="B2390">
        <v>3.3438249999999998</v>
      </c>
      <c r="C2390">
        <f>LOG10(1.00913)</f>
        <v>3.9471173230403037E-3</v>
      </c>
      <c r="D2390">
        <f>LOG10(3.343825)</f>
        <v>0.52424354044069921</v>
      </c>
    </row>
    <row r="2391" spans="1:4">
      <c r="A2391">
        <v>1.0151870000000001</v>
      </c>
      <c r="B2391">
        <v>3.4506160000000001</v>
      </c>
      <c r="C2391">
        <f>LOG10(1.015187)</f>
        <v>6.5460477544838115E-3</v>
      </c>
      <c r="D2391">
        <f>LOG10(3.450616)</f>
        <v>0.53789663174581559</v>
      </c>
    </row>
    <row r="2392" spans="1:4">
      <c r="A2392">
        <v>1.0162359999999999</v>
      </c>
      <c r="B2392">
        <v>3.311677</v>
      </c>
      <c r="C2392">
        <f>LOG10(1.016236)</f>
        <v>6.9945756603018308E-3</v>
      </c>
      <c r="D2392">
        <f>LOG10(3.311677)</f>
        <v>0.52004797184523888</v>
      </c>
    </row>
    <row r="2393" spans="1:4">
      <c r="A2393">
        <v>1.0101659999999999</v>
      </c>
      <c r="B2393">
        <v>3.33182</v>
      </c>
      <c r="C2393">
        <f>LOG10(1.010166)</f>
        <v>4.3927470105438017E-3</v>
      </c>
      <c r="D2393">
        <f>LOG10(3.33182)</f>
        <v>0.52268153081448154</v>
      </c>
    </row>
    <row r="2394" spans="1:4">
      <c r="A2394">
        <v>1.009765</v>
      </c>
      <c r="B2394">
        <v>3.155097</v>
      </c>
      <c r="C2394">
        <f>LOG10(1.009765)</f>
        <v>4.2203133090649141E-3</v>
      </c>
      <c r="D2394">
        <f>LOG10(3.155097)</f>
        <v>0.49901271569336086</v>
      </c>
    </row>
    <row r="2395" spans="1:4">
      <c r="A2395">
        <v>1.0178929999999999</v>
      </c>
      <c r="B2395">
        <v>3.2266710000000001</v>
      </c>
      <c r="C2395">
        <f>LOG10(1.017893)</f>
        <v>7.7021277532991761E-3</v>
      </c>
      <c r="D2395">
        <f>LOG10(3.226671)</f>
        <v>0.50875468583506112</v>
      </c>
    </row>
    <row r="2396" spans="1:4">
      <c r="A2396">
        <v>1.0092989999999999</v>
      </c>
      <c r="B2396">
        <v>3.1832180000000001</v>
      </c>
      <c r="C2396">
        <f>LOG10(1.009299)</f>
        <v>4.0198429602691611E-3</v>
      </c>
      <c r="D2396">
        <f>LOG10(3.183218)</f>
        <v>0.50286638193079614</v>
      </c>
    </row>
    <row r="2397" spans="1:4">
      <c r="A2397">
        <v>1.007649</v>
      </c>
      <c r="B2397">
        <v>3.086249</v>
      </c>
      <c r="C2397">
        <f>LOG10(1.007649)</f>
        <v>3.3092782307916268E-3</v>
      </c>
      <c r="D2397">
        <f>LOG10(3.086249)</f>
        <v>0.48943096222081423</v>
      </c>
    </row>
    <row r="2398" spans="1:4">
      <c r="A2398">
        <v>1.0301750000000001</v>
      </c>
      <c r="B2398">
        <v>3.2050839999999998</v>
      </c>
      <c r="C2398">
        <f>LOG10(1.030175)</f>
        <v>1.2911006334903557E-2</v>
      </c>
      <c r="D2398">
        <f>LOG10(3.205084)</f>
        <v>0.50583941615075678</v>
      </c>
    </row>
    <row r="2399" spans="1:4">
      <c r="A2399">
        <v>1.0160439999999999</v>
      </c>
      <c r="B2399">
        <v>3.015466</v>
      </c>
      <c r="C2399">
        <f>LOG10(1.016044)</f>
        <v>6.9125155693955621E-3</v>
      </c>
      <c r="D2399">
        <f>LOG10(3.015466)</f>
        <v>0.47935443607487765</v>
      </c>
    </row>
    <row r="2400" spans="1:4">
      <c r="A2400">
        <v>1.008038</v>
      </c>
      <c r="B2400">
        <v>3.086249</v>
      </c>
      <c r="C2400">
        <f>LOG10(1.008038)</f>
        <v>3.4769040135224556E-3</v>
      </c>
      <c r="D2400">
        <f>LOG10(3.086249)</f>
        <v>0.48943096222081423</v>
      </c>
    </row>
    <row r="2401" spans="1:4">
      <c r="A2401">
        <v>1.0118020000000001</v>
      </c>
      <c r="B2401">
        <v>2.9853770000000002</v>
      </c>
      <c r="C2401">
        <f>LOG10(1.011802)</f>
        <v>5.0955335308460348E-3</v>
      </c>
      <c r="D2401">
        <f>LOG10(2.985377)</f>
        <v>0.47499918259477192</v>
      </c>
    </row>
    <row r="2402" spans="1:4">
      <c r="A2402">
        <v>1.011331</v>
      </c>
      <c r="B2402">
        <v>2.9409879999999999</v>
      </c>
      <c r="C2402">
        <f>LOG10(1.011331)</f>
        <v>4.8933197320774804E-3</v>
      </c>
      <c r="D2402">
        <f>LOG10(2.940988)</f>
        <v>0.46849325247564633</v>
      </c>
    </row>
    <row r="2403" spans="1:4">
      <c r="A2403">
        <v>1.0130380000000001</v>
      </c>
      <c r="B2403">
        <v>3.0975280000000001</v>
      </c>
      <c r="C2403">
        <f>LOG10(1.013038)</f>
        <v>5.6257364568090273E-3</v>
      </c>
      <c r="D2403">
        <f>LOG10(3.097528)</f>
        <v>0.49101524085618248</v>
      </c>
    </row>
    <row r="2404" spans="1:4">
      <c r="A2404">
        <v>1.015717</v>
      </c>
      <c r="B2404">
        <v>3.1631360000000002</v>
      </c>
      <c r="C2404">
        <f>LOG10(1.015717)</f>
        <v>6.7727212758654188E-3</v>
      </c>
      <c r="D2404">
        <f>LOG10(3.163136)</f>
        <v>0.50011786494126265</v>
      </c>
    </row>
    <row r="2405" spans="1:4">
      <c r="A2405">
        <v>1.0163899999999999</v>
      </c>
      <c r="B2405">
        <v>3.091936</v>
      </c>
      <c r="C2405">
        <f>LOG10(1.01639)</f>
        <v>7.0603834875568846E-3</v>
      </c>
      <c r="D2405">
        <f>LOG10(3.091936)</f>
        <v>0.49023049587549083</v>
      </c>
    </row>
    <row r="2406" spans="1:4">
      <c r="A2406">
        <v>1.0129900000000001</v>
      </c>
      <c r="B2406">
        <v>2.9644599999999999</v>
      </c>
      <c r="C2406">
        <f>LOG10(1.01299)</f>
        <v>5.6051581280442938E-3</v>
      </c>
      <c r="D2406">
        <f>LOG10(2.96446)</f>
        <v>0.47194559470578407</v>
      </c>
    </row>
    <row r="2407" spans="1:4">
      <c r="A2407">
        <v>1.0164759999999999</v>
      </c>
      <c r="B2407">
        <v>2.9400810000000002</v>
      </c>
      <c r="C2407">
        <f>LOG10(1.016476)</f>
        <v>7.0971289744369585E-3</v>
      </c>
      <c r="D2407">
        <f>LOG10(2.940081)</f>
        <v>0.46835929550346689</v>
      </c>
    </row>
    <row r="2408" spans="1:4">
      <c r="A2408">
        <v>1.017652</v>
      </c>
      <c r="B2408">
        <v>3.0280580000000001</v>
      </c>
      <c r="C2408">
        <f>LOG10(1.017652)</f>
        <v>7.5992904584934063E-3</v>
      </c>
      <c r="D2408">
        <f>LOG10(3.028058)</f>
        <v>0.48116418946697526</v>
      </c>
    </row>
    <row r="2409" spans="1:4">
      <c r="A2409">
        <v>1.0117970000000001</v>
      </c>
      <c r="B2409">
        <v>2.94557</v>
      </c>
      <c r="C2409">
        <f>LOG10(1.011797)</f>
        <v>5.0933873819207437E-3</v>
      </c>
      <c r="D2409">
        <f>LOG10(2.94557)</f>
        <v>0.46916934798611926</v>
      </c>
    </row>
    <row r="2410" spans="1:4">
      <c r="A2410">
        <v>1.013163</v>
      </c>
      <c r="B2410">
        <v>3.0367869999999999</v>
      </c>
      <c r="C2410">
        <f>LOG10(1.013163)</f>
        <v>5.6793212791506863E-3</v>
      </c>
      <c r="D2410">
        <f>LOG10(3.036787)</f>
        <v>0.48241433160588237</v>
      </c>
    </row>
    <row r="2411" spans="1:4">
      <c r="A2411">
        <v>1.010086</v>
      </c>
      <c r="B2411">
        <v>2.9559519999999999</v>
      </c>
      <c r="C2411">
        <f>LOG10(1.010086)</f>
        <v>4.3583517384981774E-3</v>
      </c>
      <c r="D2411">
        <f>LOG10(2.955952)</f>
        <v>0.47069737752238738</v>
      </c>
    </row>
    <row r="2412" spans="1:4">
      <c r="A2412">
        <v>1.0091829999999999</v>
      </c>
      <c r="B2412">
        <v>2.9622280000000001</v>
      </c>
      <c r="C2412">
        <f>LOG10(1.009183)</f>
        <v>3.9699260821833126E-3</v>
      </c>
      <c r="D2412">
        <f>LOG10(2.962228)</f>
        <v>0.47161848272370066</v>
      </c>
    </row>
    <row r="2413" spans="1:4">
      <c r="A2413">
        <v>1.01315</v>
      </c>
      <c r="B2413">
        <v>2.96712</v>
      </c>
      <c r="C2413">
        <f>LOG10(1.01315)</f>
        <v>5.673748765659594E-3</v>
      </c>
      <c r="D2413">
        <f>LOG10(2.96712)</f>
        <v>0.47233511095585673</v>
      </c>
    </row>
    <row r="2414" spans="1:4">
      <c r="A2414">
        <v>1.025498</v>
      </c>
      <c r="B2414">
        <v>2.8961839999999999</v>
      </c>
      <c r="C2414">
        <f>LOG10(1.025498)</f>
        <v>1.0934817712858237E-2</v>
      </c>
      <c r="D2414">
        <f>LOG10(2.896184)</f>
        <v>0.46182614994437532</v>
      </c>
    </row>
    <row r="2415" spans="1:4">
      <c r="A2415">
        <v>1.0101610000000001</v>
      </c>
      <c r="B2415">
        <v>2.828465</v>
      </c>
      <c r="C2415">
        <f>LOG10(1.010161)</f>
        <v>4.3905973858449901E-3</v>
      </c>
      <c r="D2415">
        <f>LOG10(2.828465)</f>
        <v>0.45155080906161027</v>
      </c>
    </row>
    <row r="2416" spans="1:4">
      <c r="A2416">
        <v>1.0094110000000001</v>
      </c>
      <c r="B2416">
        <v>2.8958439999999999</v>
      </c>
      <c r="C2416">
        <f>LOG10(1.009411)</f>
        <v>4.0680331233169699E-3</v>
      </c>
      <c r="D2416">
        <f>LOG10(2.895844)</f>
        <v>0.46177516257897699</v>
      </c>
    </row>
    <row r="2417" spans="1:4">
      <c r="A2417">
        <v>1.0132319999999999</v>
      </c>
      <c r="B2417">
        <v>2.8885529999999999</v>
      </c>
      <c r="C2417">
        <f>LOG10(1.013232)</f>
        <v>5.708897269283756E-3</v>
      </c>
      <c r="D2417">
        <f>LOG10(2.888553)</f>
        <v>0.46068034051041495</v>
      </c>
    </row>
    <row r="2418" spans="1:4">
      <c r="A2418">
        <v>1.0114780000000001</v>
      </c>
      <c r="B2418">
        <v>2.814597</v>
      </c>
      <c r="C2418">
        <f>LOG10(1.011478)</f>
        <v>4.9564411527872106E-3</v>
      </c>
      <c r="D2418">
        <f>LOG10(2.814597)</f>
        <v>0.4494162204287413</v>
      </c>
    </row>
    <row r="2419" spans="1:4">
      <c r="A2419">
        <v>1.516124</v>
      </c>
      <c r="B2419">
        <v>2.8915839999999999</v>
      </c>
      <c r="C2419">
        <f>LOG10(1.516124)</f>
        <v>0.18073472261098494</v>
      </c>
      <c r="D2419">
        <f>LOG10(2.891584)</f>
        <v>0.46113581300018591</v>
      </c>
    </row>
    <row r="2420" spans="1:4">
      <c r="A2420">
        <v>1.0107649999999999</v>
      </c>
      <c r="B2420">
        <v>2.9813990000000001</v>
      </c>
      <c r="C2420">
        <f>LOG10(1.010765)</f>
        <v>4.6501950899468575E-3</v>
      </c>
      <c r="D2420">
        <f>LOG10(2.981399)</f>
        <v>0.4744201014611833</v>
      </c>
    </row>
    <row r="2421" spans="1:4">
      <c r="A2421">
        <v>1.010532</v>
      </c>
      <c r="B2421">
        <v>2.8726919999999998</v>
      </c>
      <c r="C2421">
        <f>LOG10(1.010532)</f>
        <v>4.5500706503106983E-3</v>
      </c>
      <c r="D2421">
        <f>LOG10(2.872692)</f>
        <v>0.45828906495089117</v>
      </c>
    </row>
    <row r="2422" spans="1:4">
      <c r="A2422">
        <v>1.0148820000000001</v>
      </c>
      <c r="B2422">
        <v>2.9491260000000001</v>
      </c>
      <c r="C2422">
        <f>LOG10(1.014882)</f>
        <v>6.4155499064036349E-3</v>
      </c>
      <c r="D2422">
        <f>LOG10(2.949126)</f>
        <v>0.46969332797252938</v>
      </c>
    </row>
    <row r="2423" spans="1:4">
      <c r="A2423">
        <v>1.008872</v>
      </c>
      <c r="B2423">
        <v>2.936982</v>
      </c>
      <c r="C2423">
        <f>LOG10(1.008872)</f>
        <v>3.8360688930173708E-3</v>
      </c>
      <c r="D2423">
        <f>LOG10(2.936982)</f>
        <v>0.46790128485285498</v>
      </c>
    </row>
    <row r="2424" spans="1:4">
      <c r="A2424">
        <v>1.0080070000000001</v>
      </c>
      <c r="B2424">
        <v>2.9711439999999998</v>
      </c>
      <c r="C2424">
        <f>LOG10(1.008007)</f>
        <v>3.4635480329366897E-3</v>
      </c>
      <c r="D2424">
        <f>LOG10(2.971144)</f>
        <v>0.47292370090829911</v>
      </c>
    </row>
    <row r="2425" spans="1:4">
      <c r="A2425">
        <v>1.0066949999999999</v>
      </c>
      <c r="B2425">
        <v>2.9140410000000001</v>
      </c>
      <c r="C2425">
        <f>LOG10(1.006695)</f>
        <v>2.8979115856576582E-3</v>
      </c>
      <c r="D2425">
        <f>LOG10(2.914041)</f>
        <v>0.46449565791732533</v>
      </c>
    </row>
    <row r="2426" spans="1:4">
      <c r="A2426">
        <v>1.0158100000000001</v>
      </c>
      <c r="B2426">
        <v>3.012454</v>
      </c>
      <c r="C2426">
        <f>LOG10(1.01581)</f>
        <v>6.812483865134741E-3</v>
      </c>
      <c r="D2426">
        <f>LOG10(3.012454)</f>
        <v>0.47892042398169832</v>
      </c>
    </row>
    <row r="2427" spans="1:4">
      <c r="A2427">
        <v>1.013757</v>
      </c>
      <c r="B2427">
        <v>3.0001199999999999</v>
      </c>
      <c r="C2427">
        <f>LOG10(1.013757)</f>
        <v>5.933866036354229E-3</v>
      </c>
      <c r="D2427">
        <f>LOG10(3.00012)</f>
        <v>0.47713862615151226</v>
      </c>
    </row>
    <row r="2428" spans="1:4">
      <c r="A2428">
        <v>1.008003</v>
      </c>
      <c r="B2428">
        <v>2.9830610000000002</v>
      </c>
      <c r="C2428">
        <f>LOG10(1.008003)</f>
        <v>3.4618246506839577E-3</v>
      </c>
      <c r="D2428">
        <f>LOG10(2.983061)</f>
        <v>0.47466213425127823</v>
      </c>
    </row>
    <row r="2429" spans="1:4">
      <c r="A2429">
        <v>1.0106139999999999</v>
      </c>
      <c r="B2429">
        <v>3.1844640000000002</v>
      </c>
      <c r="C2429">
        <f>LOG10(1.010614)</f>
        <v>4.5853102099818639E-3</v>
      </c>
      <c r="D2429">
        <f>LOG10(3.184464)</f>
        <v>0.50303634360016281</v>
      </c>
    </row>
    <row r="2430" spans="1:4">
      <c r="A2430">
        <v>1.0086710000000001</v>
      </c>
      <c r="B2430">
        <v>3.295817</v>
      </c>
      <c r="C2430">
        <f>LOG10(1.008671)</f>
        <v>3.749534736222384E-3</v>
      </c>
      <c r="D2430">
        <f>LOG10(3.295817)</f>
        <v>0.517963089524898</v>
      </c>
    </row>
    <row r="2431" spans="1:4">
      <c r="A2431">
        <v>1.0089459999999999</v>
      </c>
      <c r="B2431">
        <v>3.2614960000000002</v>
      </c>
      <c r="C2431">
        <f>LOG10(1.008946)</f>
        <v>3.8679228973678209E-3</v>
      </c>
      <c r="D2431">
        <f>LOG10(3.261496)</f>
        <v>0.51341685022659078</v>
      </c>
    </row>
    <row r="2432" spans="1:4">
      <c r="A2432">
        <v>1.0080499999999999</v>
      </c>
      <c r="B2432">
        <v>3.212405</v>
      </c>
      <c r="C2432">
        <f>LOG10(1.00805)</f>
        <v>3.4820739602538062E-3</v>
      </c>
      <c r="D2432">
        <f>LOG10(3.212405)</f>
        <v>0.506830293199792</v>
      </c>
    </row>
    <row r="2433" spans="1:4">
      <c r="A2433">
        <v>1.010637</v>
      </c>
      <c r="B2433">
        <v>3.1023830000000001</v>
      </c>
      <c r="C2433">
        <f>LOG10(1.010637)</f>
        <v>4.5951939632458104E-3</v>
      </c>
      <c r="D2433">
        <f>LOG10(3.102383)</f>
        <v>0.49169541195561378</v>
      </c>
    </row>
    <row r="2434" spans="1:4">
      <c r="A2434">
        <v>1.010148</v>
      </c>
      <c r="B2434">
        <v>3.0346380000000002</v>
      </c>
      <c r="C2434">
        <f>LOG10(1.010148)</f>
        <v>4.3850083118322147E-3</v>
      </c>
      <c r="D2434">
        <f>LOG10(3.034638)</f>
        <v>0.4821068917937838</v>
      </c>
    </row>
    <row r="2435" spans="1:4">
      <c r="A2435">
        <v>1.0154989999999999</v>
      </c>
      <c r="B2435">
        <v>2.9081800000000002</v>
      </c>
      <c r="C2435">
        <f>LOG10(1.015499)</f>
        <v>6.679500074950849E-3</v>
      </c>
      <c r="D2435">
        <f>LOG10(2.90818)</f>
        <v>0.46362128340689635</v>
      </c>
    </row>
    <row r="2436" spans="1:4">
      <c r="A2436">
        <v>1.01128</v>
      </c>
      <c r="B2436">
        <v>2.8879090000000001</v>
      </c>
      <c r="C2436">
        <f>LOG10(1.01128)</f>
        <v>4.8714183199109586E-3</v>
      </c>
      <c r="D2436">
        <f>LOG10(2.887909)</f>
        <v>0.46058350419520871</v>
      </c>
    </row>
    <row r="2437" spans="1:4">
      <c r="A2437">
        <v>1.0082789999999999</v>
      </c>
      <c r="B2437">
        <v>2.9236599999999999</v>
      </c>
      <c r="C2437">
        <f>LOG10(1.008279)</f>
        <v>3.5807219852372969E-3</v>
      </c>
      <c r="D2437">
        <f>LOG10(2.92366)</f>
        <v>0.46592686599122518</v>
      </c>
    </row>
    <row r="2438" spans="1:4">
      <c r="A2438">
        <v>1.0109349999999999</v>
      </c>
      <c r="B2438">
        <v>3.0544880000000001</v>
      </c>
      <c r="C2438">
        <f>LOG10(1.010935)</f>
        <v>4.723232694040012E-3</v>
      </c>
      <c r="D2438">
        <f>LOG10(3.054488)</f>
        <v>0.48493842328239406</v>
      </c>
    </row>
    <row r="2439" spans="1:4">
      <c r="A2439">
        <v>1.0174589999999999</v>
      </c>
      <c r="B2439">
        <v>2.9554040000000001</v>
      </c>
      <c r="C2439">
        <f>LOG10(1.017459)</f>
        <v>7.5169177178825439E-3</v>
      </c>
      <c r="D2439">
        <f>LOG10(2.955404)</f>
        <v>0.47061685678340137</v>
      </c>
    </row>
    <row r="2440" spans="1:4">
      <c r="A2440">
        <v>1.025045</v>
      </c>
      <c r="B2440">
        <v>2.9819309999999999</v>
      </c>
      <c r="C2440">
        <f>LOG10(1.025045)</f>
        <v>1.0742931560260896E-2</v>
      </c>
      <c r="D2440">
        <f>LOG10(2.981931)</f>
        <v>0.47449758993322338</v>
      </c>
    </row>
    <row r="2441" spans="1:4">
      <c r="A2441">
        <v>1.0215749999999999</v>
      </c>
      <c r="B2441">
        <v>3.0171519999999998</v>
      </c>
      <c r="C2441">
        <f>LOG10(1.021575)</f>
        <v>9.2702563237835878E-3</v>
      </c>
      <c r="D2441">
        <f>LOG10(3.017152)</f>
        <v>0.47959718988940836</v>
      </c>
    </row>
    <row r="2442" spans="1:4">
      <c r="A2442">
        <v>1.016999</v>
      </c>
      <c r="B2442">
        <v>2.9368210000000001</v>
      </c>
      <c r="C2442">
        <f>LOG10(1.016999)</f>
        <v>7.3205258876458497E-3</v>
      </c>
      <c r="D2442">
        <f>LOG10(2.936821)</f>
        <v>0.46787747696838766</v>
      </c>
    </row>
    <row r="2443" spans="1:4">
      <c r="A2443">
        <v>1.009252</v>
      </c>
      <c r="B2443">
        <v>2.8797290000000002</v>
      </c>
      <c r="C2443">
        <f>LOG10(1.009252)</f>
        <v>3.9996187096526534E-3</v>
      </c>
      <c r="D2443">
        <f>LOG10(2.879729)</f>
        <v>0.4593516199320527</v>
      </c>
    </row>
    <row r="2444" spans="1:4">
      <c r="A2444">
        <v>1.01294</v>
      </c>
      <c r="B2444">
        <v>3.208075</v>
      </c>
      <c r="C2444">
        <f>LOG10(1.01294)</f>
        <v>5.5837213320053224E-3</v>
      </c>
      <c r="D2444">
        <f>LOG10(3.208075)</f>
        <v>0.50624451288687544</v>
      </c>
    </row>
    <row r="2445" spans="1:4">
      <c r="A2445">
        <v>1.015738</v>
      </c>
      <c r="B2445">
        <v>2.973668</v>
      </c>
      <c r="C2445">
        <f>LOG10(1.015738)</f>
        <v>6.7817002432757865E-3</v>
      </c>
      <c r="D2445">
        <f>LOG10(2.973668)</f>
        <v>0.47329247937873309</v>
      </c>
    </row>
    <row r="2446" spans="1:4">
      <c r="A2446">
        <v>1.022627</v>
      </c>
      <c r="B2446">
        <v>3.0935190000000001</v>
      </c>
      <c r="C2446">
        <f>LOG10(1.022627)</f>
        <v>9.7172550404421645E-3</v>
      </c>
      <c r="D2446">
        <f>LOG10(3.093519)</f>
        <v>0.49045278774564827</v>
      </c>
    </row>
    <row r="2447" spans="1:4">
      <c r="A2447">
        <v>1.0070170000000001</v>
      </c>
      <c r="B2447">
        <v>2.8923670000000001</v>
      </c>
      <c r="C2447">
        <f>LOG10(1.007017)</f>
        <v>3.0368021761341553E-3</v>
      </c>
      <c r="D2447">
        <f>LOG10(2.892367)</f>
        <v>0.46125339787647812</v>
      </c>
    </row>
    <row r="2448" spans="1:4">
      <c r="A2448">
        <v>1.013736</v>
      </c>
      <c r="B2448">
        <v>3.004715</v>
      </c>
      <c r="C2448">
        <f>LOG10(1.013736)</f>
        <v>5.9248695228073852E-3</v>
      </c>
      <c r="D2448">
        <f>LOG10(3.004715)</f>
        <v>0.47780328505849456</v>
      </c>
    </row>
    <row r="2449" spans="1:4">
      <c r="A2449">
        <v>1.017107</v>
      </c>
      <c r="B2449">
        <v>3.0527839999999999</v>
      </c>
      <c r="C2449">
        <f>LOG10(1.017107)</f>
        <v>7.3666432523157577E-3</v>
      </c>
      <c r="D2449">
        <f>LOG10(3.052784)</f>
        <v>0.48469607684150634</v>
      </c>
    </row>
    <row r="2450" spans="1:4">
      <c r="A2450">
        <v>1.010896</v>
      </c>
      <c r="B2450">
        <v>3.0944859999999998</v>
      </c>
      <c r="C2450">
        <f>LOG10(1.010896)</f>
        <v>4.7064780940795957E-3</v>
      </c>
      <c r="D2450">
        <f>LOG10(3.094486)</f>
        <v>0.49058852220850629</v>
      </c>
    </row>
    <row r="2451" spans="1:4">
      <c r="A2451">
        <v>1.014346</v>
      </c>
      <c r="B2451">
        <v>2.981277</v>
      </c>
      <c r="C2451">
        <f>LOG10(1.014346)</f>
        <v>6.1861209336968696E-3</v>
      </c>
      <c r="D2451">
        <f>LOG10(2.981277)</f>
        <v>0.47440232959942202</v>
      </c>
    </row>
    <row r="2452" spans="1:4">
      <c r="A2452">
        <v>1.019523</v>
      </c>
      <c r="B2452">
        <v>3.0643259999999999</v>
      </c>
      <c r="C2452">
        <f>LOG10(1.019523)</f>
        <v>8.3970277212325663E-3</v>
      </c>
      <c r="D2452">
        <f>LOG10(3.064326)</f>
        <v>0.48633496607473092</v>
      </c>
    </row>
    <row r="2453" spans="1:4">
      <c r="A2453">
        <v>1.01518</v>
      </c>
      <c r="B2453">
        <v>3.0109370000000002</v>
      </c>
      <c r="C2453">
        <f>LOG10(1.01518)</f>
        <v>6.5430531615128127E-3</v>
      </c>
      <c r="D2453">
        <f>LOG10(3.010937)</f>
        <v>0.47870166855208179</v>
      </c>
    </row>
    <row r="2454" spans="1:4">
      <c r="A2454">
        <v>1.0069729999999999</v>
      </c>
      <c r="B2454">
        <v>3.1504509999999999</v>
      </c>
      <c r="C2454">
        <f>LOG10(1.006973)</f>
        <v>3.0178259575761182E-3</v>
      </c>
      <c r="D2454">
        <f>LOG10(3.150451)</f>
        <v>0.49837272927883863</v>
      </c>
    </row>
    <row r="2455" spans="1:4">
      <c r="A2455">
        <v>1.008845</v>
      </c>
      <c r="B2455">
        <v>3.1250830000000001</v>
      </c>
      <c r="C2455">
        <f>LOG10(1.008845)</f>
        <v>3.8244459042512681E-3</v>
      </c>
      <c r="D2455">
        <f>LOG10(3.125083)</f>
        <v>0.49486155638835311</v>
      </c>
    </row>
    <row r="2456" spans="1:4">
      <c r="A2456">
        <v>1.0101640000000001</v>
      </c>
      <c r="B2456">
        <v>2.948334</v>
      </c>
      <c r="C2456">
        <f>LOG10(1.010164)</f>
        <v>4.391887161941113E-3</v>
      </c>
      <c r="D2456">
        <f>LOG10(2.948334)</f>
        <v>0.46957668072719488</v>
      </c>
    </row>
    <row r="2457" spans="1:4">
      <c r="A2457">
        <v>1.0056229999999999</v>
      </c>
      <c r="B2457">
        <v>3.2197269999999998</v>
      </c>
      <c r="C2457">
        <f>LOG10(1.005623)</f>
        <v>2.4351977117659826E-3</v>
      </c>
      <c r="D2457">
        <f>LOG10(3.219727)</f>
        <v>0.50781904951575074</v>
      </c>
    </row>
    <row r="2458" spans="1:4">
      <c r="A2458">
        <v>1.0064059999999999</v>
      </c>
      <c r="B2458">
        <v>3.3601670000000001</v>
      </c>
      <c r="C2458">
        <f>LOG10(1.006406)</f>
        <v>2.773217289512291E-3</v>
      </c>
      <c r="D2458">
        <f>LOG10(3.360167)</f>
        <v>0.52636086232322232</v>
      </c>
    </row>
    <row r="2459" spans="1:4">
      <c r="A2459">
        <v>1.005959</v>
      </c>
      <c r="B2459">
        <v>3.2260249999999999</v>
      </c>
      <c r="C2459">
        <f>LOG10(1.005959)</f>
        <v>2.5802804847045177E-3</v>
      </c>
      <c r="D2459">
        <f>LOG10(3.226025)</f>
        <v>0.50866772862020182</v>
      </c>
    </row>
    <row r="2460" spans="1:4">
      <c r="A2460">
        <v>1.0062819999999999</v>
      </c>
      <c r="B2460">
        <v>3.1514449999999998</v>
      </c>
      <c r="C2460">
        <f>LOG10(1.006282)</f>
        <v>2.7197042603451828E-3</v>
      </c>
      <c r="D2460">
        <f>LOG10(3.151445)</f>
        <v>0.49850973208516602</v>
      </c>
    </row>
    <row r="2461" spans="1:4">
      <c r="A2461">
        <v>1.0040089999999999</v>
      </c>
      <c r="B2461">
        <v>3.073261</v>
      </c>
      <c r="C2461">
        <f>LOG10(1.004009)</f>
        <v>1.7376058695765778E-3</v>
      </c>
      <c r="D2461">
        <f>LOG10(3.073261)</f>
        <v>0.48759944474919259</v>
      </c>
    </row>
    <row r="2462" spans="1:4">
      <c r="A2462">
        <v>1.003277</v>
      </c>
      <c r="B2462">
        <v>3.1888679999999998</v>
      </c>
      <c r="C2462">
        <f>LOG10(1.003277)</f>
        <v>1.4208562137275067E-3</v>
      </c>
      <c r="D2462">
        <f>LOG10(3.188868)</f>
        <v>0.50363654242951006</v>
      </c>
    </row>
    <row r="2463" spans="1:4">
      <c r="A2463">
        <v>1.003687</v>
      </c>
      <c r="B2463">
        <v>3.306025</v>
      </c>
      <c r="C2463">
        <f>LOG10(1.003687)</f>
        <v>1.5982990976630398E-3</v>
      </c>
      <c r="D2463">
        <f>LOG10(3.306025)</f>
        <v>0.51930613336156184</v>
      </c>
    </row>
    <row r="2464" spans="1:4">
      <c r="A2464">
        <v>1.0122770000000001</v>
      </c>
      <c r="B2464">
        <v>3.4884170000000001</v>
      </c>
      <c r="C2464">
        <f>LOG10(1.012277)</f>
        <v>5.2993693324041666E-3</v>
      </c>
      <c r="D2464">
        <f>LOG10(3.488417)</f>
        <v>0.54262839425773912</v>
      </c>
    </row>
    <row r="2465" spans="1:4">
      <c r="A2465">
        <v>1.0220659999999999</v>
      </c>
      <c r="B2465">
        <v>3.1878709999999999</v>
      </c>
      <c r="C2465">
        <f>LOG10(1.022066)</f>
        <v>9.478941307807175E-3</v>
      </c>
      <c r="D2465">
        <f>LOG10(3.187871)</f>
        <v>0.50350073897197933</v>
      </c>
    </row>
    <row r="2466" spans="1:4">
      <c r="A2466">
        <v>1.01129</v>
      </c>
      <c r="B2466">
        <v>3.2993329999999998</v>
      </c>
      <c r="C2466">
        <f>LOG10(1.01129)</f>
        <v>4.875712801505264E-3</v>
      </c>
      <c r="D2466">
        <f>LOG10(3.299333)</f>
        <v>0.51842615087847921</v>
      </c>
    </row>
    <row r="2467" spans="1:4">
      <c r="A2467">
        <v>1.021693</v>
      </c>
      <c r="B2467">
        <v>3.5164</v>
      </c>
      <c r="C2467">
        <f>LOG10(1.021693)</f>
        <v>9.3204178776488487E-3</v>
      </c>
      <c r="D2467">
        <f>LOG10(3.5164)</f>
        <v>0.54609827138238065</v>
      </c>
    </row>
    <row r="2468" spans="1:4">
      <c r="A2468">
        <v>1.013245</v>
      </c>
      <c r="B2468">
        <v>3.3604069999999999</v>
      </c>
      <c r="C2468">
        <f>LOG10(1.013245)</f>
        <v>5.7144693317989857E-3</v>
      </c>
      <c r="D2468">
        <f>LOG10(3.360407)</f>
        <v>0.52639188070817011</v>
      </c>
    </row>
    <row r="2469" spans="1:4">
      <c r="A2469">
        <v>1.0162150000000001</v>
      </c>
      <c r="B2469">
        <v>3.3841760000000001</v>
      </c>
      <c r="C2469">
        <f>LOG10(1.016215)</f>
        <v>6.9856010930229957E-3</v>
      </c>
      <c r="D2469">
        <f>LOG10(3.384176)</f>
        <v>0.52945294119948916</v>
      </c>
    </row>
    <row r="2470" spans="1:4">
      <c r="A2470">
        <v>1.019458</v>
      </c>
      <c r="B2470">
        <v>3.3434689999999998</v>
      </c>
      <c r="C2470">
        <f>LOG10(1.019458)</f>
        <v>8.36933826131777E-3</v>
      </c>
      <c r="D2470">
        <f>LOG10(3.343469)</f>
        <v>0.52419730085987515</v>
      </c>
    </row>
    <row r="2471" spans="1:4">
      <c r="A2471">
        <v>1.0055369999999999</v>
      </c>
      <c r="B2471">
        <v>3.1421589999999999</v>
      </c>
      <c r="C2471">
        <f>LOG10(1.005537)</f>
        <v>2.3980556390651954E-3</v>
      </c>
      <c r="D2471">
        <f>LOG10(3.142159)</f>
        <v>0.49722815749436905</v>
      </c>
    </row>
    <row r="2472" spans="1:4">
      <c r="A2472">
        <v>1.0028079999999999</v>
      </c>
      <c r="B2472">
        <v>3.1306250000000002</v>
      </c>
      <c r="C2472">
        <f>LOG10(1.002808)</f>
        <v>1.2177899271807457E-3</v>
      </c>
      <c r="D2472">
        <f>LOG10(3.130625)</f>
        <v>0.49563104903358957</v>
      </c>
    </row>
    <row r="2473" spans="1:4">
      <c r="A2473">
        <v>1.006769</v>
      </c>
      <c r="B2473">
        <v>3.2304620000000002</v>
      </c>
      <c r="C2473">
        <f>LOG10(1.006769)</f>
        <v>2.929834472459078E-3</v>
      </c>
      <c r="D2473">
        <f>LOG10(3.230462)</f>
        <v>0.50926463679009404</v>
      </c>
    </row>
    <row r="2474" spans="1:4">
      <c r="A2474">
        <v>1.013579</v>
      </c>
      <c r="B2474">
        <v>3.4033359999999999</v>
      </c>
      <c r="C2474">
        <f>LOG10(1.013579)</f>
        <v>5.8576039683226585E-3</v>
      </c>
      <c r="D2474">
        <f>LOG10(3.403336)</f>
        <v>0.53190482765662039</v>
      </c>
    </row>
    <row r="2475" spans="1:4">
      <c r="A2475">
        <v>1.02397</v>
      </c>
      <c r="B2475">
        <v>3.3094109999999999</v>
      </c>
      <c r="C2475">
        <f>LOG10(1.02397)</f>
        <v>1.028723298227985E-2</v>
      </c>
      <c r="D2475">
        <f>LOG10(3.309411)</f>
        <v>0.51975070609845675</v>
      </c>
    </row>
    <row r="2476" spans="1:4">
      <c r="A2476">
        <v>1.0147969999999999</v>
      </c>
      <c r="B2476">
        <v>3.3872770000000001</v>
      </c>
      <c r="C2476">
        <f>LOG10(1.014797)</f>
        <v>6.3791746658031206E-3</v>
      </c>
      <c r="D2476">
        <f>LOG10(3.387277)</f>
        <v>0.52985071322346355</v>
      </c>
    </row>
    <row r="2477" spans="1:4">
      <c r="A2477">
        <v>1.01085</v>
      </c>
      <c r="B2477">
        <v>3.0674009999999998</v>
      </c>
      <c r="C2477">
        <f>LOG10(1.01085)</f>
        <v>4.6867154273835887E-3</v>
      </c>
      <c r="D2477">
        <f>LOG10(3.067401)</f>
        <v>0.48677055482282905</v>
      </c>
    </row>
    <row r="2478" spans="1:4">
      <c r="A2478">
        <v>1.0121249999999999</v>
      </c>
      <c r="B2478">
        <v>3.3360989999999999</v>
      </c>
      <c r="C2478">
        <f>LOG10(1.012125)</f>
        <v>5.2341522842354622E-3</v>
      </c>
      <c r="D2478">
        <f>LOG10(3.336099)</f>
        <v>0.52323893000999167</v>
      </c>
    </row>
    <row r="2479" spans="1:4">
      <c r="A2479">
        <v>1.0120480000000001</v>
      </c>
      <c r="B2479">
        <v>3.3623259999999999</v>
      </c>
      <c r="C2479">
        <f>LOG10(1.012048)</f>
        <v>5.2011109630414436E-3</v>
      </c>
      <c r="D2479">
        <f>LOG10(3.362326)</f>
        <v>0.5266398189003928</v>
      </c>
    </row>
    <row r="2480" spans="1:4">
      <c r="A2480">
        <v>1.008022</v>
      </c>
      <c r="B2480">
        <v>3.3197369999999999</v>
      </c>
      <c r="C2480">
        <f>LOG10(1.008022)</f>
        <v>3.4700106554769561E-3</v>
      </c>
      <c r="D2480">
        <f>LOG10(3.319737)</f>
        <v>0.52110367889288178</v>
      </c>
    </row>
    <row r="2481" spans="1:4">
      <c r="A2481">
        <v>1.0084649999999999</v>
      </c>
      <c r="B2481">
        <v>3.3896899999999999</v>
      </c>
      <c r="C2481">
        <f>LOG10(1.008465)</f>
        <v>3.6608300940136687E-3</v>
      </c>
      <c r="D2481">
        <f>LOG10(3.38969)</f>
        <v>0.53015998214247062</v>
      </c>
    </row>
    <row r="2482" spans="1:4">
      <c r="A2482">
        <v>1.0055050000000001</v>
      </c>
      <c r="B2482">
        <v>3.4136700000000002</v>
      </c>
      <c r="C2482">
        <f>LOG10(1.005505)</f>
        <v>2.3842345220303502E-3</v>
      </c>
      <c r="D2482">
        <f>LOG10(3.41367)</f>
        <v>0.53322153549398965</v>
      </c>
    </row>
    <row r="2483" spans="1:4">
      <c r="A2483">
        <v>1.013029</v>
      </c>
      <c r="B2483">
        <v>3.683675</v>
      </c>
      <c r="C2483">
        <f>LOG10(1.013029)</f>
        <v>5.6218780944377739E-3</v>
      </c>
      <c r="D2483">
        <f>LOG10(3.683675)</f>
        <v>0.56628130666789644</v>
      </c>
    </row>
    <row r="2484" spans="1:4">
      <c r="A2484">
        <v>1.010899</v>
      </c>
      <c r="B2484">
        <v>3.3629859999999998</v>
      </c>
      <c r="C2484">
        <f>LOG10(1.010899)</f>
        <v>4.7077669324095944E-3</v>
      </c>
      <c r="D2484">
        <f>LOG10(3.362986)</f>
        <v>0.52672505936476866</v>
      </c>
    </row>
    <row r="2485" spans="1:4">
      <c r="A2485">
        <v>1.0105770000000001</v>
      </c>
      <c r="B2485">
        <v>3.2969349999999999</v>
      </c>
      <c r="C2485">
        <f>LOG10(1.010577)</f>
        <v>4.5694097870805682E-3</v>
      </c>
      <c r="D2485">
        <f>LOG10(3.296935)</f>
        <v>0.51811038498980311</v>
      </c>
    </row>
    <row r="2486" spans="1:4">
      <c r="A2486">
        <v>1.006942</v>
      </c>
      <c r="B2486">
        <v>3.3714209999999998</v>
      </c>
      <c r="C2486">
        <f>LOG10(1.006942)</f>
        <v>3.0044558511515499E-3</v>
      </c>
      <c r="D2486">
        <f>LOG10(3.371421)</f>
        <v>0.52781298763240114</v>
      </c>
    </row>
    <row r="2487" spans="1:4">
      <c r="A2487">
        <v>1.018286</v>
      </c>
      <c r="B2487">
        <v>3.1820719999999998</v>
      </c>
      <c r="C2487">
        <f>LOG10(1.018286)</f>
        <v>7.8697728704596962E-3</v>
      </c>
      <c r="D2487">
        <f>LOG10(3.182072)</f>
        <v>0.50271000210155381</v>
      </c>
    </row>
    <row r="2488" spans="1:4">
      <c r="A2488">
        <v>1.0165979999999999</v>
      </c>
      <c r="B2488">
        <v>3.503682</v>
      </c>
      <c r="C2488">
        <f>LOG10(1.016598)</f>
        <v>7.1492509600171927E-3</v>
      </c>
      <c r="D2488">
        <f>LOG10(3.503682)</f>
        <v>0.54452468199592763</v>
      </c>
    </row>
    <row r="2489" spans="1:4">
      <c r="A2489">
        <v>1.0086539999999999</v>
      </c>
      <c r="B2489">
        <v>3.264643</v>
      </c>
      <c r="C2489">
        <f>LOG10(1.008654)</f>
        <v>3.7422151360661398E-3</v>
      </c>
      <c r="D2489">
        <f>LOG10(3.264643)</f>
        <v>0.51383569660436024</v>
      </c>
    </row>
    <row r="2490" spans="1:4">
      <c r="A2490">
        <v>1.0160940000000001</v>
      </c>
      <c r="B2490">
        <v>3.1404800000000002</v>
      </c>
      <c r="C2490">
        <f>LOG10(1.016094)</f>
        <v>6.9338868779381807E-3</v>
      </c>
      <c r="D2490">
        <f>LOG10(3.14048)</f>
        <v>0.49699603196480269</v>
      </c>
    </row>
    <row r="2491" spans="1:4">
      <c r="A2491">
        <v>1.018894</v>
      </c>
      <c r="B2491">
        <v>3.250702</v>
      </c>
      <c r="C2491">
        <f>LOG10(1.018894)</f>
        <v>8.1290048016951621E-3</v>
      </c>
      <c r="D2491">
        <f>LOG10(3.250702)</f>
        <v>0.51197715845720249</v>
      </c>
    </row>
    <row r="2492" spans="1:4">
      <c r="A2492">
        <v>1.010756</v>
      </c>
      <c r="B2492">
        <v>3.4169209999999999</v>
      </c>
      <c r="C2492">
        <f>LOG10(1.010756)</f>
        <v>4.646328050883575E-3</v>
      </c>
      <c r="D2492">
        <f>LOG10(3.416921)</f>
        <v>0.53363493792645189</v>
      </c>
    </row>
    <row r="2493" spans="1:4">
      <c r="A2493">
        <v>1.0132589999999999</v>
      </c>
      <c r="B2493">
        <v>3.4131930000000001</v>
      </c>
      <c r="C2493">
        <f>LOG10(1.013259)</f>
        <v>5.7204699345579481E-3</v>
      </c>
      <c r="D2493">
        <f>LOG10(3.413193)</f>
        <v>0.53316084628191529</v>
      </c>
    </row>
    <row r="2494" spans="1:4">
      <c r="A2494">
        <v>1.125326</v>
      </c>
      <c r="B2494">
        <v>3.0577770000000002</v>
      </c>
      <c r="C2494">
        <f>LOG10(1.125326)</f>
        <v>5.1278353106664357E-2</v>
      </c>
      <c r="D2494">
        <f>LOG10(3.057777)</f>
        <v>0.48540580965678837</v>
      </c>
    </row>
    <row r="2495" spans="1:4">
      <c r="A2495">
        <v>1.1084339999999999</v>
      </c>
      <c r="B2495">
        <v>2.9596010000000001</v>
      </c>
      <c r="C2495">
        <f>LOG10(1.108434)</f>
        <v>4.4709838822497197E-2</v>
      </c>
      <c r="D2495">
        <f>LOG10(2.959601)</f>
        <v>0.47123316539055932</v>
      </c>
    </row>
    <row r="2496" spans="1:4">
      <c r="A2496">
        <v>1.1276999999999999</v>
      </c>
      <c r="B2496">
        <v>3.0659740000000002</v>
      </c>
      <c r="C2496">
        <f>LOG10(1.1277)</f>
        <v>5.2193580433474843E-2</v>
      </c>
      <c r="D2496">
        <f>LOG10(3.065974)</f>
        <v>0.48656846764020667</v>
      </c>
    </row>
    <row r="2497" spans="1:4">
      <c r="A2497">
        <v>1.107391</v>
      </c>
      <c r="B2497">
        <v>3.1902430000000002</v>
      </c>
      <c r="C2497">
        <f>LOG10(1.107391)</f>
        <v>4.4300989587490978E-2</v>
      </c>
      <c r="D2497">
        <f>LOG10(3.190243)</f>
        <v>0.50382376441761001</v>
      </c>
    </row>
    <row r="2498" spans="1:4">
      <c r="A2498">
        <v>1.1097250000000001</v>
      </c>
      <c r="B2498">
        <v>3.172806</v>
      </c>
      <c r="C2498">
        <f>LOG10(1.109725)</f>
        <v>4.5215369976435993E-2</v>
      </c>
      <c r="D2498">
        <f>LOG10(3.172806)</f>
        <v>0.50144351814351051</v>
      </c>
    </row>
    <row r="2499" spans="1:4">
      <c r="A2499">
        <v>1.1204609999999999</v>
      </c>
      <c r="B2499">
        <v>3.290556</v>
      </c>
      <c r="C2499">
        <f>LOG10(1.120461)</f>
        <v>4.9396744601947297E-2</v>
      </c>
      <c r="D2499">
        <f>LOG10(3.290556)</f>
        <v>0.51726928619635126</v>
      </c>
    </row>
    <row r="2500" spans="1:4">
      <c r="A2500">
        <v>1.114247</v>
      </c>
      <c r="B2500">
        <v>3.1768890000000001</v>
      </c>
      <c r="C2500">
        <f>LOG10(1.114247)</f>
        <v>4.6981473464788211E-2</v>
      </c>
      <c r="D2500">
        <f>LOG10(3.176889)</f>
        <v>0.50200204091161438</v>
      </c>
    </row>
    <row r="2501" spans="1:4">
      <c r="A2501">
        <v>1.155189</v>
      </c>
      <c r="B2501">
        <v>2.942774</v>
      </c>
      <c r="C2501">
        <f>LOG10(1.155189)</f>
        <v>6.2653044784042183E-2</v>
      </c>
      <c r="D2501">
        <f>LOG10(2.942774)</f>
        <v>0.46875691030833988</v>
      </c>
    </row>
    <row r="2502" spans="1:4">
      <c r="A2502">
        <v>1.1460969999999999</v>
      </c>
      <c r="B2502">
        <v>2.987063</v>
      </c>
      <c r="C2502">
        <f>LOG10(1.146097)</f>
        <v>5.922137573084927E-2</v>
      </c>
      <c r="D2502">
        <f>LOG10(2.987063)</f>
        <v>0.47524438238445232</v>
      </c>
    </row>
    <row r="2503" spans="1:4">
      <c r="A2503">
        <v>1.1341969999999999</v>
      </c>
      <c r="B2503">
        <v>3.080454</v>
      </c>
      <c r="C2503">
        <f>LOG10(1.134197)</f>
        <v>5.4688494223856764E-2</v>
      </c>
      <c r="D2503">
        <f>LOG10(3.080454)</f>
        <v>0.48861472791750576</v>
      </c>
    </row>
    <row r="2504" spans="1:4">
      <c r="A2504">
        <v>1.149405</v>
      </c>
      <c r="B2504">
        <v>2.8635980000000001</v>
      </c>
      <c r="C2504">
        <f>LOG10(1.149405)</f>
        <v>6.0473082016128839E-2</v>
      </c>
      <c r="D2504">
        <f>LOG10(2.863598)</f>
        <v>0.45691205042505778</v>
      </c>
    </row>
    <row r="2505" spans="1:4">
      <c r="A2505">
        <v>1.137148</v>
      </c>
      <c r="B2505">
        <v>3.319353</v>
      </c>
      <c r="C2505">
        <f>LOG10(1.137148)</f>
        <v>5.5816991864868763E-2</v>
      </c>
      <c r="D2505">
        <f>LOG10(3.319353)</f>
        <v>0.52105344035680623</v>
      </c>
    </row>
    <row r="2506" spans="1:4">
      <c r="A2506">
        <v>1.116914</v>
      </c>
      <c r="B2506">
        <v>3.1920609999999998</v>
      </c>
      <c r="C2506">
        <f>LOG10(1.116914)</f>
        <v>4.801973465247919E-2</v>
      </c>
      <c r="D2506">
        <f>LOG10(3.192061)</f>
        <v>0.50407118208666957</v>
      </c>
    </row>
    <row r="2507" spans="1:4">
      <c r="A2507">
        <v>1.1274919999999999</v>
      </c>
      <c r="B2507">
        <v>3.2997529999999999</v>
      </c>
      <c r="C2507">
        <f>LOG10(1.127492)</f>
        <v>5.2113469070458288E-2</v>
      </c>
      <c r="D2507">
        <f>LOG10(3.299753)</f>
        <v>0.51848143237735522</v>
      </c>
    </row>
    <row r="2508" spans="1:4">
      <c r="A2508">
        <v>1.1568080000000001</v>
      </c>
      <c r="B2508">
        <v>3.2752219999999999</v>
      </c>
      <c r="C2508">
        <f>LOG10(1.156808)</f>
        <v>6.3261283359723947E-2</v>
      </c>
      <c r="D2508">
        <f>LOG10(3.275222)</f>
        <v>0.51524074252852836</v>
      </c>
    </row>
    <row r="2509" spans="1:4">
      <c r="A2509">
        <v>1.094438</v>
      </c>
      <c r="B2509">
        <v>3.4063680000000001</v>
      </c>
      <c r="C2509">
        <f>LOG10(1.094438)</f>
        <v>3.9191163783757789E-2</v>
      </c>
      <c r="D2509">
        <f>LOG10(3.406368)</f>
        <v>0.53229156427722701</v>
      </c>
    </row>
    <row r="2510" spans="1:4">
      <c r="A2510">
        <v>1.17421</v>
      </c>
      <c r="B2510">
        <v>3.3541690000000002</v>
      </c>
      <c r="C2510">
        <f>LOG10(1.17421)</f>
        <v>6.9745774667369476E-2</v>
      </c>
      <c r="D2510">
        <f>LOG10(3.354169)</f>
        <v>0.52558494077405793</v>
      </c>
    </row>
    <row r="2511" spans="1:4">
      <c r="A2511">
        <v>1.094733</v>
      </c>
      <c r="B2511">
        <v>3.311172</v>
      </c>
      <c r="C2511">
        <f>LOG10(1.094733)</f>
        <v>3.9308209800662734E-2</v>
      </c>
      <c r="D2511">
        <f>LOG10(3.311172)</f>
        <v>0.51998174091840177</v>
      </c>
    </row>
    <row r="2512" spans="1:4">
      <c r="A2512">
        <v>1.083307</v>
      </c>
      <c r="B2512">
        <v>3.3653330000000001</v>
      </c>
      <c r="C2512">
        <f>LOG10(1.083307)</f>
        <v>3.4751549434268371E-2</v>
      </c>
      <c r="D2512">
        <f>LOG10(3.365333)</f>
        <v>0.5270280441639047</v>
      </c>
    </row>
    <row r="2513" spans="1:4">
      <c r="A2513">
        <v>1.1063750000000001</v>
      </c>
      <c r="B2513">
        <v>3.1759400000000002</v>
      </c>
      <c r="C2513">
        <f>LOG10(1.106375)</f>
        <v>4.3902353756428786E-2</v>
      </c>
      <c r="D2513">
        <f>LOG10(3.17594)</f>
        <v>0.50187228912185533</v>
      </c>
    </row>
    <row r="2514" spans="1:4">
      <c r="A2514">
        <v>1.103723</v>
      </c>
      <c r="B2514">
        <v>3.3416109999999999</v>
      </c>
      <c r="C2514">
        <f>LOG10(1.103723)</f>
        <v>4.2860092717507958E-2</v>
      </c>
      <c r="D2514">
        <f>LOG10(3.341611)</f>
        <v>0.52395589188102865</v>
      </c>
    </row>
    <row r="2515" spans="1:4">
      <c r="A2515">
        <v>1.1206309999999999</v>
      </c>
      <c r="B2515">
        <v>3.2915540000000001</v>
      </c>
      <c r="C2515">
        <f>LOG10(1.120631)</f>
        <v>4.9462632180025452E-2</v>
      </c>
      <c r="D2515">
        <f>LOG10(3.291554)</f>
        <v>0.51740098435887394</v>
      </c>
    </row>
    <row r="2516" spans="1:4">
      <c r="A2516">
        <v>1.100387</v>
      </c>
      <c r="B2516">
        <v>3.1319900000000001</v>
      </c>
      <c r="C2516">
        <f>LOG10(1.100387)</f>
        <v>4.1545450981900198E-2</v>
      </c>
      <c r="D2516">
        <f>LOG10(3.13199)</f>
        <v>0.49582036674741531</v>
      </c>
    </row>
    <row r="2517" spans="1:4">
      <c r="A2517">
        <v>1.0948370000000001</v>
      </c>
      <c r="B2517">
        <v>3.4167489999999998</v>
      </c>
      <c r="C2517">
        <f>LOG10(1.094837)</f>
        <v>3.9349465961600223E-2</v>
      </c>
      <c r="D2517">
        <f>LOG10(3.416749)</f>
        <v>0.53361307598377594</v>
      </c>
    </row>
    <row r="2518" spans="1:4">
      <c r="A2518">
        <v>1.086336</v>
      </c>
      <c r="B2518">
        <v>3.2642350000000002</v>
      </c>
      <c r="C2518">
        <f>LOG10(1.086336)</f>
        <v>3.59641718245216E-2</v>
      </c>
      <c r="D2518">
        <f>LOG10(3.264235)</f>
        <v>0.51378141709451275</v>
      </c>
    </row>
    <row r="2519" spans="1:4">
      <c r="A2519">
        <v>1.1009279999999999</v>
      </c>
      <c r="B2519">
        <v>3.2106629999999998</v>
      </c>
      <c r="C2519">
        <f>LOG10(1.100928)</f>
        <v>4.1758917314015265E-2</v>
      </c>
      <c r="D2519">
        <f>LOG10(3.210663)</f>
        <v>0.50659472321796262</v>
      </c>
    </row>
    <row r="2520" spans="1:4">
      <c r="A2520">
        <v>1.117926</v>
      </c>
      <c r="B2520">
        <v>3.2404030000000001</v>
      </c>
      <c r="C2520">
        <f>LOG10(1.117926)</f>
        <v>4.8413056810420622E-2</v>
      </c>
      <c r="D2520">
        <f>LOG10(3.240403)</f>
        <v>0.51059902557461712</v>
      </c>
    </row>
    <row r="2521" spans="1:4">
      <c r="A2521">
        <v>1.106943</v>
      </c>
      <c r="B2521">
        <v>3.4358300000000002</v>
      </c>
      <c r="C2521">
        <f>LOG10(1.106943)</f>
        <v>4.4125258256492737E-2</v>
      </c>
      <c r="D2521">
        <f>LOG10(3.43583)</f>
        <v>0.53603166741520092</v>
      </c>
    </row>
    <row r="2522" spans="1:4">
      <c r="A2522">
        <v>1.088638</v>
      </c>
      <c r="B2522">
        <v>3.3041779999999998</v>
      </c>
      <c r="C2522">
        <f>LOG10(1.088638)</f>
        <v>3.6883489729611613E-2</v>
      </c>
      <c r="D2522">
        <f>LOG10(3.304178)</f>
        <v>0.51906343523899257</v>
      </c>
    </row>
    <row r="2523" spans="1:4">
      <c r="A2523">
        <v>1.0988180000000001</v>
      </c>
      <c r="B2523">
        <v>3.2913950000000001</v>
      </c>
      <c r="C2523">
        <f>LOG10(1.098818)</f>
        <v>4.0925765088390909E-2</v>
      </c>
      <c r="D2523">
        <f>LOG10(3.291395)</f>
        <v>0.51738000506140824</v>
      </c>
    </row>
    <row r="2524" spans="1:4">
      <c r="A2524">
        <v>1.0946750000000001</v>
      </c>
      <c r="B2524">
        <v>3.2245240000000002</v>
      </c>
      <c r="C2524">
        <f>LOG10(1.094675)</f>
        <v>3.9285199854635099E-2</v>
      </c>
      <c r="D2524">
        <f>LOG10(3.224524)</f>
        <v>0.50846561372142285</v>
      </c>
    </row>
    <row r="2525" spans="1:4">
      <c r="A2525">
        <v>1.108627</v>
      </c>
      <c r="B2525">
        <v>3.1197110000000001</v>
      </c>
      <c r="C2525">
        <f>LOG10(1.108627)</f>
        <v>4.4785451388158766E-2</v>
      </c>
      <c r="D2525">
        <f>LOG10(3.119711)</f>
        <v>0.49411436423685201</v>
      </c>
    </row>
    <row r="2526" spans="1:4">
      <c r="A2526">
        <v>1.098068</v>
      </c>
      <c r="B2526">
        <v>3.293971</v>
      </c>
      <c r="C2526">
        <f>LOG10(1.098068)</f>
        <v>4.0629235478678277E-2</v>
      </c>
      <c r="D2526">
        <f>LOG10(3.293971)</f>
        <v>0.5177197713378594</v>
      </c>
    </row>
    <row r="2527" spans="1:4">
      <c r="A2527">
        <v>1.0925180000000001</v>
      </c>
      <c r="B2527">
        <v>3.2818339999999999</v>
      </c>
      <c r="C2527">
        <f>LOG10(1.092518)</f>
        <v>3.8428601007471981E-2</v>
      </c>
      <c r="D2527">
        <f>LOG10(3.281834)</f>
        <v>0.51611661001773024</v>
      </c>
    </row>
    <row r="2528" spans="1:4">
      <c r="A2528">
        <v>1.097253</v>
      </c>
      <c r="B2528">
        <v>3.224602</v>
      </c>
      <c r="C2528">
        <f>LOG10(1.097253)</f>
        <v>4.0306776923403786E-2</v>
      </c>
      <c r="D2528">
        <f>LOG10(3.224602)</f>
        <v>0.50847611901146983</v>
      </c>
    </row>
    <row r="2529" spans="1:4">
      <c r="A2529">
        <v>1.08711</v>
      </c>
      <c r="B2529">
        <v>3.341456</v>
      </c>
      <c r="C2529">
        <f>LOG10(1.08711)</f>
        <v>3.6273490706336883E-2</v>
      </c>
      <c r="D2529">
        <f>LOG10(3.341456)</f>
        <v>0.52393574674565679</v>
      </c>
    </row>
    <row r="2530" spans="1:4">
      <c r="A2530">
        <v>1.092997</v>
      </c>
      <c r="B2530">
        <v>3.3758010000000001</v>
      </c>
      <c r="C2530">
        <f>LOG10(1.092997)</f>
        <v>3.861896992295645E-2</v>
      </c>
      <c r="D2530">
        <f>LOG10(3.375801)</f>
        <v>0.52837683749474029</v>
      </c>
    </row>
    <row r="2531" spans="1:4">
      <c r="A2531">
        <v>1.1000000000000001</v>
      </c>
      <c r="B2531">
        <v>3.1454019999999998</v>
      </c>
      <c r="C2531">
        <f>LOG10(1.1)</f>
        <v>4.1392685158225077E-2</v>
      </c>
      <c r="D2531">
        <f>LOG10(3.145402)</f>
        <v>0.49767615859676972</v>
      </c>
    </row>
    <row r="2532" spans="1:4">
      <c r="A2532">
        <v>1.0846709999999999</v>
      </c>
      <c r="B2532">
        <v>3.263611</v>
      </c>
      <c r="C2532">
        <f>LOG10(1.084671)</f>
        <v>3.5298028920202416E-2</v>
      </c>
      <c r="D2532">
        <f>LOG10(3.263611)</f>
        <v>0.51369838824930614</v>
      </c>
    </row>
    <row r="2533" spans="1:4">
      <c r="A2533">
        <v>1.086667</v>
      </c>
      <c r="B2533">
        <v>3.2791139999999999</v>
      </c>
      <c r="C2533">
        <f>LOG10(1.086667)</f>
        <v>3.6096478567422381E-2</v>
      </c>
      <c r="D2533">
        <f>LOG10(3.279114)</f>
        <v>0.51575651539163259</v>
      </c>
    </row>
    <row r="2534" spans="1:4">
      <c r="A2534">
        <v>1.1007910000000001</v>
      </c>
      <c r="B2534">
        <v>3.1748660000000002</v>
      </c>
      <c r="C2534">
        <f>LOG10(1.100791)</f>
        <v>4.170487014078611E-2</v>
      </c>
      <c r="D2534">
        <f>LOG10(3.174866)</f>
        <v>0.50172539996227128</v>
      </c>
    </row>
    <row r="2535" spans="1:4">
      <c r="A2535">
        <v>1.086136</v>
      </c>
      <c r="B2535">
        <v>3.2065939999999999</v>
      </c>
      <c r="C2535">
        <f>LOG10(1.086136)</f>
        <v>3.588420863362568E-2</v>
      </c>
      <c r="D2535">
        <f>LOG10(3.206594)</f>
        <v>0.50604397560611247</v>
      </c>
    </row>
    <row r="2536" spans="1:4">
      <c r="A2536">
        <v>1.0857730000000001</v>
      </c>
      <c r="B2536">
        <v>3.2174170000000002</v>
      </c>
      <c r="C2536">
        <f>LOG10(1.085773)</f>
        <v>3.5739037819932526E-2</v>
      </c>
      <c r="D2536">
        <f>LOG10(3.217417)</f>
        <v>0.50750735218654375</v>
      </c>
    </row>
    <row r="2537" spans="1:4">
      <c r="A2537">
        <v>1.0718780000000001</v>
      </c>
      <c r="B2537">
        <v>2.937856</v>
      </c>
      <c r="C2537">
        <f>LOG10(1.071878)</f>
        <v>3.0145357239247009E-2</v>
      </c>
      <c r="D2537">
        <f>LOG10(2.937856)</f>
        <v>0.46803050488581033</v>
      </c>
    </row>
    <row r="2538" spans="1:4">
      <c r="A2538">
        <v>1.0894109999999999</v>
      </c>
      <c r="B2538">
        <v>3.0908030000000002</v>
      </c>
      <c r="C2538">
        <f>LOG10(1.089411)</f>
        <v>3.7191756117196301E-2</v>
      </c>
      <c r="D2538">
        <f>LOG10(3.090803)</f>
        <v>0.4900713251087791</v>
      </c>
    </row>
    <row r="2539" spans="1:4">
      <c r="A2539">
        <v>1.07464</v>
      </c>
      <c r="B2539">
        <v>2.9038400000000002</v>
      </c>
      <c r="C2539">
        <f>LOG10(1.07464)</f>
        <v>3.1263001741671965E-2</v>
      </c>
      <c r="D2539">
        <f>LOG10(2.90384)</f>
        <v>0.46297268329822816</v>
      </c>
    </row>
    <row r="2540" spans="1:4">
      <c r="A2540">
        <v>1.081804</v>
      </c>
      <c r="B2540">
        <v>3.1017359999999998</v>
      </c>
      <c r="C2540">
        <f>LOG10(1.081804)</f>
        <v>3.4148582924788402E-2</v>
      </c>
      <c r="D2540">
        <f>LOG10(3.101736)</f>
        <v>0.49160483067217609</v>
      </c>
    </row>
    <row r="2541" spans="1:4">
      <c r="A2541">
        <v>1.1017939999999999</v>
      </c>
      <c r="B2541">
        <v>3.16866</v>
      </c>
      <c r="C2541">
        <f>LOG10(1.101794)</f>
        <v>4.2100403021885544E-2</v>
      </c>
      <c r="D2541">
        <f>LOG10(3.16866)</f>
        <v>0.50087564151103448</v>
      </c>
    </row>
    <row r="2542" spans="1:4">
      <c r="A2542">
        <v>1.091299</v>
      </c>
      <c r="B2542">
        <v>3.1339440000000001</v>
      </c>
      <c r="C2542">
        <f>LOG10(1.091299)</f>
        <v>3.7943757242243685E-2</v>
      </c>
      <c r="D2542">
        <f>LOG10(3.133944)</f>
        <v>0.49609123185552123</v>
      </c>
    </row>
    <row r="2543" spans="1:4">
      <c r="A2543">
        <v>1.080983</v>
      </c>
      <c r="B2543">
        <v>3.0618729999999998</v>
      </c>
      <c r="C2543">
        <f>LOG10(1.080983)</f>
        <v>3.3818864106644114E-2</v>
      </c>
      <c r="D2543">
        <f>LOG10(3.061873)</f>
        <v>0.48598717312153339</v>
      </c>
    </row>
    <row r="2544" spans="1:4">
      <c r="A2544">
        <v>1.0963719999999999</v>
      </c>
      <c r="B2544">
        <v>3.0657909999999999</v>
      </c>
      <c r="C2544">
        <f>LOG10(1.096372)</f>
        <v>3.9957935659169171E-2</v>
      </c>
      <c r="D2544">
        <f>LOG10(3.065791)</f>
        <v>0.48654254496045235</v>
      </c>
    </row>
    <row r="2545" spans="1:4">
      <c r="A2545">
        <v>1.0976809999999999</v>
      </c>
      <c r="B2545">
        <v>2.9731529999999999</v>
      </c>
      <c r="C2545">
        <f>LOG10(1.097681)</f>
        <v>4.0476146973355547E-2</v>
      </c>
      <c r="D2545">
        <f>LOG10(2.973153)</f>
        <v>0.47321725879996024</v>
      </c>
    </row>
    <row r="2546" spans="1:4">
      <c r="A2546">
        <v>1.081135</v>
      </c>
      <c r="B2546">
        <v>3.0342560000000001</v>
      </c>
      <c r="C2546">
        <f>LOG10(1.081135)</f>
        <v>3.3879927158113103E-2</v>
      </c>
      <c r="D2546">
        <f>LOG10(3.034256)</f>
        <v>0.48205221939637294</v>
      </c>
    </row>
    <row r="2547" spans="1:4">
      <c r="A2547">
        <v>1.068576</v>
      </c>
      <c r="B2547">
        <v>2.9186559999999999</v>
      </c>
      <c r="C2547">
        <f>LOG10(1.068576)</f>
        <v>2.8805415790537924E-2</v>
      </c>
      <c r="D2547">
        <f>LOG10(2.918656)</f>
        <v>0.46518291098472686</v>
      </c>
    </row>
    <row r="2548" spans="1:4">
      <c r="A2548">
        <v>1.075418</v>
      </c>
      <c r="B2548">
        <v>3.047358</v>
      </c>
      <c r="C2548">
        <f>LOG10(1.075418)</f>
        <v>3.1577301283049579E-2</v>
      </c>
      <c r="D2548">
        <f>LOG10(3.047358)</f>
        <v>0.48392347761995358</v>
      </c>
    </row>
    <row r="2549" spans="1:4">
      <c r="A2549">
        <v>1.050597</v>
      </c>
      <c r="B2549">
        <v>3.0395530000000002</v>
      </c>
      <c r="C2549">
        <f>LOG10(1.050597)</f>
        <v>2.1436156332589565E-2</v>
      </c>
      <c r="D2549">
        <f>LOG10(3.039553)</f>
        <v>0.48280972048139537</v>
      </c>
    </row>
    <row r="2550" spans="1:4">
      <c r="A2550">
        <v>1.0628930000000001</v>
      </c>
      <c r="B2550">
        <v>2.9150040000000002</v>
      </c>
      <c r="C2550">
        <f>LOG10(1.062893)</f>
        <v>2.6489546885952966E-2</v>
      </c>
      <c r="D2550">
        <f>LOG10(2.915004)</f>
        <v>0.46463915503902459</v>
      </c>
    </row>
    <row r="2551" spans="1:4">
      <c r="A2551">
        <v>1.089235</v>
      </c>
      <c r="B2551">
        <v>2.9136630000000001</v>
      </c>
      <c r="C2551">
        <f>LOG10(1.089235)</f>
        <v>3.7121587921921592E-2</v>
      </c>
      <c r="D2551">
        <f>LOG10(2.913663)</f>
        <v>0.4644393189837111</v>
      </c>
    </row>
    <row r="2552" spans="1:4">
      <c r="A2552">
        <v>1.038664</v>
      </c>
      <c r="B2552">
        <v>2.9917820000000002</v>
      </c>
      <c r="C2552">
        <f>LOG10(1.038664)</f>
        <v>1.6475079274344766E-2</v>
      </c>
      <c r="D2552">
        <f>LOG10(2.991782)</f>
        <v>0.47592994492560498</v>
      </c>
    </row>
    <row r="2553" spans="1:4">
      <c r="A2553">
        <v>1.0757620000000001</v>
      </c>
      <c r="B2553">
        <v>3.0319579999999999</v>
      </c>
      <c r="C2553">
        <f>LOG10(1.075762)</f>
        <v>3.171619928605094E-2</v>
      </c>
      <c r="D2553">
        <f>LOG10(3.031958)</f>
        <v>0.48172318096576261</v>
      </c>
    </row>
    <row r="2554" spans="1:4">
      <c r="A2554">
        <v>1.0679970000000001</v>
      </c>
      <c r="B2554">
        <v>3.0858910000000002</v>
      </c>
      <c r="C2554">
        <f>LOG10(1.067997)</f>
        <v>2.8570032762504308E-2</v>
      </c>
      <c r="D2554">
        <f>LOG10(3.085891)</f>
        <v>0.4893805818261065</v>
      </c>
    </row>
    <row r="2555" spans="1:4">
      <c r="A2555">
        <v>1.060573</v>
      </c>
      <c r="B2555">
        <v>2.9240240000000002</v>
      </c>
      <c r="C2555">
        <f>LOG10(1.060573)</f>
        <v>2.5540566681969312E-2</v>
      </c>
      <c r="D2555">
        <f>LOG10(2.924024)</f>
        <v>0.46598093293178389</v>
      </c>
    </row>
    <row r="2556" spans="1:4">
      <c r="A2556">
        <v>1.061598</v>
      </c>
      <c r="B2556">
        <v>2.9579140000000002</v>
      </c>
      <c r="C2556">
        <f>LOG10(1.061598)</f>
        <v>2.5960091667059225E-2</v>
      </c>
      <c r="D2556">
        <f>LOG10(2.957914)</f>
        <v>0.47098554293051675</v>
      </c>
    </row>
    <row r="2557" spans="1:4">
      <c r="A2557">
        <v>1.078999</v>
      </c>
      <c r="B2557">
        <v>3.002796</v>
      </c>
      <c r="C2557">
        <f>LOG10(1.078999)</f>
        <v>3.30210421855213E-2</v>
      </c>
      <c r="D2557">
        <f>LOG10(3.002796)</f>
        <v>0.47752582867460486</v>
      </c>
    </row>
    <row r="2558" spans="1:4">
      <c r="A2558">
        <v>1.081115</v>
      </c>
      <c r="B2558">
        <v>2.8975300000000002</v>
      </c>
      <c r="C2558">
        <f>LOG10(1.081115)</f>
        <v>3.3871893036583889E-2</v>
      </c>
      <c r="D2558">
        <f>LOG10(2.89753)</f>
        <v>0.46202794119025276</v>
      </c>
    </row>
    <row r="2559" spans="1:4">
      <c r="A2559">
        <v>1.0658030000000001</v>
      </c>
      <c r="B2559">
        <v>3.0276149999999999</v>
      </c>
      <c r="C2559">
        <f>LOG10(1.065803)</f>
        <v>2.7676938349640669E-2</v>
      </c>
      <c r="D2559">
        <f>LOG10(3.027615)</f>
        <v>0.48110064823685056</v>
      </c>
    </row>
    <row r="2560" spans="1:4">
      <c r="A2560">
        <v>1.096733</v>
      </c>
      <c r="B2560">
        <v>2.9649890000000001</v>
      </c>
      <c r="C2560">
        <f>LOG10(1.096733)</f>
        <v>4.0100911311847093E-2</v>
      </c>
      <c r="D2560">
        <f>LOG10(2.964989)</f>
        <v>0.47202308648673585</v>
      </c>
    </row>
    <row r="2561" spans="1:4">
      <c r="A2561">
        <v>1.085853</v>
      </c>
      <c r="B2561">
        <v>3.0154100000000001</v>
      </c>
      <c r="C2561">
        <f>LOG10(1.085853)</f>
        <v>3.5771035556714008E-2</v>
      </c>
      <c r="D2561">
        <f>LOG10(3.01541)</f>
        <v>0.479346370748717</v>
      </c>
    </row>
    <row r="2562" spans="1:4">
      <c r="A2562">
        <v>1.0551820000000001</v>
      </c>
      <c r="B2562">
        <v>3.163659</v>
      </c>
      <c r="C2562">
        <f>LOG10(1.055182)</f>
        <v>2.3327374115876907E-2</v>
      </c>
      <c r="D2562">
        <f>LOG10(3.163659)</f>
        <v>0.50018966622913508</v>
      </c>
    </row>
    <row r="2563" spans="1:4">
      <c r="A2563">
        <v>1.070621</v>
      </c>
      <c r="B2563">
        <v>2.9398070000000001</v>
      </c>
      <c r="C2563">
        <f>LOG10(1.070621)</f>
        <v>2.9635757723551599E-2</v>
      </c>
      <c r="D2563">
        <f>LOG10(2.939807)</f>
        <v>0.46831881966850963</v>
      </c>
    </row>
    <row r="2564" spans="1:4">
      <c r="A2564">
        <v>1.065903</v>
      </c>
      <c r="B2564">
        <v>2.8624239999999999</v>
      </c>
      <c r="C2564">
        <f>LOG10(1.065903)</f>
        <v>2.771768453905157E-2</v>
      </c>
      <c r="D2564">
        <f>LOG10(2.862424)</f>
        <v>0.45673396458155285</v>
      </c>
    </row>
    <row r="2565" spans="1:4">
      <c r="A2565">
        <v>1.0529390000000001</v>
      </c>
      <c r="B2565">
        <v>2.9475600000000002</v>
      </c>
      <c r="C2565">
        <f>LOG10(1.052939)</f>
        <v>2.2403211897013796E-2</v>
      </c>
      <c r="D2565">
        <f>LOG10(2.94756)</f>
        <v>0.46946265427728784</v>
      </c>
    </row>
    <row r="2566" spans="1:4">
      <c r="A2566">
        <v>1.0932200000000001</v>
      </c>
      <c r="B2566">
        <v>2.814765</v>
      </c>
      <c r="C2566">
        <f>LOG10(1.09322)</f>
        <v>3.8707568328147104E-2</v>
      </c>
      <c r="D2566">
        <f>LOG10(2.814765)</f>
        <v>0.44944214218434392</v>
      </c>
    </row>
    <row r="2567" spans="1:4">
      <c r="A2567">
        <v>1.0659080000000001</v>
      </c>
      <c r="B2567">
        <v>2.788421</v>
      </c>
      <c r="C2567">
        <f>LOG10(1.065908)</f>
        <v>2.7719721748175205E-2</v>
      </c>
      <c r="D2567">
        <f>LOG10(2.788421)</f>
        <v>0.44535834481105435</v>
      </c>
    </row>
    <row r="2568" spans="1:4">
      <c r="A2568">
        <v>1.091647</v>
      </c>
      <c r="B2568">
        <v>2.9857610000000001</v>
      </c>
      <c r="C2568">
        <f>LOG10(1.091647)</f>
        <v>3.8082225606539129E-2</v>
      </c>
      <c r="D2568">
        <f>LOG10(2.985761)</f>
        <v>0.47505504098601348</v>
      </c>
    </row>
    <row r="2569" spans="1:4">
      <c r="A2569">
        <v>1.0548869999999999</v>
      </c>
      <c r="B2569">
        <v>2.77475</v>
      </c>
      <c r="C2569">
        <f>LOG10(1.054887)</f>
        <v>2.3205940292626352E-2</v>
      </c>
      <c r="D2569">
        <f>LOG10(2.77475)</f>
        <v>0.44322386006717318</v>
      </c>
    </row>
    <row r="2570" spans="1:4">
      <c r="A2570">
        <v>1.094387</v>
      </c>
      <c r="B2570">
        <v>2.9106030000000001</v>
      </c>
      <c r="C2570">
        <f>LOG10(1.094387)</f>
        <v>3.9170925511094523E-2</v>
      </c>
      <c r="D2570">
        <f>LOG10(2.910603)</f>
        <v>0.46398297264345084</v>
      </c>
    </row>
    <row r="2571" spans="1:4">
      <c r="A2571">
        <v>1.0850930000000001</v>
      </c>
      <c r="B2571">
        <v>2.9111449999999999</v>
      </c>
      <c r="C2571">
        <f>LOG10(1.085093)</f>
        <v>3.5466961830578014E-2</v>
      </c>
      <c r="D2571">
        <f>LOG10(2.911145)</f>
        <v>0.46406383756919878</v>
      </c>
    </row>
    <row r="2572" spans="1:4">
      <c r="A2572">
        <v>1.1153059999999999</v>
      </c>
      <c r="B2572">
        <v>2.8971279999999999</v>
      </c>
      <c r="C2572">
        <f>LOG10(1.115306)</f>
        <v>4.7394038576200864E-2</v>
      </c>
      <c r="D2572">
        <f>LOG10(2.897128)</f>
        <v>0.46196768349014161</v>
      </c>
    </row>
    <row r="2573" spans="1:4">
      <c r="A2573">
        <v>1.069272</v>
      </c>
      <c r="B2573">
        <v>2.9953460000000001</v>
      </c>
      <c r="C2573">
        <f>LOG10(1.069272)</f>
        <v>2.9088194519506342E-2</v>
      </c>
      <c r="D2573">
        <f>LOG10(2.995346)</f>
        <v>0.47644699607812069</v>
      </c>
    </row>
    <row r="2574" spans="1:4">
      <c r="A2574">
        <v>1.0986450000000001</v>
      </c>
      <c r="B2574">
        <v>2.980642</v>
      </c>
      <c r="C2574">
        <f>LOG10(1.098645)</f>
        <v>4.0857383554299569E-2</v>
      </c>
      <c r="D2574">
        <f>LOG10(2.980642)</f>
        <v>0.47430981677023015</v>
      </c>
    </row>
    <row r="2575" spans="1:4">
      <c r="A2575">
        <v>1.1162510000000001</v>
      </c>
      <c r="B2575">
        <v>2.9243920000000001</v>
      </c>
      <c r="C2575">
        <f>LOG10(1.116251)</f>
        <v>4.7761860962033893E-2</v>
      </c>
      <c r="D2575">
        <f>LOG10(2.924392)</f>
        <v>0.46603558717305238</v>
      </c>
    </row>
    <row r="2576" spans="1:4">
      <c r="A2576">
        <v>1.135561</v>
      </c>
      <c r="B2576">
        <v>2.915457</v>
      </c>
      <c r="C2576">
        <f>LOG10(1.135561)</f>
        <v>5.5210468588194769E-2</v>
      </c>
      <c r="D2576">
        <f>LOG10(2.915457)</f>
        <v>0.46470664040620152</v>
      </c>
    </row>
    <row r="2577" spans="1:4">
      <c r="A2577">
        <v>1.066462</v>
      </c>
      <c r="B2577">
        <v>3.037242</v>
      </c>
      <c r="C2577">
        <f>LOG10(1.066462)</f>
        <v>2.7945385351009367E-2</v>
      </c>
      <c r="D2577">
        <f>LOG10(3.037242)</f>
        <v>0.48247939681700852</v>
      </c>
    </row>
    <row r="2578" spans="1:4">
      <c r="A2578">
        <v>1.0939639999999999</v>
      </c>
      <c r="B2578">
        <v>3.1095250000000001</v>
      </c>
      <c r="C2578">
        <f>LOG10(1.093964)</f>
        <v>3.9003030536172247E-2</v>
      </c>
      <c r="D2578">
        <f>LOG10(3.109525)</f>
        <v>0.4926940528100669</v>
      </c>
    </row>
    <row r="2579" spans="1:4">
      <c r="A2579">
        <v>1.1158969999999999</v>
      </c>
      <c r="B2579">
        <v>2.7962639999999999</v>
      </c>
      <c r="C2579">
        <f>LOG10(1.115897)</f>
        <v>4.7624110017309124E-2</v>
      </c>
      <c r="D2579">
        <f>LOG10(2.796264)</f>
        <v>0.44657817148377449</v>
      </c>
    </row>
    <row r="2580" spans="1:4">
      <c r="A2580">
        <v>1.115264</v>
      </c>
      <c r="B2580">
        <v>2.9091140000000002</v>
      </c>
      <c r="C2580">
        <f>LOG10(1.115264)</f>
        <v>4.7377683681943311E-2</v>
      </c>
      <c r="D2580">
        <f>LOG10(2.909114)</f>
        <v>0.46376074036045001</v>
      </c>
    </row>
    <row r="2581" spans="1:4">
      <c r="A2581">
        <v>1.110134</v>
      </c>
      <c r="B2581">
        <v>3.0409160000000002</v>
      </c>
      <c r="C2581">
        <f>LOG10(1.110134)</f>
        <v>4.5375403965178807E-2</v>
      </c>
      <c r="D2581">
        <f>LOG10(3.040916)</f>
        <v>0.48300442368233226</v>
      </c>
    </row>
    <row r="2582" spans="1:4">
      <c r="A2582">
        <v>1.0917399999999999</v>
      </c>
      <c r="B2582">
        <v>3.0936499999999998</v>
      </c>
      <c r="C2582">
        <f>LOG10(1.09174)</f>
        <v>3.8119222608757594E-2</v>
      </c>
      <c r="D2582">
        <f>LOG10(3.09365)</f>
        <v>0.49047117824933023</v>
      </c>
    </row>
    <row r="2583" spans="1:4">
      <c r="A2583">
        <v>1.1015280000000001</v>
      </c>
      <c r="B2583">
        <v>3.235125</v>
      </c>
      <c r="C2583">
        <f>LOG10(1.101528)</f>
        <v>4.1995541060948868E-2</v>
      </c>
      <c r="D2583">
        <f>LOG10(3.235125)</f>
        <v>0.50989106576559928</v>
      </c>
    </row>
    <row r="2584" spans="1:4">
      <c r="A2584">
        <v>1.1229610000000001</v>
      </c>
      <c r="B2584">
        <v>3.195624</v>
      </c>
      <c r="C2584">
        <f>LOG10(1.122961)</f>
        <v>5.0364673644443608E-2</v>
      </c>
      <c r="D2584">
        <f>LOG10(3.195624)</f>
        <v>0.5045556741677607</v>
      </c>
    </row>
    <row r="2585" spans="1:4">
      <c r="A2585">
        <v>1.1064849999999999</v>
      </c>
      <c r="B2585">
        <v>3.1191420000000001</v>
      </c>
      <c r="C2585">
        <f>LOG10(1.106485)</f>
        <v>4.3945530815120822E-2</v>
      </c>
      <c r="D2585">
        <f>LOG10(3.119142)</f>
        <v>0.49403514661114806</v>
      </c>
    </row>
    <row r="2586" spans="1:4">
      <c r="A2586">
        <v>1.1155520000000001</v>
      </c>
      <c r="B2586">
        <v>3.074681</v>
      </c>
      <c r="C2586">
        <f>LOG10(1.115552)</f>
        <v>4.7489819161949776E-2</v>
      </c>
      <c r="D2586">
        <f>LOG10(3.074681)</f>
        <v>0.48780006413540966</v>
      </c>
    </row>
    <row r="2587" spans="1:4">
      <c r="A2587">
        <v>1.0870379999999999</v>
      </c>
      <c r="B2587">
        <v>3.1588180000000001</v>
      </c>
      <c r="C2587">
        <f>LOG10(1.087038)</f>
        <v>3.6244726148718452E-2</v>
      </c>
      <c r="D2587">
        <f>LOG10(3.158818)</f>
        <v>0.49952460410308747</v>
      </c>
    </row>
    <row r="2588" spans="1:4">
      <c r="A2588">
        <v>1.1372949999999999</v>
      </c>
      <c r="B2588">
        <v>2.965554</v>
      </c>
      <c r="C2588">
        <f>LOG10(1.137295)</f>
        <v>5.587312981946127E-2</v>
      </c>
      <c r="D2588">
        <f>LOG10(2.965554)</f>
        <v>0.47210583654284966</v>
      </c>
    </row>
    <row r="2589" spans="1:4">
      <c r="A2589">
        <v>1.097626</v>
      </c>
      <c r="B2589">
        <v>3.1912250000000002</v>
      </c>
      <c r="C2589">
        <f>LOG10(1.097626)</f>
        <v>4.0454385828777917E-2</v>
      </c>
      <c r="D2589">
        <f>LOG10(3.191225)</f>
        <v>0.5039574255703716</v>
      </c>
    </row>
    <row r="2590" spans="1:4">
      <c r="A2590">
        <v>1.0755159999999999</v>
      </c>
      <c r="B2590">
        <v>3.0172469999999998</v>
      </c>
      <c r="C2590">
        <f>LOG10(1.075516)</f>
        <v>3.1616875588217415E-2</v>
      </c>
      <c r="D2590">
        <f>LOG10(3.017247)</f>
        <v>0.47961086415118132</v>
      </c>
    </row>
    <row r="2591" spans="1:4">
      <c r="A2591">
        <v>1.056006</v>
      </c>
      <c r="B2591">
        <v>3.0810219999999999</v>
      </c>
      <c r="C2591">
        <f>LOG10(1.056006)</f>
        <v>2.3666385773066845E-2</v>
      </c>
      <c r="D2591">
        <f>LOG10(3.081022)</f>
        <v>0.48869479940246158</v>
      </c>
    </row>
    <row r="2592" spans="1:4">
      <c r="A2592">
        <v>1.0580419999999999</v>
      </c>
      <c r="B2592">
        <v>2.854994</v>
      </c>
      <c r="C2592">
        <f>LOG10(1.058042)</f>
        <v>2.4502907780641989E-2</v>
      </c>
      <c r="D2592">
        <f>LOG10(2.854994)</f>
        <v>0.4556051998779686</v>
      </c>
    </row>
    <row r="2593" spans="1:4">
      <c r="A2593">
        <v>1.0472049999999999</v>
      </c>
      <c r="B2593">
        <v>3.0282680000000002</v>
      </c>
      <c r="C2593">
        <f>LOG10(1.047205)</f>
        <v>2.0031707136306635E-2</v>
      </c>
      <c r="D2593">
        <f>LOG10(3.028268)</f>
        <v>0.48119430734412927</v>
      </c>
    </row>
    <row r="2594" spans="1:4">
      <c r="A2594">
        <v>1.059288</v>
      </c>
      <c r="B2594">
        <v>3.134919</v>
      </c>
      <c r="C2594">
        <f>LOG10(1.059288)</f>
        <v>2.5014052464670439E-2</v>
      </c>
      <c r="D2594">
        <f>LOG10(3.134919)</f>
        <v>0.49622632401601985</v>
      </c>
    </row>
    <row r="2595" spans="1:4">
      <c r="A2595">
        <v>1.0592779999999999</v>
      </c>
      <c r="B2595">
        <v>3.0710510000000002</v>
      </c>
      <c r="C2595">
        <f>LOG10(1.059278)</f>
        <v>2.5009952573688432E-2</v>
      </c>
      <c r="D2595">
        <f>LOG10(3.071051)</f>
        <v>0.48728702869792567</v>
      </c>
    </row>
    <row r="2596" spans="1:4">
      <c r="A2596">
        <v>1.053571</v>
      </c>
      <c r="B2596">
        <v>3.0731350000000002</v>
      </c>
      <c r="C2596">
        <f>LOG10(1.053571)</f>
        <v>2.2663807973745728E-2</v>
      </c>
      <c r="D2596">
        <f>LOG10(3.073135)</f>
        <v>0.48758163883342426</v>
      </c>
    </row>
    <row r="2597" spans="1:4">
      <c r="A2597">
        <v>1.0572790000000001</v>
      </c>
      <c r="B2597">
        <v>2.9806279999999998</v>
      </c>
      <c r="C2597">
        <f>LOG10(1.057279)</f>
        <v>2.4189606202240393E-2</v>
      </c>
      <c r="D2597">
        <f>LOG10(2.980628)</f>
        <v>0.47430777689525494</v>
      </c>
    </row>
    <row r="2598" spans="1:4">
      <c r="A2598">
        <v>1.0426219999999999</v>
      </c>
      <c r="B2598">
        <v>3.2448980000000001</v>
      </c>
      <c r="C2598">
        <f>LOG10(1.042622)</f>
        <v>1.8126884582750021E-2</v>
      </c>
      <c r="D2598">
        <f>LOG10(3.244898)</f>
        <v>0.51120104975476144</v>
      </c>
    </row>
    <row r="2599" spans="1:4">
      <c r="A2599">
        <v>1.03461</v>
      </c>
      <c r="B2599">
        <v>3.1370719999999999</v>
      </c>
      <c r="C2599">
        <f>LOG10(1.03461)</f>
        <v>1.4776671757029217E-2</v>
      </c>
      <c r="D2599">
        <f>LOG10(3.137072)</f>
        <v>0.49652448645160518</v>
      </c>
    </row>
    <row r="2600" spans="1:4">
      <c r="A2600">
        <v>1.079132</v>
      </c>
      <c r="B2600">
        <v>3.2176079999999998</v>
      </c>
      <c r="C2600">
        <f>LOG10(1.079132)</f>
        <v>3.3074571064135465E-2</v>
      </c>
      <c r="D2600">
        <f>LOG10(3.217608)</f>
        <v>0.50753313304864378</v>
      </c>
    </row>
    <row r="2601" spans="1:4">
      <c r="A2601">
        <v>1.111016</v>
      </c>
      <c r="B2601">
        <v>3.0200520000000002</v>
      </c>
      <c r="C2601">
        <f>LOG10(1.111016)</f>
        <v>4.5720313361817394E-2</v>
      </c>
      <c r="D2601">
        <f>LOG10(3.020052)</f>
        <v>0.48001442081100343</v>
      </c>
    </row>
    <row r="2602" spans="1:4">
      <c r="A2602">
        <v>1.1109169999999999</v>
      </c>
      <c r="B2602">
        <v>3.1997629999999999</v>
      </c>
      <c r="C2602">
        <f>LOG10(1.110917)</f>
        <v>4.5681612686561297E-2</v>
      </c>
      <c r="D2602">
        <f>LOG10(3.199763)</f>
        <v>0.50511781219367347</v>
      </c>
    </row>
    <row r="2603" spans="1:4">
      <c r="A2603">
        <v>1.1330469999999999</v>
      </c>
      <c r="B2603">
        <v>3.058414</v>
      </c>
      <c r="C2603">
        <f>LOG10(1.133047)</f>
        <v>5.4247925236116649E-2</v>
      </c>
      <c r="D2603">
        <f>LOG10(3.058414)</f>
        <v>0.48549627301412063</v>
      </c>
    </row>
    <row r="2604" spans="1:4">
      <c r="A2604">
        <v>1.124125</v>
      </c>
      <c r="B2604">
        <v>3.1731669999999998</v>
      </c>
      <c r="C2604">
        <f>LOG10(1.124125)</f>
        <v>5.0814606421516119E-2</v>
      </c>
      <c r="D2604">
        <f>LOG10(3.173167)</f>
        <v>0.50149292910322807</v>
      </c>
    </row>
    <row r="2605" spans="1:4">
      <c r="A2605">
        <v>1.1032090000000001</v>
      </c>
      <c r="B2605">
        <v>3.1778089999999999</v>
      </c>
      <c r="C2605">
        <f>LOG10(1.103209)</f>
        <v>4.2657796164886991E-2</v>
      </c>
      <c r="D2605">
        <f>LOG10(3.177809)</f>
        <v>0.50212779068796642</v>
      </c>
    </row>
    <row r="2606" spans="1:4">
      <c r="A2606">
        <v>1.091631</v>
      </c>
      <c r="B2606">
        <v>3.3893840000000002</v>
      </c>
      <c r="C2606">
        <f>LOG10(1.091631)</f>
        <v>3.807586021311641E-2</v>
      </c>
      <c r="D2606">
        <f>LOG10(3.389384)</f>
        <v>0.53012077498481081</v>
      </c>
    </row>
    <row r="2607" spans="1:4">
      <c r="A2607">
        <v>1.130539</v>
      </c>
      <c r="B2607">
        <v>3.284608</v>
      </c>
      <c r="C2607">
        <f>LOG10(1.130539)</f>
        <v>5.3285548718217245E-2</v>
      </c>
      <c r="D2607">
        <f>LOG10(3.284608)</f>
        <v>0.51648354631731752</v>
      </c>
    </row>
    <row r="2608" spans="1:4">
      <c r="A2608">
        <v>1.124309</v>
      </c>
      <c r="B2608">
        <v>3.3556279999999998</v>
      </c>
      <c r="C2608">
        <f>LOG10(1.124309)</f>
        <v>5.0885687169137411E-2</v>
      </c>
      <c r="D2608">
        <f>LOG10(3.355628)</f>
        <v>0.52577380957562758</v>
      </c>
    </row>
    <row r="2609" spans="1:4">
      <c r="A2609">
        <v>1.097286</v>
      </c>
      <c r="B2609">
        <v>3.1154829999999998</v>
      </c>
      <c r="C2609">
        <f>LOG10(1.097286)</f>
        <v>4.031983817946154E-2</v>
      </c>
      <c r="D2609">
        <f>LOG10(3.115483)</f>
        <v>0.49352538581824446</v>
      </c>
    </row>
    <row r="2610" spans="1:4">
      <c r="A2610">
        <v>1.056559</v>
      </c>
      <c r="B2610">
        <v>3.1212040000000001</v>
      </c>
      <c r="C2610">
        <f>LOG10(1.056559)</f>
        <v>2.3893753786811307E-2</v>
      </c>
      <c r="D2610">
        <f>LOG10(3.121204)</f>
        <v>0.49432215481687142</v>
      </c>
    </row>
    <row r="2611" spans="1:4">
      <c r="A2611">
        <v>1.058916</v>
      </c>
      <c r="B2611">
        <v>3.1546690000000002</v>
      </c>
      <c r="C2611">
        <f>LOG10(1.058916)</f>
        <v>2.4861510453675299E-2</v>
      </c>
      <c r="D2611">
        <f>LOG10(3.154669)</f>
        <v>0.49895379812382196</v>
      </c>
    </row>
    <row r="2612" spans="1:4">
      <c r="A2612">
        <v>1.0691740000000001</v>
      </c>
      <c r="B2612">
        <v>3.0324360000000001</v>
      </c>
      <c r="C2612">
        <f>LOG10(1.069174)</f>
        <v>2.9048389110105044E-2</v>
      </c>
      <c r="D2612">
        <f>LOG10(3.032436)</f>
        <v>0.48179164378753164</v>
      </c>
    </row>
    <row r="2613" spans="1:4">
      <c r="A2613">
        <v>1.043981</v>
      </c>
      <c r="B2613">
        <v>3.2126779999999999</v>
      </c>
      <c r="C2613">
        <f>LOG10(1.043981)</f>
        <v>1.8692594767542772E-2</v>
      </c>
      <c r="D2613">
        <f>LOG10(3.212678)</f>
        <v>0.50686719930470336</v>
      </c>
    </row>
    <row r="2614" spans="1:4">
      <c r="A2614">
        <v>1.069272</v>
      </c>
      <c r="B2614">
        <v>3.3012009999999998</v>
      </c>
      <c r="C2614">
        <f>LOG10(1.069272)</f>
        <v>2.9088194519506342E-2</v>
      </c>
      <c r="D2614">
        <f>LOG10(3.301201)</f>
        <v>0.51867196799383808</v>
      </c>
    </row>
    <row r="2615" spans="1:4">
      <c r="A2615">
        <v>1.0664910000000001</v>
      </c>
      <c r="B2615">
        <v>3.1310500000000001</v>
      </c>
      <c r="C2615">
        <f>LOG10(1.066491)</f>
        <v>2.7957194837646904E-2</v>
      </c>
      <c r="D2615">
        <f>LOG10(3.13105)</f>
        <v>0.49569000295728965</v>
      </c>
    </row>
    <row r="2616" spans="1:4">
      <c r="A2616">
        <v>1.0479830000000001</v>
      </c>
      <c r="B2616">
        <v>3.1254949999999999</v>
      </c>
      <c r="C2616">
        <f>LOG10(1.047983)</f>
        <v>2.0354237737331693E-2</v>
      </c>
      <c r="D2616">
        <f>LOG10(3.125495)</f>
        <v>0.49491880847825687</v>
      </c>
    </row>
    <row r="2617" spans="1:4">
      <c r="A2617">
        <v>1.0891630000000001</v>
      </c>
      <c r="B2617">
        <v>3.0428769999999998</v>
      </c>
      <c r="C2617">
        <f>LOG10(1.089163)</f>
        <v>3.7092879483235593E-2</v>
      </c>
      <c r="D2617">
        <f>LOG10(3.042877)</f>
        <v>0.48328439754354252</v>
      </c>
    </row>
    <row r="2618" spans="1:4">
      <c r="A2618">
        <v>1.0632170000000001</v>
      </c>
      <c r="B2618">
        <v>3.1732939999999998</v>
      </c>
      <c r="C2618">
        <f>LOG10(1.063217)</f>
        <v>2.6621912015909459E-2</v>
      </c>
      <c r="D2618">
        <f>LOG10(3.173294)</f>
        <v>0.50151031056959472</v>
      </c>
    </row>
    <row r="2619" spans="1:4">
      <c r="A2619">
        <v>1.1088009999999999</v>
      </c>
      <c r="B2619">
        <v>3.2832650000000001</v>
      </c>
      <c r="C2619">
        <f>LOG10(1.108801)</f>
        <v>4.4853608947282422E-2</v>
      </c>
      <c r="D2619">
        <f>LOG10(3.283265)</f>
        <v>0.5163059370677705</v>
      </c>
    </row>
    <row r="2620" spans="1:4">
      <c r="A2620">
        <v>1.133742</v>
      </c>
      <c r="B2620">
        <v>3.2275239999999998</v>
      </c>
      <c r="C2620">
        <f>LOG10(1.133742)</f>
        <v>5.4514235575879831E-2</v>
      </c>
      <c r="D2620">
        <f>LOG10(3.227524)</f>
        <v>0.50886948038193192</v>
      </c>
    </row>
    <row r="2621" spans="1:4">
      <c r="A2621">
        <v>1.135718</v>
      </c>
      <c r="B2621">
        <v>3.2129089999999998</v>
      </c>
      <c r="C2621">
        <f>LOG10(1.135718)</f>
        <v>5.5270508974045555E-2</v>
      </c>
      <c r="D2621">
        <f>LOG10(3.212909)</f>
        <v>0.50689842509788385</v>
      </c>
    </row>
    <row r="2622" spans="1:4">
      <c r="A2622">
        <v>1.082859</v>
      </c>
      <c r="B2622">
        <v>3.1859980000000001</v>
      </c>
      <c r="C2622">
        <f>LOG10(1.082859)</f>
        <v>3.4571910449382903E-2</v>
      </c>
      <c r="D2622">
        <f>LOG10(3.185998)</f>
        <v>0.50324549883823377</v>
      </c>
    </row>
    <row r="2623" spans="1:4">
      <c r="A2623">
        <v>1.103105</v>
      </c>
      <c r="B2623">
        <v>3.2690290000000002</v>
      </c>
      <c r="C2623">
        <f>LOG10(1.103105)</f>
        <v>4.2616853102248185E-2</v>
      </c>
      <c r="D2623">
        <f>LOG10(3.269029)</f>
        <v>0.51441877328275842</v>
      </c>
    </row>
    <row r="2624" spans="1:4">
      <c r="A2624">
        <v>1.140733</v>
      </c>
      <c r="B2624">
        <v>3.2680039999999999</v>
      </c>
      <c r="C2624">
        <f>LOG10(1.140733)</f>
        <v>5.7184005333188105E-2</v>
      </c>
      <c r="D2624">
        <f>LOG10(3.268004)</f>
        <v>0.51428257943224587</v>
      </c>
    </row>
    <row r="2625" spans="1:4">
      <c r="A2625">
        <v>1.149419</v>
      </c>
      <c r="B2625">
        <v>3.14391</v>
      </c>
      <c r="C2625">
        <f>LOG10(1.149419)</f>
        <v>6.0478371784068188E-2</v>
      </c>
      <c r="D2625">
        <f>LOG10(3.14391)</f>
        <v>0.49747010509547901</v>
      </c>
    </row>
    <row r="2626" spans="1:4">
      <c r="A2626">
        <v>1.129507</v>
      </c>
      <c r="B2626">
        <v>3.1815359999999999</v>
      </c>
      <c r="C2626">
        <f>LOG10(1.129507)</f>
        <v>5.2888926758774997E-2</v>
      </c>
      <c r="D2626">
        <f>LOG10(3.181536)</f>
        <v>0.50263684176771473</v>
      </c>
    </row>
    <row r="2627" spans="1:4">
      <c r="A2627">
        <v>1.153718</v>
      </c>
      <c r="B2627">
        <v>3.0282279999999999</v>
      </c>
      <c r="C2627">
        <f>LOG10(1.153718)</f>
        <v>6.2099668429503499E-2</v>
      </c>
      <c r="D2627">
        <f>LOG10(3.028228)</f>
        <v>0.48118857076665061</v>
      </c>
    </row>
    <row r="2628" spans="1:4">
      <c r="A2628">
        <v>1.1362890000000001</v>
      </c>
      <c r="B2628">
        <v>3.4604469999999998</v>
      </c>
      <c r="C2628">
        <f>LOG10(1.136289)</f>
        <v>5.5488802451475673E-2</v>
      </c>
      <c r="D2628">
        <f>LOG10(3.460447)</f>
        <v>0.53913220199931244</v>
      </c>
    </row>
    <row r="2629" spans="1:4">
      <c r="A2629">
        <v>1.132409</v>
      </c>
      <c r="B2629">
        <v>3.138633</v>
      </c>
      <c r="C2629">
        <f>LOG10(1.132409)</f>
        <v>5.4003312331006734E-2</v>
      </c>
      <c r="D2629">
        <f>LOG10(3.138633)</f>
        <v>0.49674053666436446</v>
      </c>
    </row>
    <row r="2630" spans="1:4">
      <c r="A2630">
        <v>1.125969</v>
      </c>
      <c r="B2630">
        <v>3.3007460000000002</v>
      </c>
      <c r="C2630">
        <f>LOG10(1.125969)</f>
        <v>5.1526433753098594E-2</v>
      </c>
      <c r="D2630">
        <f>LOG10(3.300746)</f>
        <v>0.5186121056563856</v>
      </c>
    </row>
    <row r="2631" spans="1:4">
      <c r="A2631">
        <v>1.1229849999999999</v>
      </c>
      <c r="B2631">
        <v>3.1456469999999999</v>
      </c>
      <c r="C2631">
        <f>LOG10(1.122985)</f>
        <v>5.0373955316902329E-2</v>
      </c>
      <c r="D2631">
        <f>LOG10(3.145647)</f>
        <v>0.49770998511699555</v>
      </c>
    </row>
    <row r="2632" spans="1:4">
      <c r="A2632">
        <v>1.1305019999999999</v>
      </c>
      <c r="B2632">
        <v>3.1481599999999998</v>
      </c>
      <c r="C2632">
        <f>LOG10(1.130502)</f>
        <v>5.327133500353283E-2</v>
      </c>
      <c r="D2632">
        <f>LOG10(3.14816)</f>
        <v>0.49805679654321849</v>
      </c>
    </row>
    <row r="2633" spans="1:4">
      <c r="A2633">
        <v>1.0828519999999999</v>
      </c>
      <c r="B2633">
        <v>2.954021</v>
      </c>
      <c r="C2633">
        <f>LOG10(1.082852)</f>
        <v>3.456910300058353E-2</v>
      </c>
      <c r="D2633">
        <f>LOG10(2.954021)</f>
        <v>0.47041357836648667</v>
      </c>
    </row>
    <row r="2634" spans="1:4">
      <c r="A2634">
        <v>1.0812250000000001</v>
      </c>
      <c r="B2634">
        <v>3.1487560000000001</v>
      </c>
      <c r="C2634">
        <f>LOG10(1.081225)</f>
        <v>3.3916078865871224E-2</v>
      </c>
      <c r="D2634">
        <f>LOG10(3.148756)</f>
        <v>0.4981390080613608</v>
      </c>
    </row>
    <row r="2635" spans="1:4">
      <c r="A2635">
        <v>1.0752360000000001</v>
      </c>
      <c r="B2635">
        <v>3.1466630000000002</v>
      </c>
      <c r="C2635">
        <f>LOG10(1.075236)</f>
        <v>3.1503796576206888E-2</v>
      </c>
      <c r="D2635">
        <f>LOG10(3.146663)</f>
        <v>0.49785023351462643</v>
      </c>
    </row>
    <row r="2636" spans="1:4">
      <c r="A2636">
        <v>1.086406</v>
      </c>
      <c r="B2636">
        <v>3.3967200000000002</v>
      </c>
      <c r="C2636">
        <f>LOG10(1.086406)</f>
        <v>3.599215546339244E-2</v>
      </c>
      <c r="D2636">
        <f>LOG10(3.39672)</f>
        <v>0.5310597483811289</v>
      </c>
    </row>
    <row r="2637" spans="1:4">
      <c r="A2637">
        <v>1.1290089999999999</v>
      </c>
      <c r="B2637">
        <v>2.9209179999999999</v>
      </c>
      <c r="C2637">
        <f>LOG10(1.129009)</f>
        <v>5.2697403957525854E-2</v>
      </c>
      <c r="D2637">
        <f>LOG10(2.920918)</f>
        <v>0.46551936503675145</v>
      </c>
    </row>
    <row r="2638" spans="1:4">
      <c r="A2638">
        <v>1.0149539999999999</v>
      </c>
      <c r="B2638">
        <v>3.3619219999999999</v>
      </c>
      <c r="C2638">
        <f>LOG10(1.014954)</f>
        <v>6.446359491719969E-3</v>
      </c>
      <c r="D2638">
        <f>LOG10(3.361922)</f>
        <v>0.52658763314790424</v>
      </c>
    </row>
    <row r="2639" spans="1:4">
      <c r="A2639">
        <v>1.010591</v>
      </c>
      <c r="B2639">
        <v>3.163014</v>
      </c>
      <c r="C2639">
        <f>LOG10(1.010591)</f>
        <v>4.5754262317766296E-3</v>
      </c>
      <c r="D2639">
        <f>LOG10(3.163014)</f>
        <v>0.50010111417601077</v>
      </c>
    </row>
    <row r="2640" spans="1:4">
      <c r="A2640">
        <v>1.010421</v>
      </c>
      <c r="B2640">
        <v>3.156561</v>
      </c>
      <c r="C2640">
        <f>LOG10(1.010421)</f>
        <v>4.5023637639657671E-3</v>
      </c>
      <c r="D2640">
        <f>LOG10(3.156561)</f>
        <v>0.49921418641085186</v>
      </c>
    </row>
    <row r="2641" spans="1:4">
      <c r="A2641">
        <v>1.0138020000000001</v>
      </c>
      <c r="B2641">
        <v>3.423041</v>
      </c>
      <c r="C2641">
        <f>LOG10(1.013802)</f>
        <v>5.9531436521364448E-3</v>
      </c>
      <c r="D2641">
        <f>LOG10(3.423041)</f>
        <v>0.53441210099797642</v>
      </c>
    </row>
    <row r="2642" spans="1:4">
      <c r="A2642">
        <v>1.0151520000000001</v>
      </c>
      <c r="B2642">
        <v>3.3644310000000002</v>
      </c>
      <c r="C2642">
        <f>LOG10(1.015152)</f>
        <v>6.531074583138413E-3</v>
      </c>
      <c r="D2642">
        <f>LOG10(3.364431)</f>
        <v>0.52691162592842944</v>
      </c>
    </row>
    <row r="2643" spans="1:4">
      <c r="A2643">
        <v>1.0094369999999999</v>
      </c>
      <c r="B2643">
        <v>3.5987650000000002</v>
      </c>
      <c r="C2643">
        <f>LOG10(1.009437)</f>
        <v>4.079219360745491E-3</v>
      </c>
      <c r="D2643">
        <f>LOG10(3.598765)</f>
        <v>0.55615348807124498</v>
      </c>
    </row>
    <row r="2644" spans="1:4">
      <c r="A2644">
        <v>1.015754</v>
      </c>
      <c r="B2644">
        <v>3.5266799999999998</v>
      </c>
      <c r="C2644">
        <f>LOG10(1.015754)</f>
        <v>6.7885412367038713E-3</v>
      </c>
      <c r="D2644">
        <f>LOG10(3.52668)</f>
        <v>0.5473660549215118</v>
      </c>
    </row>
    <row r="2645" spans="1:4">
      <c r="A2645">
        <v>1.0243720000000001</v>
      </c>
      <c r="B2645">
        <v>3.1376300000000001</v>
      </c>
      <c r="C2645">
        <f>LOG10(1.024372)</f>
        <v>1.04576990313738E-2</v>
      </c>
      <c r="D2645">
        <f>LOG10(3.13763)</f>
        <v>0.49660172878806702</v>
      </c>
    </row>
    <row r="2646" spans="1:4">
      <c r="A2646">
        <v>1.0141720000000001</v>
      </c>
      <c r="B2646">
        <v>3.2920029999999998</v>
      </c>
      <c r="C2646">
        <f>LOG10(1.014172)</f>
        <v>6.1116160586733755E-3</v>
      </c>
      <c r="D2646">
        <f>LOG10(3.292003)</f>
        <v>0.51746022231266597</v>
      </c>
    </row>
    <row r="2647" spans="1:4">
      <c r="A2647">
        <v>1.0148950000000001</v>
      </c>
      <c r="B2647">
        <v>3.2145990000000002</v>
      </c>
      <c r="C2647">
        <f>LOG10(1.014895)</f>
        <v>6.4211129098910502E-3</v>
      </c>
      <c r="D2647">
        <f>LOG10(3.214599)</f>
        <v>0.50712680526989784</v>
      </c>
    </row>
    <row r="2648" spans="1:4">
      <c r="A2648">
        <v>1.0141640000000001</v>
      </c>
      <c r="B2648">
        <v>3.0234429999999999</v>
      </c>
      <c r="C2648">
        <f>LOG10(1.014164)</f>
        <v>6.1081902398196471E-3</v>
      </c>
      <c r="D2648">
        <f>LOG10(3.023443)</f>
        <v>0.48050178540473076</v>
      </c>
    </row>
    <row r="2649" spans="1:4">
      <c r="A2649">
        <v>1.01962</v>
      </c>
      <c r="B2649">
        <v>3.5814520000000001</v>
      </c>
      <c r="C2649">
        <f>LOG10(1.01962)</f>
        <v>8.4383456325084275E-3</v>
      </c>
      <c r="D2649">
        <f>LOG10(3.581452)</f>
        <v>0.55405913495162107</v>
      </c>
    </row>
    <row r="2650" spans="1:4">
      <c r="A2650">
        <v>1.0058309999999999</v>
      </c>
      <c r="B2650">
        <v>3.4755069999999999</v>
      </c>
      <c r="C2650">
        <f>LOG10(1.005831)</f>
        <v>2.5250165717129198E-3</v>
      </c>
      <c r="D2650">
        <f>LOG10(3.475507)</f>
        <v>0.54101816755672338</v>
      </c>
    </row>
    <row r="2651" spans="1:4">
      <c r="A2651">
        <v>1.0139100000000001</v>
      </c>
      <c r="B2651">
        <v>3.4678230000000001</v>
      </c>
      <c r="C2651">
        <f>LOG10(1.01391)</f>
        <v>5.9994064390508613E-3</v>
      </c>
      <c r="D2651">
        <f>LOG10(3.467823)</f>
        <v>0.5400569226896933</v>
      </c>
    </row>
    <row r="2652" spans="1:4">
      <c r="A2652">
        <v>1.0119149999999999</v>
      </c>
      <c r="B2652">
        <v>3.5178500000000001</v>
      </c>
      <c r="C2652">
        <f>LOG10(1.011915)</f>
        <v>5.1440336684700086E-3</v>
      </c>
      <c r="D2652">
        <f>LOG10(3.51785)</f>
        <v>0.54627731733829032</v>
      </c>
    </row>
    <row r="2653" spans="1:4">
      <c r="A2653">
        <v>1.0104740000000001</v>
      </c>
      <c r="B2653">
        <v>3.4876559999999999</v>
      </c>
      <c r="C2653">
        <f>LOG10(1.010474)</f>
        <v>4.5251433814581989E-3</v>
      </c>
      <c r="D2653">
        <f>LOG10(3.487656)</f>
        <v>0.5425336423530388</v>
      </c>
    </row>
    <row r="2654" spans="1:4">
      <c r="A2654">
        <v>1.016777</v>
      </c>
      <c r="B2654">
        <v>3.4961329999999999</v>
      </c>
      <c r="C2654">
        <f>LOG10(1.016777)</f>
        <v>7.2257137004969945E-3</v>
      </c>
      <c r="D2654">
        <f>LOG10(3.496133)</f>
        <v>0.54358794572077596</v>
      </c>
    </row>
    <row r="2655" spans="1:4">
      <c r="A2655">
        <v>1.00668</v>
      </c>
      <c r="B2655">
        <v>3.689873</v>
      </c>
      <c r="C2655">
        <f>LOG10(1.00668)</f>
        <v>2.8914404441876236E-3</v>
      </c>
      <c r="D2655">
        <f>LOG10(3.689873)</f>
        <v>0.56701141863917559</v>
      </c>
    </row>
    <row r="2656" spans="1:4">
      <c r="A2656">
        <v>1.0115810000000001</v>
      </c>
      <c r="B2656">
        <v>3.4937969999999998</v>
      </c>
      <c r="C2656">
        <f>LOG10(1.011581)</f>
        <v>5.0006636215087557E-3</v>
      </c>
      <c r="D2656">
        <f>LOG10(3.493797)</f>
        <v>0.54329766757850695</v>
      </c>
    </row>
    <row r="2657" spans="1:4">
      <c r="A2657">
        <v>1.0061290000000001</v>
      </c>
      <c r="B2657">
        <v>3.3164419999999999</v>
      </c>
      <c r="C2657">
        <f>LOG10(1.006129)</f>
        <v>2.6536669987130817E-3</v>
      </c>
      <c r="D2657">
        <f>LOG10(3.316442)</f>
        <v>0.52067240648884705</v>
      </c>
    </row>
    <row r="2658" spans="1:4">
      <c r="A2658">
        <v>1.011306</v>
      </c>
      <c r="B2658">
        <v>3.5189550000000001</v>
      </c>
      <c r="C2658">
        <f>LOG10(1.011306)</f>
        <v>4.8825838837289045E-3</v>
      </c>
      <c r="D2658">
        <f>LOG10(3.518955)</f>
        <v>0.5464137131618062</v>
      </c>
    </row>
    <row r="2659" spans="1:4">
      <c r="A2659">
        <v>1.008561</v>
      </c>
      <c r="B2659">
        <v>3.5377339999999999</v>
      </c>
      <c r="C2659">
        <f>LOG10(1.008561)</f>
        <v>3.7021704339936542E-3</v>
      </c>
      <c r="D2659">
        <f>LOG10(3.537734)</f>
        <v>0.54872517547164013</v>
      </c>
    </row>
    <row r="2660" spans="1:4">
      <c r="A2660">
        <v>1.011296</v>
      </c>
      <c r="B2660">
        <v>3.3136220000000001</v>
      </c>
      <c r="C2660">
        <f>LOG10(1.011296)</f>
        <v>4.8782894700784719E-3</v>
      </c>
      <c r="D2660">
        <f>LOG10(3.313622)</f>
        <v>0.52030296495319328</v>
      </c>
    </row>
    <row r="2661" spans="1:4">
      <c r="A2661">
        <v>1.0075719999999999</v>
      </c>
      <c r="B2661">
        <v>3.5537510000000001</v>
      </c>
      <c r="C2661">
        <f>LOG10(1.007572)</f>
        <v>3.2760901336818114E-3</v>
      </c>
      <c r="D2661">
        <f>LOG10(3.553751)</f>
        <v>0.55068699490586281</v>
      </c>
    </row>
    <row r="2662" spans="1:4">
      <c r="A2662">
        <v>1.009158</v>
      </c>
      <c r="B2662">
        <v>3.396134</v>
      </c>
      <c r="C2662">
        <f>LOG10(1.009158)</f>
        <v>3.9591673827880057E-3</v>
      </c>
      <c r="D2662">
        <f>LOG10(3.396134)</f>
        <v>0.53098481770632655</v>
      </c>
    </row>
    <row r="2663" spans="1:4">
      <c r="A2663">
        <v>1.0083930000000001</v>
      </c>
      <c r="B2663">
        <v>3.2981639999999999</v>
      </c>
      <c r="C2663">
        <f>LOG10(1.008393)</f>
        <v>3.6298222563669407E-3</v>
      </c>
      <c r="D2663">
        <f>LOG10(3.298164)</f>
        <v>0.51827224697987706</v>
      </c>
    </row>
    <row r="2664" spans="1:4">
      <c r="A2664">
        <v>1.0139739999999999</v>
      </c>
      <c r="B2664">
        <v>3.4657619999999998</v>
      </c>
      <c r="C2664">
        <f>LOG10(1.013974)</f>
        <v>6.0268190986023616E-3</v>
      </c>
      <c r="D2664">
        <f>LOG10(3.465762)</f>
        <v>0.53979873563247394</v>
      </c>
    </row>
    <row r="2665" spans="1:4">
      <c r="A2665">
        <v>1.0104329999999999</v>
      </c>
      <c r="B2665">
        <v>3.5340319999999998</v>
      </c>
      <c r="C2665">
        <f>LOG10(1.010433)</f>
        <v>4.5075215178488849E-3</v>
      </c>
      <c r="D2665">
        <f>LOG10(3.534032)</f>
        <v>0.54827047764400538</v>
      </c>
    </row>
    <row r="2666" spans="1:4">
      <c r="A2666">
        <v>1.006656</v>
      </c>
      <c r="B2666">
        <v>3.4335200000000001</v>
      </c>
      <c r="C2666">
        <f>LOG10(1.006656)</f>
        <v>2.8810864172729087E-3</v>
      </c>
      <c r="D2666">
        <f>LOG10(3.43352)</f>
        <v>0.53573958147082146</v>
      </c>
    </row>
    <row r="2667" spans="1:4">
      <c r="A2667">
        <v>1.009436</v>
      </c>
      <c r="B2667">
        <v>3.420296</v>
      </c>
      <c r="C2667">
        <f>LOG10(1.009436)</f>
        <v>4.0787891261721745E-3</v>
      </c>
      <c r="D2667">
        <f>LOG10(3.420296)</f>
        <v>0.53406369249003305</v>
      </c>
    </row>
    <row r="2668" spans="1:4">
      <c r="A2668">
        <v>1.008842</v>
      </c>
      <c r="B2668">
        <v>3.3138380000000001</v>
      </c>
      <c r="C2668">
        <f>LOG10(1.008842)</f>
        <v>3.8231544418532845E-3</v>
      </c>
      <c r="D2668">
        <f>LOG10(3.313838)</f>
        <v>0.52033127371948518</v>
      </c>
    </row>
    <row r="2669" spans="1:4">
      <c r="A2669">
        <v>1.0092890000000001</v>
      </c>
      <c r="B2669">
        <v>3.279874</v>
      </c>
      <c r="C2669">
        <f>LOG10(1.009289)</f>
        <v>4.0155400070969443E-3</v>
      </c>
      <c r="D2669">
        <f>LOG10(3.279874)</f>
        <v>0.51585716012759608</v>
      </c>
    </row>
    <row r="2670" spans="1:4">
      <c r="A2670">
        <v>1.0095400000000001</v>
      </c>
      <c r="B2670">
        <v>3.3718119999999998</v>
      </c>
      <c r="C2670">
        <f>LOG10(1.00954)</f>
        <v>4.1235312391620588E-3</v>
      </c>
      <c r="D2670">
        <f>LOG10(3.371812)</f>
        <v>0.52786335194358969</v>
      </c>
    </row>
    <row r="2671" spans="1:4">
      <c r="A2671">
        <v>1.0085409999999999</v>
      </c>
      <c r="B2671">
        <v>3.3758819999999998</v>
      </c>
      <c r="C2671">
        <f>LOG10(1.008541)</f>
        <v>3.6935581876735312E-3</v>
      </c>
      <c r="D2671">
        <f>LOG10(3.375882)</f>
        <v>0.52838725796413599</v>
      </c>
    </row>
    <row r="2672" spans="1:4">
      <c r="A2672">
        <v>1.0111209999999999</v>
      </c>
      <c r="B2672">
        <v>3.3726069999999999</v>
      </c>
      <c r="C2672">
        <f>LOG10(1.011121)</f>
        <v>4.8031303564804641E-3</v>
      </c>
      <c r="D2672">
        <f>LOG10(3.372607)</f>
        <v>0.52796573707556682</v>
      </c>
    </row>
    <row r="2673" spans="1:4">
      <c r="A2673">
        <v>1.0089090000000001</v>
      </c>
      <c r="B2673">
        <v>3.4376600000000002</v>
      </c>
      <c r="C2673">
        <f>LOG10(1.008909)</f>
        <v>3.8519961872403312E-3</v>
      </c>
      <c r="D2673">
        <f>LOG10(3.43766)</f>
        <v>0.53626292080195548</v>
      </c>
    </row>
    <row r="2674" spans="1:4">
      <c r="A2674">
        <v>1.0055419999999999</v>
      </c>
      <c r="B2674">
        <v>3.4033509999999998</v>
      </c>
      <c r="C2674">
        <f>LOG10(1.005542)</f>
        <v>2.4002151488701656E-3</v>
      </c>
      <c r="D2674">
        <f>LOG10(3.403351)</f>
        <v>0.53190674177937303</v>
      </c>
    </row>
    <row r="2675" spans="1:4">
      <c r="A2675">
        <v>1.012397</v>
      </c>
      <c r="B2675">
        <v>3.2252700000000001</v>
      </c>
      <c r="C2675">
        <f>LOG10(1.012397)</f>
        <v>5.350849558741216E-3</v>
      </c>
      <c r="D2675">
        <f>LOG10(3.22527)</f>
        <v>0.50856607698736411</v>
      </c>
    </row>
    <row r="2676" spans="1:4">
      <c r="A2676">
        <v>1.0127109999999999</v>
      </c>
      <c r="B2676">
        <v>3.3541300000000001</v>
      </c>
      <c r="C2676">
        <f>LOG10(1.012711)</f>
        <v>5.4855272830012817E-3</v>
      </c>
      <c r="D2676">
        <f>LOG10(3.35413)</f>
        <v>0.52557989106330572</v>
      </c>
    </row>
    <row r="2677" spans="1:4">
      <c r="A2677">
        <v>1.0073939999999999</v>
      </c>
      <c r="B2677">
        <v>3.35703</v>
      </c>
      <c r="C2677">
        <f>LOG10(1.007394)</f>
        <v>3.1993598881294078E-3</v>
      </c>
      <c r="D2677">
        <f>LOG10(3.35703)</f>
        <v>0.5259552223252365</v>
      </c>
    </row>
    <row r="2678" spans="1:4">
      <c r="A2678">
        <v>1.0046029999999999</v>
      </c>
      <c r="B2678">
        <v>3.250073</v>
      </c>
      <c r="C2678">
        <f>LOG10(1.004603)</f>
        <v>1.9944707392186393E-3</v>
      </c>
      <c r="D2678">
        <f>LOG10(3.250073)</f>
        <v>0.51189311579152963</v>
      </c>
    </row>
    <row r="2679" spans="1:4">
      <c r="A2679">
        <v>1.0112140000000001</v>
      </c>
      <c r="B2679">
        <v>3.3167900000000001</v>
      </c>
      <c r="C2679">
        <f>LOG10(1.011214)</f>
        <v>4.843073676301885E-3</v>
      </c>
      <c r="D2679">
        <f>LOG10(3.31679)</f>
        <v>0.52071797536985143</v>
      </c>
    </row>
    <row r="2680" spans="1:4">
      <c r="A2680">
        <v>1.0104839999999999</v>
      </c>
      <c r="B2680">
        <v>3.276748</v>
      </c>
      <c r="C2680">
        <f>LOG10(1.010484)</f>
        <v>4.5294412885092117E-3</v>
      </c>
      <c r="D2680">
        <f>LOG10(3.276748)</f>
        <v>0.51544304302482724</v>
      </c>
    </row>
    <row r="2681" spans="1:4">
      <c r="A2681">
        <v>1.008416</v>
      </c>
      <c r="B2681">
        <v>3.1061290000000001</v>
      </c>
      <c r="C2681">
        <f>LOG10(1.008416)</f>
        <v>3.6397277784904116E-3</v>
      </c>
      <c r="D2681">
        <f>LOG10(3.106129)</f>
        <v>0.49221948836124196</v>
      </c>
    </row>
    <row r="2682" spans="1:4">
      <c r="A2682">
        <v>1.007817</v>
      </c>
      <c r="B2682">
        <v>3.1437680000000001</v>
      </c>
      <c r="C2682">
        <f>LOG10(1.007817)</f>
        <v>3.3816798224123286E-3</v>
      </c>
      <c r="D2682">
        <f>LOG10(3.143768)</f>
        <v>0.49745048900940059</v>
      </c>
    </row>
    <row r="2683" spans="1:4">
      <c r="A2683">
        <v>1.0094460000000001</v>
      </c>
      <c r="B2683">
        <v>3.025827</v>
      </c>
      <c r="C2683">
        <f>LOG10(1.009446)</f>
        <v>4.0830914527262745E-3</v>
      </c>
      <c r="D2683">
        <f>LOG10(3.025827)</f>
        <v>0.48084409384804999</v>
      </c>
    </row>
    <row r="2684" spans="1:4">
      <c r="A2684">
        <v>1.0072829999999999</v>
      </c>
      <c r="B2684">
        <v>3.222194</v>
      </c>
      <c r="C2684">
        <f>LOG10(1.007283)</f>
        <v>3.1515043881757908E-3</v>
      </c>
      <c r="D2684">
        <f>LOG10(3.222194)</f>
        <v>0.5081516846223384</v>
      </c>
    </row>
    <row r="2685" spans="1:4">
      <c r="A2685">
        <v>1.010621</v>
      </c>
      <c r="B2685">
        <v>3.2363930000000001</v>
      </c>
      <c r="C2685">
        <f>LOG10(1.010621)</f>
        <v>4.5883183326132001E-3</v>
      </c>
      <c r="D2685">
        <f>LOG10(3.236393)</f>
        <v>0.5100612531652482</v>
      </c>
    </row>
    <row r="2686" spans="1:4">
      <c r="A2686">
        <v>1.009825</v>
      </c>
      <c r="B2686">
        <v>3.3127629999999999</v>
      </c>
      <c r="C2686">
        <f>LOG10(1.009825)</f>
        <v>4.2461182188949682E-3</v>
      </c>
      <c r="D2686">
        <f>LOG10(3.312763)</f>
        <v>0.52019036691910847</v>
      </c>
    </row>
    <row r="2687" spans="1:4">
      <c r="A2687">
        <v>1.0090410000000001</v>
      </c>
      <c r="B2687">
        <v>3.0743469999999999</v>
      </c>
      <c r="C2687">
        <f>LOG10(1.009041)</f>
        <v>3.9088131268998896E-3</v>
      </c>
      <c r="D2687">
        <f>LOG10(3.074347)</f>
        <v>0.4877528845300807</v>
      </c>
    </row>
    <row r="2688" spans="1:4">
      <c r="A2688">
        <v>1.0117929999999999</v>
      </c>
      <c r="B2688">
        <v>3.1303010000000002</v>
      </c>
      <c r="C2688">
        <f>LOG10(1.011793)</f>
        <v>5.0916704551444061E-3</v>
      </c>
      <c r="D2688">
        <f>LOG10(3.130301)</f>
        <v>0.49558609995983843</v>
      </c>
    </row>
    <row r="2689" spans="1:4">
      <c r="A2689">
        <v>1.0046330000000001</v>
      </c>
      <c r="B2689">
        <v>3.0994929999999998</v>
      </c>
      <c r="C2689">
        <f>LOG10(1.004633)</f>
        <v>2.0074396830939739E-3</v>
      </c>
      <c r="D2689">
        <f>LOG10(3.099493)</f>
        <v>0.49129065986332832</v>
      </c>
    </row>
    <row r="2690" spans="1:4">
      <c r="A2690">
        <v>1.0101979999999999</v>
      </c>
      <c r="B2690">
        <v>3.0469490000000001</v>
      </c>
      <c r="C2690">
        <f>LOG10(1.010198)</f>
        <v>4.4065043566676489E-3</v>
      </c>
      <c r="D2690">
        <f>LOG10(3.046949)</f>
        <v>0.48386518503857717</v>
      </c>
    </row>
    <row r="2691" spans="1:4">
      <c r="A2691">
        <v>1.030208</v>
      </c>
      <c r="B2691">
        <v>3.0553210000000002</v>
      </c>
      <c r="C2691">
        <f>LOG10(1.030208)</f>
        <v>1.2924918037634564E-2</v>
      </c>
      <c r="D2691">
        <f>LOG10(3.055321)</f>
        <v>0.48505684508761482</v>
      </c>
    </row>
    <row r="2692" spans="1:4">
      <c r="A2692">
        <v>1.0043230000000001</v>
      </c>
      <c r="B2692">
        <v>3.1335359999999999</v>
      </c>
      <c r="C2692">
        <f>LOG10(1.004323)</f>
        <v>1.8734085838975729E-3</v>
      </c>
      <c r="D2692">
        <f>LOG10(3.133536)</f>
        <v>0.49603468850831728</v>
      </c>
    </row>
    <row r="2693" spans="1:4">
      <c r="A2693">
        <v>1.0039659999999999</v>
      </c>
      <c r="B2693">
        <v>3.0685470000000001</v>
      </c>
      <c r="C2693">
        <f>LOG10(1.003966)</f>
        <v>1.7190053763187422E-3</v>
      </c>
      <c r="D2693">
        <f>LOG10(3.068547)</f>
        <v>0.48693277962722709</v>
      </c>
    </row>
    <row r="2694" spans="1:4">
      <c r="A2694">
        <v>1.0049360000000001</v>
      </c>
      <c r="B2694">
        <v>2.945376</v>
      </c>
      <c r="C2694">
        <f>LOG10(1.004936)</f>
        <v>2.1384043118415977E-3</v>
      </c>
      <c r="D2694">
        <f>LOG10(2.945376)</f>
        <v>0.46914074370778447</v>
      </c>
    </row>
    <row r="2695" spans="1:4">
      <c r="A2695">
        <v>1.0090760000000001</v>
      </c>
      <c r="B2695">
        <v>3.0353729999999999</v>
      </c>
      <c r="C2695">
        <f>LOG10(1.009076)</f>
        <v>3.9238769778739812E-3</v>
      </c>
      <c r="D2695">
        <f>LOG10(3.035373)</f>
        <v>0.48221206670887334</v>
      </c>
    </row>
    <row r="2696" spans="1:4">
      <c r="A2696">
        <v>1.0075499999999999</v>
      </c>
      <c r="B2696">
        <v>3.0437409999999998</v>
      </c>
      <c r="C2696">
        <f>LOG10(1.00755)</f>
        <v>3.2666073543739221E-3</v>
      </c>
      <c r="D2696">
        <f>LOG10(3.043741)</f>
        <v>0.48340769440064274</v>
      </c>
    </row>
    <row r="2697" spans="1:4">
      <c r="A2697">
        <v>1.009401</v>
      </c>
      <c r="B2697">
        <v>3.0854339999999998</v>
      </c>
      <c r="C2697">
        <f>LOG10(1.009401)</f>
        <v>4.0637306475846116E-3</v>
      </c>
      <c r="D2697">
        <f>LOG10(3.085434)</f>
        <v>0.48931626092951047</v>
      </c>
    </row>
    <row r="2698" spans="1:4">
      <c r="A2698">
        <v>1.0064420000000001</v>
      </c>
      <c r="B2698">
        <v>3.1577510000000002</v>
      </c>
      <c r="C2698">
        <f>LOG10(1.006442)</f>
        <v>2.7887520952703496E-3</v>
      </c>
      <c r="D2698">
        <f>LOG10(3.157751)</f>
        <v>0.4993778813437546</v>
      </c>
    </row>
    <row r="2699" spans="1:4">
      <c r="A2699">
        <v>1.0083800000000001</v>
      </c>
      <c r="B2699">
        <v>2.949201</v>
      </c>
      <c r="C2699">
        <f>LOG10(1.00838)</f>
        <v>3.6242233830531484E-3</v>
      </c>
      <c r="D2699">
        <f>LOG10(2.949201)</f>
        <v>0.4697043724894388</v>
      </c>
    </row>
    <row r="2700" spans="1:4">
      <c r="A2700">
        <v>1.0051159999999999</v>
      </c>
      <c r="B2700">
        <v>3.0017399999999999</v>
      </c>
      <c r="C2700">
        <f>LOG10(1.005116)</f>
        <v>2.2161863860879162E-3</v>
      </c>
      <c r="D2700">
        <f>LOG10(3.00174)</f>
        <v>0.47737307249906752</v>
      </c>
    </row>
    <row r="2701" spans="1:4">
      <c r="A2701">
        <v>1.0117050000000001</v>
      </c>
      <c r="B2701">
        <v>2.9874339999999999</v>
      </c>
      <c r="C2701">
        <f>LOG10(1.011705)</f>
        <v>5.053896348689621E-3</v>
      </c>
      <c r="D2701">
        <f>LOG10(2.987434)</f>
        <v>0.47529831939471212</v>
      </c>
    </row>
    <row r="2702" spans="1:4">
      <c r="A2702">
        <v>1.0067710000000001</v>
      </c>
      <c r="B2702">
        <v>3.013223</v>
      </c>
      <c r="C2702">
        <f>LOG10(1.006771)</f>
        <v>2.930697220617875E-3</v>
      </c>
      <c r="D2702">
        <f>LOG10(3.013223)</f>
        <v>0.47903127375290139</v>
      </c>
    </row>
    <row r="2703" spans="1:4">
      <c r="A2703">
        <v>1.007951</v>
      </c>
      <c r="B2703">
        <v>3.0711520000000001</v>
      </c>
      <c r="C2703">
        <f>LOG10(1.007951)</f>
        <v>3.4394200590474899E-3</v>
      </c>
      <c r="D2703">
        <f>LOG10(3.071152)</f>
        <v>0.48730131143741706</v>
      </c>
    </row>
    <row r="2704" spans="1:4">
      <c r="A2704">
        <v>1.0073749999999999</v>
      </c>
      <c r="B2704">
        <v>3.0015160000000001</v>
      </c>
      <c r="C2704">
        <f>LOG10(1.007375)</f>
        <v>3.1911687802094399E-3</v>
      </c>
      <c r="D2704">
        <f>LOG10(3.001516)</f>
        <v>0.4773406627654192</v>
      </c>
    </row>
    <row r="2705" spans="1:4">
      <c r="A2705">
        <v>1.0112380000000001</v>
      </c>
      <c r="B2705">
        <v>3.092854</v>
      </c>
      <c r="C2705">
        <f>LOG10(1.011238)</f>
        <v>4.8533810334764208E-3</v>
      </c>
      <c r="D2705">
        <f>LOG10(3.092854)</f>
        <v>0.49035941935949434</v>
      </c>
    </row>
    <row r="2706" spans="1:4">
      <c r="A2706">
        <v>1.0070410000000001</v>
      </c>
      <c r="B2706">
        <v>3.2105649999999999</v>
      </c>
      <c r="C2706">
        <f>LOG10(1.007041)</f>
        <v>3.0471524913347919E-3</v>
      </c>
      <c r="D2706">
        <f>LOG10(3.210565)</f>
        <v>0.50658146691894013</v>
      </c>
    </row>
    <row r="2707" spans="1:4">
      <c r="A2707">
        <v>1.005452</v>
      </c>
      <c r="B2707">
        <v>2.9585520000000001</v>
      </c>
      <c r="C2707">
        <f>LOG10(1.005452)</f>
        <v>2.3613423293616488E-3</v>
      </c>
      <c r="D2707">
        <f>LOG10(2.958552)</f>
        <v>0.47107920691186245</v>
      </c>
    </row>
    <row r="2708" spans="1:4">
      <c r="A2708">
        <v>1.0069079999999999</v>
      </c>
      <c r="B2708">
        <v>2.897742</v>
      </c>
      <c r="C2708">
        <f>LOG10(1.006908)</f>
        <v>2.9897913901577792E-3</v>
      </c>
      <c r="D2708">
        <f>LOG10(2.897742)</f>
        <v>0.46205971551601505</v>
      </c>
    </row>
    <row r="2709" spans="1:4">
      <c r="A2709">
        <v>1.005571</v>
      </c>
      <c r="B2709">
        <v>2.992937</v>
      </c>
      <c r="C2709">
        <f>LOG10(1.005571)</f>
        <v>2.4127400939887062E-3</v>
      </c>
      <c r="D2709">
        <f>LOG10(2.992937)</f>
        <v>0.47609757522965962</v>
      </c>
    </row>
    <row r="2710" spans="1:4">
      <c r="A2710">
        <v>1.0069159999999999</v>
      </c>
      <c r="B2710">
        <v>2.8855</v>
      </c>
      <c r="C2710">
        <f>LOG10(1.006916)</f>
        <v>2.9932418961158449E-3</v>
      </c>
      <c r="D2710">
        <f>LOG10(2.8855)</f>
        <v>0.46022107864468154</v>
      </c>
    </row>
    <row r="2711" spans="1:4">
      <c r="A2711">
        <v>1.005943</v>
      </c>
      <c r="B2711">
        <v>2.8757790000000001</v>
      </c>
      <c r="C2711">
        <f>LOG10(1.005943)</f>
        <v>2.5733728801486241E-3</v>
      </c>
      <c r="D2711">
        <f>LOG10(2.875779)</f>
        <v>0.45875550800836173</v>
      </c>
    </row>
    <row r="2712" spans="1:4">
      <c r="A2712">
        <v>1.00915</v>
      </c>
      <c r="B2712">
        <v>3.0648499999999999</v>
      </c>
      <c r="C2712">
        <f>LOG10(1.00915)</f>
        <v>3.9557245426910057E-3</v>
      </c>
      <c r="D2712">
        <f>LOG10(3.06485)</f>
        <v>0.48640922411824988</v>
      </c>
    </row>
    <row r="2713" spans="1:4">
      <c r="A2713">
        <v>1.0063789999999999</v>
      </c>
      <c r="B2713">
        <v>2.839982</v>
      </c>
      <c r="C2713">
        <f>LOG10(1.006379)</f>
        <v>2.7615658205157609E-3</v>
      </c>
      <c r="D2713">
        <f>LOG10(2.839982)</f>
        <v>0.45331558746765477</v>
      </c>
    </row>
    <row r="2714" spans="1:4">
      <c r="A2714">
        <v>1.0052570000000001</v>
      </c>
      <c r="B2714">
        <v>2.9728750000000002</v>
      </c>
      <c r="C2714">
        <f>LOG10(1.005257)</f>
        <v>2.2771059488246215E-3</v>
      </c>
      <c r="D2714">
        <f>LOG10(2.972875)</f>
        <v>0.47317664887815797</v>
      </c>
    </row>
    <row r="2715" spans="1:4">
      <c r="A2715">
        <v>1.008103</v>
      </c>
      <c r="B2715">
        <v>3.0050460000000001</v>
      </c>
      <c r="C2715">
        <f>LOG10(1.008103)</f>
        <v>3.5049071554986207E-3</v>
      </c>
      <c r="D2715">
        <f>LOG10(3.005046)</f>
        <v>0.47785112438976091</v>
      </c>
    </row>
    <row r="2716" spans="1:4">
      <c r="A2716">
        <v>1.01393</v>
      </c>
      <c r="B2716">
        <v>2.9918960000000001</v>
      </c>
      <c r="C2716">
        <f>LOG10(1.01393)</f>
        <v>6.0079730810327801E-3</v>
      </c>
      <c r="D2716">
        <f>LOG10(2.991896)</f>
        <v>0.47594649313255827</v>
      </c>
    </row>
    <row r="2717" spans="1:4">
      <c r="A2717">
        <v>1.008237</v>
      </c>
      <c r="B2717">
        <v>3.0778810000000001</v>
      </c>
      <c r="C2717">
        <f>LOG10(1.008237)</f>
        <v>3.5626310122497083E-3</v>
      </c>
      <c r="D2717">
        <f>LOG10(3.077881)</f>
        <v>0.48825182470845385</v>
      </c>
    </row>
    <row r="2718" spans="1:4">
      <c r="A2718">
        <v>1.0076780000000001</v>
      </c>
      <c r="B2718">
        <v>3.0712290000000002</v>
      </c>
      <c r="C2718">
        <f>LOG10(1.007678)</f>
        <v>3.3217769865529385E-3</v>
      </c>
      <c r="D2718">
        <f>LOG10(3.071229)</f>
        <v>0.48731219994306607</v>
      </c>
    </row>
    <row r="2719" spans="1:4">
      <c r="A2719">
        <v>1.009898</v>
      </c>
      <c r="B2719">
        <v>2.9577819999999999</v>
      </c>
      <c r="C2719">
        <f>LOG10(1.009898)</f>
        <v>4.2775121250818449E-3</v>
      </c>
      <c r="D2719">
        <f>LOG10(2.957782)</f>
        <v>0.47096616165344612</v>
      </c>
    </row>
    <row r="2720" spans="1:4">
      <c r="A2720">
        <v>1.0121070000000001</v>
      </c>
      <c r="B2720">
        <v>2.9966029999999999</v>
      </c>
      <c r="C2720">
        <f>LOG10(1.012107)</f>
        <v>5.2264285641535737E-3</v>
      </c>
      <c r="D2720">
        <f>LOG10(2.996603)</f>
        <v>0.47662920996938063</v>
      </c>
    </row>
    <row r="2721" spans="1:4">
      <c r="A2721">
        <v>1.0048239999999999</v>
      </c>
      <c r="B2721">
        <v>3.0733820000000001</v>
      </c>
      <c r="C2721">
        <f>LOG10(1.004824)</f>
        <v>2.0899995450798289E-3</v>
      </c>
      <c r="D2721">
        <f>LOG10(3.073382)</f>
        <v>0.48761654339387295</v>
      </c>
    </row>
    <row r="2722" spans="1:4">
      <c r="A2722">
        <v>1.0108619999999999</v>
      </c>
      <c r="B2722">
        <v>3.2141090000000001</v>
      </c>
      <c r="C2722">
        <f>LOG10(1.010862)</f>
        <v>4.6918709923531362E-3</v>
      </c>
      <c r="D2722">
        <f>LOG10(3.214109)</f>
        <v>0.50706060089522575</v>
      </c>
    </row>
    <row r="2723" spans="1:4">
      <c r="A2723">
        <v>1.0122260000000001</v>
      </c>
      <c r="B2723">
        <v>2.812173</v>
      </c>
      <c r="C2723">
        <f>LOG10(1.012226)</f>
        <v>5.2774883882101978E-3</v>
      </c>
      <c r="D2723">
        <f>LOG10(2.812173)</f>
        <v>0.44904203421204586</v>
      </c>
    </row>
    <row r="2724" spans="1:4">
      <c r="A2724">
        <v>1.0123329999999999</v>
      </c>
      <c r="B2724">
        <v>2.9856159999999998</v>
      </c>
      <c r="C2724">
        <f>LOG10(1.012333)</f>
        <v>5.3233941974327025E-3</v>
      </c>
      <c r="D2724">
        <f>LOG10(2.985616)</f>
        <v>0.4750339494689686</v>
      </c>
    </row>
    <row r="2725" spans="1:4">
      <c r="A2725">
        <v>1.0069619999999999</v>
      </c>
      <c r="B2725">
        <v>3.1145209999999999</v>
      </c>
      <c r="C2725">
        <f>LOG10(1.006962)</f>
        <v>3.0130817733785391E-3</v>
      </c>
      <c r="D2725">
        <f>LOG10(3.114521)</f>
        <v>0.49339126349828721</v>
      </c>
    </row>
    <row r="2726" spans="1:4">
      <c r="A2726">
        <v>1.0069170000000001</v>
      </c>
      <c r="B2726">
        <v>3.2919890000000001</v>
      </c>
      <c r="C2726">
        <f>LOG10(1.006917)</f>
        <v>2.9936732074330834E-3</v>
      </c>
      <c r="D2726">
        <f>LOG10(3.291989)</f>
        <v>0.51745837537155592</v>
      </c>
    </row>
    <row r="2727" spans="1:4">
      <c r="A2727">
        <v>1.01146</v>
      </c>
      <c r="B2727">
        <v>3.209514</v>
      </c>
      <c r="C2727">
        <f>LOG10(1.01146)</f>
        <v>4.9487124921218841E-3</v>
      </c>
      <c r="D2727">
        <f>LOG10(3.209514)</f>
        <v>0.50643927443048076</v>
      </c>
    </row>
    <row r="2728" spans="1:4">
      <c r="A2728">
        <v>1.0118529999999999</v>
      </c>
      <c r="B2728">
        <v>3.2673969999999999</v>
      </c>
      <c r="C2728">
        <f>LOG10(1.011853)</f>
        <v>5.1174236441130384E-3</v>
      </c>
      <c r="D2728">
        <f>LOG10(3.267397)</f>
        <v>0.5142019059582621</v>
      </c>
    </row>
    <row r="2729" spans="1:4">
      <c r="A2729">
        <v>1.005941</v>
      </c>
      <c r="B2729">
        <v>3.2092000000000001</v>
      </c>
      <c r="C2729">
        <f>LOG10(1.005941)</f>
        <v>2.5725094218539794E-3</v>
      </c>
      <c r="D2729">
        <f>LOG10(3.2092)</f>
        <v>0.50639678353045736</v>
      </c>
    </row>
    <row r="2730" spans="1:4">
      <c r="A2730">
        <v>1.0067550000000001</v>
      </c>
      <c r="B2730">
        <v>3.1494219999999999</v>
      </c>
      <c r="C2730">
        <f>LOG10(1.006755)</f>
        <v>2.9237951873582048E-3</v>
      </c>
      <c r="D2730">
        <f>LOG10(3.149422)</f>
        <v>0.49823085688685465</v>
      </c>
    </row>
    <row r="2731" spans="1:4">
      <c r="A2731">
        <v>1.0091680000000001</v>
      </c>
      <c r="B2731">
        <v>3.1858520000000001</v>
      </c>
      <c r="C2731">
        <f>LOG10(1.009168)</f>
        <v>3.9634708945290196E-3</v>
      </c>
      <c r="D2731">
        <f>LOG10(3.185852)</f>
        <v>0.50322559661380317</v>
      </c>
    </row>
    <row r="2732" spans="1:4">
      <c r="A2732">
        <v>1.006135</v>
      </c>
      <c r="B2732">
        <v>2.975298</v>
      </c>
      <c r="C2732">
        <f>LOG10(1.006135)</f>
        <v>2.6562568844253E-3</v>
      </c>
      <c r="D2732">
        <f>LOG10(2.975298)</f>
        <v>0.47353047032479578</v>
      </c>
    </row>
    <row r="2733" spans="1:4">
      <c r="A2733">
        <v>1.0067379999999999</v>
      </c>
      <c r="B2733">
        <v>3.232694</v>
      </c>
      <c r="C2733">
        <f>LOG10(1.006738)</f>
        <v>2.9164616568293196E-3</v>
      </c>
      <c r="D2733">
        <f>LOG10(3.232694)</f>
        <v>0.5095645971568693</v>
      </c>
    </row>
    <row r="2734" spans="1:4">
      <c r="A2734">
        <v>1.009765</v>
      </c>
      <c r="B2734">
        <v>3.0552519999999999</v>
      </c>
      <c r="C2734">
        <f>LOG10(1.009765)</f>
        <v>4.2203133090649141E-3</v>
      </c>
      <c r="D2734">
        <f>LOG10(3.055252)</f>
        <v>0.48504703706494567</v>
      </c>
    </row>
    <row r="2735" spans="1:4">
      <c r="A2735">
        <v>1.0072080000000001</v>
      </c>
      <c r="B2735">
        <v>3.176409</v>
      </c>
      <c r="C2735">
        <f>LOG10(1.007208)</f>
        <v>3.1191666054230086E-3</v>
      </c>
      <c r="D2735">
        <f>LOG10(3.176409)</f>
        <v>0.50193641787560694</v>
      </c>
    </row>
    <row r="2736" spans="1:4">
      <c r="A2736">
        <v>1.0050110000000001</v>
      </c>
      <c r="B2736">
        <v>2.9863840000000001</v>
      </c>
      <c r="C2736">
        <f>LOG10(1.005011)</f>
        <v>2.1708152024351129E-3</v>
      </c>
      <c r="D2736">
        <f>LOG10(2.986384)</f>
        <v>0.4751456501266848</v>
      </c>
    </row>
    <row r="2737" spans="1:4">
      <c r="A2737">
        <v>1.0040629999999999</v>
      </c>
      <c r="B2737">
        <v>3.126125</v>
      </c>
      <c r="C2737">
        <f>LOG10(1.004063)</f>
        <v>1.7609635002077781E-3</v>
      </c>
      <c r="D2737">
        <f>LOG10(3.126125)</f>
        <v>0.49500633955804912</v>
      </c>
    </row>
    <row r="2738" spans="1:4">
      <c r="A2738">
        <v>1.006122</v>
      </c>
      <c r="B2738">
        <v>3.1153089999999999</v>
      </c>
      <c r="C2738">
        <f>LOG10(1.006122)</f>
        <v>2.6506454458616983E-3</v>
      </c>
      <c r="D2738">
        <f>LOG10(3.115309)</f>
        <v>0.49350112975581428</v>
      </c>
    </row>
    <row r="2739" spans="1:4">
      <c r="A2739">
        <v>1.006955</v>
      </c>
      <c r="B2739">
        <v>3.2121960000000001</v>
      </c>
      <c r="C2739">
        <f>LOG10(1.006955)</f>
        <v>3.0100627200875863E-3</v>
      </c>
      <c r="D2739">
        <f>LOG10(3.212196)</f>
        <v>0.50680203695578574</v>
      </c>
    </row>
    <row r="2740" spans="1:4">
      <c r="A2740">
        <v>1.007836</v>
      </c>
      <c r="B2740">
        <v>3.1487720000000001</v>
      </c>
      <c r="C2740">
        <f>LOG10(1.007836)</f>
        <v>3.389867337978155E-3</v>
      </c>
      <c r="D2740">
        <f>LOG10(3.148772)</f>
        <v>0.49814121486749507</v>
      </c>
    </row>
    <row r="2741" spans="1:4">
      <c r="A2741">
        <v>1.0055909999999999</v>
      </c>
      <c r="B2741">
        <v>3.1184080000000001</v>
      </c>
      <c r="C2741">
        <f>LOG10(1.005591)</f>
        <v>2.4213777767196965E-3</v>
      </c>
      <c r="D2741">
        <f>LOG10(3.118408)</f>
        <v>0.49393293591906912</v>
      </c>
    </row>
    <row r="2742" spans="1:4">
      <c r="A2742">
        <v>1.0043120000000001</v>
      </c>
      <c r="B2742">
        <v>3.3255219999999999</v>
      </c>
      <c r="C2742">
        <f>LOG10(1.004312)</f>
        <v>1.8686518816585136E-3</v>
      </c>
      <c r="D2742">
        <f>LOG10(3.325522)</f>
        <v>0.52185982525602048</v>
      </c>
    </row>
    <row r="2743" spans="1:4">
      <c r="A2743">
        <v>1.005404</v>
      </c>
      <c r="B2743">
        <v>3.2052879999999999</v>
      </c>
      <c r="C2743">
        <f>LOG10(1.005404)</f>
        <v>2.3406087361701557E-3</v>
      </c>
      <c r="D2743">
        <f>LOG10(3.205288)</f>
        <v>0.50586705762751927</v>
      </c>
    </row>
    <row r="2744" spans="1:4">
      <c r="A2744">
        <v>1.004497</v>
      </c>
      <c r="B2744">
        <v>3.065553</v>
      </c>
      <c r="C2744">
        <f>LOG10(1.004497)</f>
        <v>1.9486440355956905E-3</v>
      </c>
      <c r="D2744">
        <f>LOG10(3.065553)</f>
        <v>0.48650882899646636</v>
      </c>
    </row>
    <row r="2745" spans="1:4">
      <c r="A2745">
        <v>1.010119</v>
      </c>
      <c r="B2745">
        <v>3.1466440000000002</v>
      </c>
      <c r="C2745">
        <f>LOG10(1.010119)</f>
        <v>4.3725401182953365E-3</v>
      </c>
      <c r="D2745">
        <f>LOG10(3.146644)</f>
        <v>0.49784761117468462</v>
      </c>
    </row>
    <row r="2746" spans="1:4">
      <c r="A2746">
        <v>1.0099009999999999</v>
      </c>
      <c r="B2746">
        <v>3.2876889999999999</v>
      </c>
      <c r="C2746">
        <f>LOG10(1.009901)</f>
        <v>4.2788022370639778E-3</v>
      </c>
      <c r="D2746">
        <f>LOG10(3.287689)</f>
        <v>0.51689072858457097</v>
      </c>
    </row>
    <row r="2747" spans="1:4">
      <c r="A2747">
        <v>1.0122789999999999</v>
      </c>
      <c r="B2747">
        <v>3.1469490000000002</v>
      </c>
      <c r="C2747">
        <f>LOG10(1.012279)</f>
        <v>5.3002273861835984E-3</v>
      </c>
      <c r="D2747">
        <f>LOG10(3.146949)</f>
        <v>0.49788970471873306</v>
      </c>
    </row>
    <row r="2748" spans="1:4">
      <c r="A2748">
        <v>1.0074730000000001</v>
      </c>
      <c r="B2748">
        <v>3.2067100000000002</v>
      </c>
      <c r="C2748">
        <f>LOG10(1.007473)</f>
        <v>3.2334159961385305E-3</v>
      </c>
      <c r="D2748">
        <f>LOG10(3.20671)</f>
        <v>0.50605968612284657</v>
      </c>
    </row>
    <row r="2749" spans="1:4">
      <c r="A2749">
        <v>1.0086759999999999</v>
      </c>
      <c r="B2749">
        <v>3.3467500000000001</v>
      </c>
      <c r="C2749">
        <f>LOG10(1.008676)</f>
        <v>3.7516875363201745E-3</v>
      </c>
      <c r="D2749">
        <f>LOG10(3.34675)</f>
        <v>0.52462327206032766</v>
      </c>
    </row>
    <row r="2750" spans="1:4">
      <c r="A2750">
        <v>1.0064</v>
      </c>
      <c r="B2750">
        <v>3.4183430000000001</v>
      </c>
      <c r="C2750">
        <f>LOG10(1.0064)</f>
        <v>2.7706281011936895E-3</v>
      </c>
      <c r="D2750">
        <f>LOG10(3.418343)</f>
        <v>0.5338156381195025</v>
      </c>
    </row>
    <row r="2751" spans="1:4">
      <c r="A2751">
        <v>1.008926</v>
      </c>
      <c r="B2751">
        <v>3.5192420000000002</v>
      </c>
      <c r="C2751">
        <f>LOG10(1.008926)</f>
        <v>3.8593139373958208E-3</v>
      </c>
      <c r="D2751">
        <f>LOG10(3.519242)</f>
        <v>0.54644913203865075</v>
      </c>
    </row>
    <row r="2752" spans="1:4">
      <c r="A2752">
        <v>1.0071490000000001</v>
      </c>
      <c r="B2752">
        <v>3.3861189999999999</v>
      </c>
      <c r="C2752">
        <f>LOG10(1.007149)</f>
        <v>3.0937258573931086E-3</v>
      </c>
      <c r="D2752">
        <f>LOG10(3.386119)</f>
        <v>0.52970221665986561</v>
      </c>
    </row>
    <row r="2753" spans="1:4">
      <c r="A2753">
        <v>1.008669</v>
      </c>
      <c r="B2753">
        <v>3.2655280000000002</v>
      </c>
      <c r="C2753">
        <f>LOG10(1.008669)</f>
        <v>3.7486736131951979E-3</v>
      </c>
      <c r="D2753">
        <f>LOG10(3.265528)</f>
        <v>0.51395341193488908</v>
      </c>
    </row>
    <row r="2754" spans="1:4">
      <c r="A2754">
        <v>1.006704</v>
      </c>
      <c r="B2754">
        <v>3.3454290000000002</v>
      </c>
      <c r="C2754">
        <f>LOG10(1.006704)</f>
        <v>2.9017942242575779E-3</v>
      </c>
      <c r="D2754">
        <f>LOG10(3.345429)</f>
        <v>0.52445181728661483</v>
      </c>
    </row>
    <row r="2755" spans="1:4">
      <c r="A2755">
        <v>1.004759</v>
      </c>
      <c r="B2755">
        <v>3.4269790000000002</v>
      </c>
      <c r="C2755">
        <f>LOG10(1.004759)</f>
        <v>2.061905018669576E-3</v>
      </c>
      <c r="D2755">
        <f>LOG10(3.426979)</f>
        <v>0.534911443148261</v>
      </c>
    </row>
    <row r="2756" spans="1:4">
      <c r="A2756">
        <v>1.0051890000000001</v>
      </c>
      <c r="B2756">
        <v>3.2951969999999999</v>
      </c>
      <c r="C2756">
        <f>LOG10(1.005189)</f>
        <v>2.2477273683696735E-3</v>
      </c>
      <c r="D2756">
        <f>LOG10(3.295197)</f>
        <v>0.51788138355990554</v>
      </c>
    </row>
    <row r="2757" spans="1:4">
      <c r="A2757">
        <v>1.0035989999999999</v>
      </c>
      <c r="B2757">
        <v>3.4642460000000002</v>
      </c>
      <c r="C2757">
        <f>LOG10(1.003599)</f>
        <v>1.5602199057272528E-3</v>
      </c>
      <c r="D2757">
        <f>LOG10(3.464246)</f>
        <v>0.53960872417936523</v>
      </c>
    </row>
    <row r="2758" spans="1:4">
      <c r="A2758">
        <v>1.014508</v>
      </c>
      <c r="B2758">
        <v>3.5646900000000001</v>
      </c>
      <c r="C2758">
        <f>LOG10(1.014508)</f>
        <v>6.2554760535998757E-3</v>
      </c>
      <c r="D2758">
        <f>LOG10(3.56469)</f>
        <v>0.55202176780828727</v>
      </c>
    </row>
    <row r="2759" spans="1:4">
      <c r="A2759">
        <v>1.0069889999999999</v>
      </c>
      <c r="B2759">
        <v>3.4273199999999999</v>
      </c>
      <c r="C2759">
        <f>LOG10(1.006989)</f>
        <v>3.024726496623633E-3</v>
      </c>
      <c r="D2759">
        <f>LOG10(3.42732)</f>
        <v>0.53495465527497188</v>
      </c>
    </row>
    <row r="2760" spans="1:4">
      <c r="A2760">
        <v>1.0049600000000001</v>
      </c>
      <c r="B2760">
        <v>3.3803700000000001</v>
      </c>
      <c r="C2760">
        <f>LOG10(1.00496)</f>
        <v>2.1487760599979045E-3</v>
      </c>
      <c r="D2760">
        <f>LOG10(3.38037)</f>
        <v>0.52896423878766663</v>
      </c>
    </row>
    <row r="2761" spans="1:4">
      <c r="A2761">
        <v>1.008813</v>
      </c>
      <c r="B2761">
        <v>3.3432620000000002</v>
      </c>
      <c r="C2761">
        <f>LOG10(1.008813)</f>
        <v>3.8106701073401133E-3</v>
      </c>
      <c r="D2761">
        <f>LOG10(3.343262)</f>
        <v>0.52417041209830162</v>
      </c>
    </row>
    <row r="2762" spans="1:4">
      <c r="A2762">
        <v>1.007349</v>
      </c>
      <c r="B2762">
        <v>3.4483730000000001</v>
      </c>
      <c r="C2762">
        <f>LOG10(1.007349)</f>
        <v>3.1799596453303694E-3</v>
      </c>
      <c r="D2762">
        <f>LOG10(3.448373)</f>
        <v>0.53761423600428537</v>
      </c>
    </row>
    <row r="2763" spans="1:4">
      <c r="A2763">
        <v>1.0071650000000001</v>
      </c>
      <c r="B2763">
        <v>3.576279</v>
      </c>
      <c r="C2763">
        <f>LOG10(1.007165)</f>
        <v>3.1006251905761227E-3</v>
      </c>
      <c r="D2763">
        <f>LOG10(3.576279)</f>
        <v>0.55343139251591555</v>
      </c>
    </row>
    <row r="2764" spans="1:4">
      <c r="A2764">
        <v>1.0062789999999999</v>
      </c>
      <c r="B2764">
        <v>3.417268</v>
      </c>
      <c r="C2764">
        <f>LOG10(1.006279)</f>
        <v>2.7184095085878942E-3</v>
      </c>
      <c r="D2764">
        <f>LOG10(3.417268)</f>
        <v>0.5336790397753618</v>
      </c>
    </row>
    <row r="2765" spans="1:4">
      <c r="A2765">
        <v>1.006753</v>
      </c>
      <c r="B2765">
        <v>3.5436719999999999</v>
      </c>
      <c r="C2765">
        <f>LOG10(1.006753)</f>
        <v>2.9229324254880442E-3</v>
      </c>
      <c r="D2765">
        <f>LOG10(3.543672)</f>
        <v>0.54945351705746914</v>
      </c>
    </row>
    <row r="2766" spans="1:4">
      <c r="A2766">
        <v>1.0084219999999999</v>
      </c>
      <c r="B2766">
        <v>3.4347699999999999</v>
      </c>
      <c r="C2766">
        <f>LOG10(1.008422)</f>
        <v>3.6423117905840011E-3</v>
      </c>
      <c r="D2766">
        <f>LOG10(3.43477)</f>
        <v>0.53589766102435588</v>
      </c>
    </row>
    <row r="2767" spans="1:4">
      <c r="A2767">
        <v>1.0081370000000001</v>
      </c>
      <c r="B2767">
        <v>3.7446809999999999</v>
      </c>
      <c r="C2767">
        <f>LOG10(1.008137)</f>
        <v>3.5195542336105014E-3</v>
      </c>
      <c r="D2767">
        <f>LOG10(3.744681)</f>
        <v>0.57341482715150804</v>
      </c>
    </row>
    <row r="2768" spans="1:4">
      <c r="A2768">
        <v>1.0066459999999999</v>
      </c>
      <c r="B2768">
        <v>3.6222690000000002</v>
      </c>
      <c r="C2768">
        <f>LOG10(1.006646)</f>
        <v>2.8767721665354669E-3</v>
      </c>
      <c r="D2768">
        <f>LOG10(3.622269)</f>
        <v>0.55898069911929804</v>
      </c>
    </row>
    <row r="2769" spans="1:4">
      <c r="A2769">
        <v>1.011647</v>
      </c>
      <c r="B2769">
        <v>3.4209130000000001</v>
      </c>
      <c r="C2769">
        <f>LOG10(1.011647)</f>
        <v>5.0289979820610396E-3</v>
      </c>
      <c r="D2769">
        <f>LOG10(3.420913)</f>
        <v>0.53414202943195688</v>
      </c>
    </row>
    <row r="2770" spans="1:4">
      <c r="A2770">
        <v>1.0074860000000001</v>
      </c>
      <c r="B2770">
        <v>3.520025</v>
      </c>
      <c r="C2770">
        <f>LOG10(1.007486)</f>
        <v>3.2390199099301643E-3</v>
      </c>
      <c r="D2770">
        <f>LOG10(3.520025)</f>
        <v>0.54654574794503208</v>
      </c>
    </row>
    <row r="2771" spans="1:4">
      <c r="A2771">
        <v>1.014783</v>
      </c>
      <c r="B2771">
        <v>3.309825</v>
      </c>
      <c r="C2771">
        <f>LOG10(1.014783)</f>
        <v>6.3731831574647211E-3</v>
      </c>
      <c r="D2771">
        <f>LOG10(3.309825)</f>
        <v>0.51980503198009698</v>
      </c>
    </row>
    <row r="2772" spans="1:4">
      <c r="A2772">
        <v>1.0074700000000001</v>
      </c>
      <c r="B2772">
        <v>3.6965340000000002</v>
      </c>
      <c r="C2772">
        <f>LOG10(1.00747)</f>
        <v>3.2321227749946076E-3</v>
      </c>
      <c r="D2772">
        <f>LOG10(3.696534)</f>
        <v>0.56779470510799235</v>
      </c>
    </row>
    <row r="2773" spans="1:4">
      <c r="A2773">
        <v>1.010138</v>
      </c>
      <c r="B2773">
        <v>3.4897079999999998</v>
      </c>
      <c r="C2773">
        <f>LOG10(1.010138)</f>
        <v>4.3807089751847338E-3</v>
      </c>
      <c r="D2773">
        <f>LOG10(3.489708)</f>
        <v>0.54278908905255407</v>
      </c>
    </row>
    <row r="2774" spans="1:4">
      <c r="A2774">
        <v>1.0078389999999999</v>
      </c>
      <c r="B2774">
        <v>3.6854710000000002</v>
      </c>
      <c r="C2774">
        <f>LOG10(1.007839)</f>
        <v>3.3911600894839288E-3</v>
      </c>
      <c r="D2774">
        <f>LOG10(3.685471)</f>
        <v>0.56649299820038657</v>
      </c>
    </row>
    <row r="2775" spans="1:4">
      <c r="A2775">
        <v>1.00705</v>
      </c>
      <c r="B2775">
        <v>3.4178799999999998</v>
      </c>
      <c r="C2775">
        <f>LOG10(1.00705)</f>
        <v>3.051033795940317E-3</v>
      </c>
      <c r="D2775">
        <f>LOG10(3.41788)</f>
        <v>0.53375681079762349</v>
      </c>
    </row>
    <row r="2776" spans="1:4">
      <c r="A2776">
        <v>1.0061100000000001</v>
      </c>
      <c r="B2776">
        <v>3.4837509999999998</v>
      </c>
      <c r="C2776">
        <f>LOG10(1.00611)</f>
        <v>2.6454655920646634E-3</v>
      </c>
      <c r="D2776">
        <f>LOG10(3.483751)</f>
        <v>0.54204710638427256</v>
      </c>
    </row>
    <row r="2777" spans="1:4">
      <c r="A2777">
        <v>1.0099009999999999</v>
      </c>
      <c r="B2777">
        <v>3.2487180000000002</v>
      </c>
      <c r="C2777">
        <f>LOG10(1.009901)</f>
        <v>4.2788022370639778E-3</v>
      </c>
      <c r="D2777">
        <f>LOG10(3.248718)</f>
        <v>0.51171201471241934</v>
      </c>
    </row>
    <row r="2778" spans="1:4">
      <c r="A2778">
        <v>1.005873</v>
      </c>
      <c r="B2778">
        <v>3.381497</v>
      </c>
      <c r="C2778">
        <f>LOG10(1.005873)</f>
        <v>2.5431508183442622E-3</v>
      </c>
      <c r="D2778">
        <f>LOG10(3.381497)</f>
        <v>0.52910900646370551</v>
      </c>
    </row>
    <row r="2779" spans="1:4">
      <c r="A2779">
        <v>1.005593</v>
      </c>
      <c r="B2779">
        <v>3.3327420000000001</v>
      </c>
      <c r="C2779">
        <f>LOG10(1.005593)</f>
        <v>2.4222415355441818E-3</v>
      </c>
      <c r="D2779">
        <f>LOG10(3.332742)</f>
        <v>0.52280169460465087</v>
      </c>
    </row>
    <row r="2780" spans="1:4">
      <c r="A2780">
        <v>1.00498</v>
      </c>
      <c r="B2780">
        <v>3.6876120000000001</v>
      </c>
      <c r="C2780">
        <f>LOG10(1.00498)</f>
        <v>2.1574189942529689E-3</v>
      </c>
      <c r="D2780">
        <f>LOG10(3.687612)</f>
        <v>0.56674521956067492</v>
      </c>
    </row>
    <row r="2781" spans="1:4">
      <c r="A2781">
        <v>1.1176740000000001</v>
      </c>
      <c r="B2781">
        <v>3.37554</v>
      </c>
      <c r="C2781">
        <f>LOG10(1.117674)</f>
        <v>4.8315148231155E-2</v>
      </c>
      <c r="D2781">
        <f>LOG10(3.37554)</f>
        <v>0.52834325872577181</v>
      </c>
    </row>
    <row r="2782" spans="1:4">
      <c r="A2782">
        <v>1.1199429999999999</v>
      </c>
      <c r="B2782">
        <v>3.1196999999999999</v>
      </c>
      <c r="C2782">
        <f>LOG10(1.119943)</f>
        <v>4.9195919620707705E-2</v>
      </c>
      <c r="D2782">
        <f>LOG10(3.1197)</f>
        <v>0.49411283292586738</v>
      </c>
    </row>
    <row r="2783" spans="1:4">
      <c r="A2783">
        <v>1.118781</v>
      </c>
      <c r="B2783">
        <v>3.21502</v>
      </c>
      <c r="C2783">
        <f>LOG10(1.118781)</f>
        <v>4.8745082238975487E-2</v>
      </c>
      <c r="D2783">
        <f>LOG10(3.21502)</f>
        <v>0.50718367892824134</v>
      </c>
    </row>
    <row r="2784" spans="1:4">
      <c r="A2784">
        <v>1.0878909999999999</v>
      </c>
      <c r="B2784">
        <v>3.323585</v>
      </c>
      <c r="C2784">
        <f>LOG10(1.087891)</f>
        <v>3.6585383900817607E-2</v>
      </c>
      <c r="D2784">
        <f>LOG10(3.323585)</f>
        <v>0.52160679024387724</v>
      </c>
    </row>
    <row r="2785" spans="1:4">
      <c r="A2785">
        <v>1.064684</v>
      </c>
      <c r="B2785">
        <v>3.0799530000000002</v>
      </c>
      <c r="C2785">
        <f>LOG10(1.064684)</f>
        <v>2.7220727567844525E-2</v>
      </c>
      <c r="D2785">
        <f>LOG10(3.079953)</f>
        <v>0.48854408922888887</v>
      </c>
    </row>
    <row r="2786" spans="1:4">
      <c r="A2786">
        <v>1.0890390000000001</v>
      </c>
      <c r="B2786">
        <v>3.50793</v>
      </c>
      <c r="C2786">
        <f>LOG10(1.089039)</f>
        <v>3.7043432723188371E-2</v>
      </c>
      <c r="D2786">
        <f>LOG10(3.50793)</f>
        <v>0.54505091852608667</v>
      </c>
    </row>
    <row r="2787" spans="1:4">
      <c r="A2787">
        <v>1.1034079999999999</v>
      </c>
      <c r="B2787">
        <v>3.1856589999999998</v>
      </c>
      <c r="C2787">
        <f>LOG10(1.103408)</f>
        <v>4.2736128383058944E-2</v>
      </c>
      <c r="D2787">
        <f>LOG10(3.185659)</f>
        <v>0.50319928610911024</v>
      </c>
    </row>
    <row r="2788" spans="1:4">
      <c r="A2788">
        <v>1.108671</v>
      </c>
      <c r="B2788">
        <v>3.105362</v>
      </c>
      <c r="C2788">
        <f>LOG10(1.108671)</f>
        <v>4.4802687643462499E-2</v>
      </c>
      <c r="D2788">
        <f>LOG10(3.105362)</f>
        <v>0.49211223428349704</v>
      </c>
    </row>
    <row r="2789" spans="1:4">
      <c r="A2789">
        <v>1.137896</v>
      </c>
      <c r="B2789">
        <v>2.9991620000000001</v>
      </c>
      <c r="C2789">
        <f>LOG10(1.137896)</f>
        <v>5.610257076722764E-2</v>
      </c>
      <c r="D2789">
        <f>LOG10(2.999162)</f>
        <v>0.47699992484785636</v>
      </c>
    </row>
    <row r="2790" spans="1:4">
      <c r="A2790">
        <v>1.1472389999999999</v>
      </c>
      <c r="B2790">
        <v>2.8791630000000001</v>
      </c>
      <c r="C2790">
        <f>LOG10(1.147239)</f>
        <v>5.9653902268023105E-2</v>
      </c>
      <c r="D2790">
        <f>LOG10(2.879163)</f>
        <v>0.45926625258098974</v>
      </c>
    </row>
    <row r="2791" spans="1:4">
      <c r="A2791">
        <v>1.1233770000000001</v>
      </c>
      <c r="B2791">
        <v>3.0377429999999999</v>
      </c>
      <c r="C2791">
        <f>LOG10(1.123377)</f>
        <v>5.0525527893926177E-2</v>
      </c>
      <c r="D2791">
        <f>LOG10(3.037743)</f>
        <v>0.48255102877525263</v>
      </c>
    </row>
    <row r="2792" spans="1:4">
      <c r="A2792">
        <v>1.0943050000000001</v>
      </c>
      <c r="B2792">
        <v>3.1439569999999999</v>
      </c>
      <c r="C2792">
        <f>LOG10(1.094305)</f>
        <v>3.9138383565921156E-2</v>
      </c>
      <c r="D2792">
        <f>LOG10(3.143957)</f>
        <v>0.4974765975485318</v>
      </c>
    </row>
    <row r="2793" spans="1:4">
      <c r="A2793">
        <v>1.092373</v>
      </c>
      <c r="B2793">
        <v>3.841691</v>
      </c>
      <c r="C2793">
        <f>LOG10(1.092373)</f>
        <v>3.8370957216574908E-2</v>
      </c>
      <c r="D2793">
        <f>LOG10(3.841691)</f>
        <v>0.58452243017905359</v>
      </c>
    </row>
    <row r="2794" spans="1:4">
      <c r="A2794">
        <v>1.11676</v>
      </c>
      <c r="B2794">
        <v>3.6602130000000002</v>
      </c>
      <c r="C2794">
        <f>LOG10(1.11676)</f>
        <v>4.7959850040562621E-2</v>
      </c>
      <c r="D2794">
        <f>LOG10(3.660213)</f>
        <v>0.56350635917392267</v>
      </c>
    </row>
    <row r="2795" spans="1:4">
      <c r="A2795">
        <v>1.1331439999999999</v>
      </c>
      <c r="B2795">
        <v>3.073677</v>
      </c>
      <c r="C2795">
        <f>LOG10(1.133144)</f>
        <v>5.4285103536419091E-2</v>
      </c>
      <c r="D2795">
        <f>LOG10(3.073677)</f>
        <v>0.48765822735111491</v>
      </c>
    </row>
    <row r="2796" spans="1:4">
      <c r="A2796">
        <v>1.097661</v>
      </c>
      <c r="B2796">
        <v>3.3124159999999998</v>
      </c>
      <c r="C2796">
        <f>LOG10(1.097661)</f>
        <v>4.046823395603226E-2</v>
      </c>
      <c r="D2796">
        <f>LOG10(3.312416)</f>
        <v>0.52014487375270246</v>
      </c>
    </row>
    <row r="2797" spans="1:4">
      <c r="A2797">
        <v>1.1250599999999999</v>
      </c>
      <c r="B2797">
        <v>3.1471110000000002</v>
      </c>
      <c r="C2797">
        <f>LOG10(1.12506)</f>
        <v>5.1175684202108142E-2</v>
      </c>
      <c r="D2797">
        <f>LOG10(3.147111)</f>
        <v>0.4979120609422466</v>
      </c>
    </row>
    <row r="2798" spans="1:4">
      <c r="A2798">
        <v>1.0883579999999999</v>
      </c>
      <c r="B2798">
        <v>3.1463519999999998</v>
      </c>
      <c r="C2798">
        <f>LOG10(1.088358)</f>
        <v>3.6771773901375392E-2</v>
      </c>
      <c r="D2798">
        <f>LOG10(3.146352)</f>
        <v>0.49780730795859901</v>
      </c>
    </row>
    <row r="2799" spans="1:4">
      <c r="A2799">
        <v>1.1052249999999999</v>
      </c>
      <c r="B2799">
        <v>3.7731270000000001</v>
      </c>
      <c r="C2799">
        <f>LOG10(1.105225)</f>
        <v>4.3450700022297471E-2</v>
      </c>
      <c r="D2799">
        <f>LOG10(3.773127)</f>
        <v>0.57670142340161867</v>
      </c>
    </row>
    <row r="2800" spans="1:4">
      <c r="A2800">
        <v>1.078166</v>
      </c>
      <c r="B2800">
        <v>3.384998</v>
      </c>
      <c r="C2800">
        <f>LOG10(1.078166)</f>
        <v>3.2685632217895111E-2</v>
      </c>
      <c r="D2800">
        <f>LOG10(3.384998)</f>
        <v>0.52955841642168888</v>
      </c>
    </row>
    <row r="2801" spans="1:4">
      <c r="A2801">
        <v>1.0918369999999999</v>
      </c>
      <c r="B2801">
        <v>3.4185829999999999</v>
      </c>
      <c r="C2801">
        <f>LOG10(1.091837)</f>
        <v>3.8157807522202214E-2</v>
      </c>
      <c r="D2801">
        <f>LOG10(3.418583)</f>
        <v>0.53384612862816083</v>
      </c>
    </row>
    <row r="2802" spans="1:4">
      <c r="A2802">
        <v>1.0911869999999999</v>
      </c>
      <c r="B2802">
        <v>3.4189500000000002</v>
      </c>
      <c r="C2802">
        <f>LOG10(1.091187)</f>
        <v>3.789918331873085E-2</v>
      </c>
      <c r="D2802">
        <f>LOG10(3.41895)</f>
        <v>0.53389274955854948</v>
      </c>
    </row>
    <row r="2803" spans="1:4">
      <c r="A2803">
        <v>1.1163099999999999</v>
      </c>
      <c r="B2803">
        <v>3.3906109999999998</v>
      </c>
      <c r="C2803">
        <f>LOG10(1.11631)</f>
        <v>4.7784815205557968E-2</v>
      </c>
      <c r="D2803">
        <f>LOG10(3.390611)</f>
        <v>0.53027796664501492</v>
      </c>
    </row>
    <row r="2804" spans="1:4">
      <c r="A2804">
        <v>1.091772</v>
      </c>
      <c r="B2804">
        <v>3.3094610000000002</v>
      </c>
      <c r="C2804">
        <f>LOG10(1.091772)</f>
        <v>3.8131952031285991E-2</v>
      </c>
      <c r="D2804">
        <f>LOG10(3.309461)</f>
        <v>0.51975726755608753</v>
      </c>
    </row>
    <row r="2805" spans="1:4">
      <c r="A2805">
        <v>1.1108389999999999</v>
      </c>
      <c r="B2805">
        <v>3.311985</v>
      </c>
      <c r="C2805">
        <f>LOG10(1.110839)</f>
        <v>4.5651118816305174E-2</v>
      </c>
      <c r="D2805">
        <f>LOG10(3.311985)</f>
        <v>0.52008836119497404</v>
      </c>
    </row>
    <row r="2806" spans="1:4">
      <c r="A2806">
        <v>1.1104719999999999</v>
      </c>
      <c r="B2806">
        <v>3.5044499999999998</v>
      </c>
      <c r="C2806">
        <f>LOG10(1.110472)</f>
        <v>4.5507612502863476E-2</v>
      </c>
      <c r="D2806">
        <f>LOG10(3.50445)</f>
        <v>0.54461986803507101</v>
      </c>
    </row>
    <row r="2807" spans="1:4">
      <c r="A2807">
        <v>1.141019</v>
      </c>
      <c r="B2807">
        <v>3.4320740000000001</v>
      </c>
      <c r="C2807">
        <f>LOG10(1.141019)</f>
        <v>5.729287625559755E-2</v>
      </c>
      <c r="D2807">
        <f>LOG10(3.432074)</f>
        <v>0.53555664323412466</v>
      </c>
    </row>
    <row r="2808" spans="1:4">
      <c r="A2808">
        <v>1.0948910000000001</v>
      </c>
      <c r="B2808">
        <v>3.519377</v>
      </c>
      <c r="C2808">
        <f>LOG10(1.094891)</f>
        <v>3.937088588409976E-2</v>
      </c>
      <c r="D2808">
        <f>LOG10(3.519377)</f>
        <v>0.54646579148706353</v>
      </c>
    </row>
    <row r="2809" spans="1:4">
      <c r="A2809">
        <v>1.095494</v>
      </c>
      <c r="B2809">
        <v>3.3635809999999999</v>
      </c>
      <c r="C2809">
        <f>LOG10(1.095494)</f>
        <v>3.9610003280542205E-2</v>
      </c>
      <c r="D2809">
        <f>LOG10(3.363581)</f>
        <v>0.5268018905975228</v>
      </c>
    </row>
    <row r="2810" spans="1:4">
      <c r="A2810">
        <v>1.1018399999999999</v>
      </c>
      <c r="B2810">
        <v>3.2243689999999998</v>
      </c>
      <c r="C2810">
        <f>LOG10(1.10184)</f>
        <v>4.2118534477626784E-2</v>
      </c>
      <c r="D2810">
        <f>LOG10(3.224369)</f>
        <v>0.50844473707028026</v>
      </c>
    </row>
    <row r="2811" spans="1:4">
      <c r="A2811">
        <v>1.091351</v>
      </c>
      <c r="B2811">
        <v>3.589245</v>
      </c>
      <c r="C2811">
        <f>LOG10(1.091351)</f>
        <v>3.7964450723162027E-2</v>
      </c>
      <c r="D2811">
        <f>LOG10(3.589245)</f>
        <v>0.55500310406088149</v>
      </c>
    </row>
    <row r="2812" spans="1:4">
      <c r="A2812">
        <v>1.0668059999999999</v>
      </c>
      <c r="B2812">
        <v>3.3769990000000001</v>
      </c>
      <c r="C2812">
        <f>LOG10(1.066806)</f>
        <v>2.8085449612105122E-2</v>
      </c>
      <c r="D2812">
        <f>LOG10(3.376999)</f>
        <v>0.52853093203175561</v>
      </c>
    </row>
    <row r="2813" spans="1:4">
      <c r="A2813">
        <v>1.07297</v>
      </c>
      <c r="B2813">
        <v>3.2622629999999999</v>
      </c>
      <c r="C2813">
        <f>LOG10(1.07297)</f>
        <v>3.0587579359616462E-2</v>
      </c>
      <c r="D2813">
        <f>LOG10(3.262263)</f>
        <v>0.51351897045180284</v>
      </c>
    </row>
    <row r="2814" spans="1:4">
      <c r="A2814">
        <v>1.0848139999999999</v>
      </c>
      <c r="B2814">
        <v>3.2991470000000001</v>
      </c>
      <c r="C2814">
        <f>LOG10(1.084814)</f>
        <v>3.5355281319736961E-2</v>
      </c>
      <c r="D2814">
        <f>LOG10(3.299147)</f>
        <v>0.518401666823468</v>
      </c>
    </row>
    <row r="2815" spans="1:4">
      <c r="A2815">
        <v>1.0926370000000001</v>
      </c>
      <c r="B2815">
        <v>3.5557150000000002</v>
      </c>
      <c r="C2815">
        <f>LOG10(1.092637)</f>
        <v>3.847590295483734E-2</v>
      </c>
      <c r="D2815">
        <f>LOG10(3.555715)</f>
        <v>0.55092694383709218</v>
      </c>
    </row>
    <row r="2816" spans="1:4">
      <c r="A2816">
        <v>1.1204209999999999</v>
      </c>
      <c r="B2816">
        <v>3.384738</v>
      </c>
      <c r="C2816">
        <f>LOG10(1.120421)</f>
        <v>4.9381240189597164E-2</v>
      </c>
      <c r="D2816">
        <f>LOG10(3.384738)</f>
        <v>0.52952505719901</v>
      </c>
    </row>
    <row r="2817" spans="1:4">
      <c r="A2817">
        <v>1.108368</v>
      </c>
      <c r="B2817">
        <v>3.5913879999999998</v>
      </c>
      <c r="C2817">
        <f>LOG10(1.108368)</f>
        <v>4.468397865472936E-2</v>
      </c>
      <c r="D2817">
        <f>LOG10(3.591388)</f>
        <v>0.55526232719687807</v>
      </c>
    </row>
    <row r="2818" spans="1:4">
      <c r="A2818">
        <v>1.0472239999999999</v>
      </c>
      <c r="B2818">
        <v>3.3723130000000001</v>
      </c>
      <c r="C2818">
        <f>LOG10(1.047224)</f>
        <v>2.0039586701721727E-2</v>
      </c>
      <c r="D2818">
        <f>LOG10(3.372313)</f>
        <v>0.52792787670724217</v>
      </c>
    </row>
    <row r="2819" spans="1:4">
      <c r="A2819">
        <v>1.085291</v>
      </c>
      <c r="B2819">
        <v>3.5328719999999998</v>
      </c>
      <c r="C2819">
        <f>LOG10(1.085291)</f>
        <v>3.5546201548208964E-2</v>
      </c>
      <c r="D2819">
        <f>LOG10(3.532872)</f>
        <v>0.5481279027332574</v>
      </c>
    </row>
    <row r="2820" spans="1:4">
      <c r="A2820">
        <v>1.1340460000000001</v>
      </c>
      <c r="B2820">
        <v>3.3004169999999999</v>
      </c>
      <c r="C2820">
        <f>LOG10(1.134046)</f>
        <v>5.4630671083334185E-2</v>
      </c>
      <c r="D2820">
        <f>LOG10(3.300417)</f>
        <v>0.51856881544080857</v>
      </c>
    </row>
    <row r="2821" spans="1:4">
      <c r="A2821">
        <v>1.1021840000000001</v>
      </c>
      <c r="B2821">
        <v>3.6315520000000001</v>
      </c>
      <c r="C2821">
        <f>LOG10(1.102184)</f>
        <v>4.2254102241850673E-2</v>
      </c>
      <c r="D2821">
        <f>LOG10(3.631552)</f>
        <v>0.56009226718153182</v>
      </c>
    </row>
    <row r="2822" spans="1:4">
      <c r="A2822">
        <v>1.1395999999999999</v>
      </c>
      <c r="B2822">
        <v>3.2368380000000001</v>
      </c>
      <c r="C2822">
        <f>LOG10(1.1396)</f>
        <v>5.6752440567439236E-2</v>
      </c>
      <c r="D2822">
        <f>LOG10(3.236838)</f>
        <v>0.51012096400972484</v>
      </c>
    </row>
    <row r="2823" spans="1:4">
      <c r="A2823">
        <v>1.0475429999999999</v>
      </c>
      <c r="B2823">
        <v>3.3510469999999999</v>
      </c>
      <c r="C2823">
        <f>LOG10(1.047543)</f>
        <v>2.0171859112732646E-2</v>
      </c>
      <c r="D2823">
        <f>LOG10(3.351047)</f>
        <v>0.52518051906102681</v>
      </c>
    </row>
    <row r="2824" spans="1:4">
      <c r="A2824">
        <v>1.0358000000000001</v>
      </c>
      <c r="B2824">
        <v>3.2322000000000002</v>
      </c>
      <c r="C2824">
        <f>LOG10(1.0358)</f>
        <v>1.527590668187525E-2</v>
      </c>
      <c r="D2824">
        <f>LOG10(3.2322)</f>
        <v>0.50949822592959859</v>
      </c>
    </row>
    <row r="2825" spans="1:4">
      <c r="A2825">
        <v>1.082754</v>
      </c>
      <c r="B2825">
        <v>3.2865579999999999</v>
      </c>
      <c r="C2825">
        <f>LOG10(1.082754)</f>
        <v>3.452979681168717E-2</v>
      </c>
      <c r="D2825">
        <f>LOG10(3.286558)</f>
        <v>0.51674130095768733</v>
      </c>
    </row>
    <row r="2826" spans="1:4">
      <c r="A2826">
        <v>1.1282890000000001</v>
      </c>
      <c r="B2826">
        <v>3.1035750000000002</v>
      </c>
      <c r="C2826">
        <f>LOG10(1.128289)</f>
        <v>5.2420354106265998E-2</v>
      </c>
      <c r="D2826">
        <f>LOG10(3.103575)</f>
        <v>0.49186224486966018</v>
      </c>
    </row>
    <row r="2827" spans="1:4">
      <c r="A2827">
        <v>1.1125100000000001</v>
      </c>
      <c r="B2827">
        <v>3.5027810000000001</v>
      </c>
      <c r="C2827">
        <f>LOG10(1.11251)</f>
        <v>4.6303923406048157E-2</v>
      </c>
      <c r="D2827">
        <f>LOG10(3.502781)</f>
        <v>0.54441298531520543</v>
      </c>
    </row>
    <row r="2828" spans="1:4">
      <c r="A2828">
        <v>1.1234040000000001</v>
      </c>
      <c r="B2828">
        <v>3.4851730000000001</v>
      </c>
      <c r="C2828">
        <f>LOG10(1.123404)</f>
        <v>5.0535965894792263E-2</v>
      </c>
      <c r="D2828">
        <f>LOG10(3.485173)</f>
        <v>0.54222434085026405</v>
      </c>
    </row>
    <row r="2829" spans="1:4">
      <c r="A2829">
        <v>1.046044</v>
      </c>
      <c r="B2829">
        <v>3.6292800000000001</v>
      </c>
      <c r="C2829">
        <f>LOG10(1.046044)</f>
        <v>1.9549952748564966E-2</v>
      </c>
      <c r="D2829">
        <f>LOG10(3.62928)</f>
        <v>0.55982047543780644</v>
      </c>
    </row>
    <row r="2830" spans="1:4">
      <c r="A2830">
        <v>1.069947</v>
      </c>
      <c r="B2830">
        <v>3.5391780000000002</v>
      </c>
      <c r="C2830">
        <f>LOG10(1.069947)</f>
        <v>2.9362265369675108E-2</v>
      </c>
      <c r="D2830">
        <f>LOG10(3.539178)</f>
        <v>0.5489024056648576</v>
      </c>
    </row>
    <row r="2831" spans="1:4">
      <c r="A2831">
        <v>1.094327</v>
      </c>
      <c r="B2831">
        <v>3.271795</v>
      </c>
      <c r="C2831">
        <f>LOG10(1.094327)</f>
        <v>3.9147114571044153E-2</v>
      </c>
      <c r="D2831">
        <f>LOG10(3.271795)</f>
        <v>0.51478608437645279</v>
      </c>
    </row>
    <row r="2832" spans="1:4">
      <c r="A2832">
        <v>1.148568</v>
      </c>
      <c r="B2832">
        <v>3.2005819999999998</v>
      </c>
      <c r="C2832">
        <f>LOG10(1.148568)</f>
        <v>6.0156712330820997E-2</v>
      </c>
      <c r="D2832">
        <f>LOG10(3.200582)</f>
        <v>0.50522895844676452</v>
      </c>
    </row>
    <row r="2833" spans="1:4">
      <c r="A2833">
        <v>1.093696</v>
      </c>
      <c r="B2833">
        <v>3.231214</v>
      </c>
      <c r="C2833">
        <f>LOG10(1.093696)</f>
        <v>3.8896623762055341E-2</v>
      </c>
      <c r="D2833">
        <f>LOG10(3.231214)</f>
        <v>0.50936572184971807</v>
      </c>
    </row>
    <row r="2834" spans="1:4">
      <c r="A2834">
        <v>1.09189</v>
      </c>
      <c r="B2834">
        <v>3.2226629999999998</v>
      </c>
      <c r="C2834">
        <f>LOG10(1.09189)</f>
        <v>3.8178888552519129E-2</v>
      </c>
      <c r="D2834">
        <f>LOG10(3.222663)</f>
        <v>0.50821489288665589</v>
      </c>
    </row>
    <row r="2835" spans="1:4">
      <c r="A2835">
        <v>1.098411</v>
      </c>
      <c r="B2835">
        <v>3.385208</v>
      </c>
      <c r="C2835">
        <f>LOG10(1.098411)</f>
        <v>4.0764873477952261E-2</v>
      </c>
      <c r="D2835">
        <f>LOG10(3.385208)</f>
        <v>0.5295853585387319</v>
      </c>
    </row>
    <row r="2836" spans="1:4">
      <c r="A2836">
        <v>1.089861</v>
      </c>
      <c r="B2836">
        <v>3.3363399999999999</v>
      </c>
      <c r="C2836">
        <f>LOG10(1.089861)</f>
        <v>3.7371111901728142E-2</v>
      </c>
      <c r="D2836">
        <f>LOG10(3.33634)</f>
        <v>0.52327030233731731</v>
      </c>
    </row>
    <row r="2837" spans="1:4">
      <c r="A2837">
        <v>1.100519</v>
      </c>
      <c r="B2837">
        <v>3.2104560000000002</v>
      </c>
      <c r="C2837">
        <f>LOG10(1.100519)</f>
        <v>4.1597544866582216E-2</v>
      </c>
      <c r="D2837">
        <f>LOG10(3.210456)</f>
        <v>0.50656672219266319</v>
      </c>
    </row>
    <row r="2838" spans="1:4">
      <c r="A2838">
        <v>1.107807</v>
      </c>
      <c r="B2838">
        <v>3.2990080000000002</v>
      </c>
      <c r="C2838">
        <f>LOG10(1.107807)</f>
        <v>4.4464105035045158E-2</v>
      </c>
      <c r="D2838">
        <f>LOG10(3.299008)</f>
        <v>0.51838336869831225</v>
      </c>
    </row>
    <row r="2839" spans="1:4">
      <c r="A2839">
        <v>1.107648</v>
      </c>
      <c r="B2839">
        <v>3.2563770000000001</v>
      </c>
      <c r="C2839">
        <f>LOG10(1.107648)</f>
        <v>4.440176766169189E-2</v>
      </c>
      <c r="D2839">
        <f>LOG10(3.256377)</f>
        <v>0.51273467863166766</v>
      </c>
    </row>
    <row r="2840" spans="1:4">
      <c r="A2840">
        <v>1.1308499999999999</v>
      </c>
      <c r="B2840">
        <v>3.356036</v>
      </c>
      <c r="C2840">
        <f>LOG10(1.13085)</f>
        <v>5.3405002367919625E-2</v>
      </c>
      <c r="D2840">
        <f>LOG10(3.356036)</f>
        <v>0.52582661083291193</v>
      </c>
    </row>
    <row r="2841" spans="1:4">
      <c r="A2841">
        <v>1.092762</v>
      </c>
      <c r="B2841">
        <v>3.3100540000000001</v>
      </c>
      <c r="C2841">
        <f>LOG10(1.092762)</f>
        <v>3.8525584326794655E-2</v>
      </c>
      <c r="D2841">
        <f>LOG10(3.310054)</f>
        <v>0.51983507888469926</v>
      </c>
    </row>
    <row r="2842" spans="1:4">
      <c r="A2842">
        <v>1.0972409999999999</v>
      </c>
      <c r="B2842">
        <v>3.3099820000000002</v>
      </c>
      <c r="C2842">
        <f>LOG10(1.097241)</f>
        <v>4.0302027278353088E-2</v>
      </c>
      <c r="D2842">
        <f>LOG10(3.309982)</f>
        <v>0.51982563204703902</v>
      </c>
    </row>
    <row r="2843" spans="1:4">
      <c r="A2843">
        <v>1.099518</v>
      </c>
      <c r="B2843">
        <v>3.3039190000000001</v>
      </c>
      <c r="C2843">
        <f>LOG10(1.099518)</f>
        <v>4.1202343507346827E-2</v>
      </c>
      <c r="D2843">
        <f>LOG10(3.303919)</f>
        <v>0.51902939146788252</v>
      </c>
    </row>
    <row r="2844" spans="1:4">
      <c r="A2844">
        <v>1.130911</v>
      </c>
      <c r="B2844">
        <v>3.2606030000000001</v>
      </c>
      <c r="C2844">
        <f>LOG10(1.130911)</f>
        <v>5.3428428329727752E-2</v>
      </c>
      <c r="D2844">
        <f>LOG10(3.260603)</f>
        <v>0.51329792379669059</v>
      </c>
    </row>
    <row r="2845" spans="1:4">
      <c r="A2845">
        <v>1.111111</v>
      </c>
      <c r="B2845">
        <v>3.2715209999999999</v>
      </c>
      <c r="C2845">
        <f>LOG10(1.111111)</f>
        <v>4.5757447131224746E-2</v>
      </c>
      <c r="D2845">
        <f>LOG10(3.271521)</f>
        <v>0.51474971239377276</v>
      </c>
    </row>
    <row r="2846" spans="1:4">
      <c r="A2846">
        <v>1.131734</v>
      </c>
      <c r="B2846">
        <v>3.1946880000000002</v>
      </c>
      <c r="C2846">
        <f>LOG10(1.131734)</f>
        <v>5.374436333002082E-2</v>
      </c>
      <c r="D2846">
        <f>LOG10(3.194688)</f>
        <v>0.50442845044598672</v>
      </c>
    </row>
    <row r="2847" spans="1:4">
      <c r="A2847">
        <v>1.115909</v>
      </c>
      <c r="B2847">
        <v>3.6044</v>
      </c>
      <c r="C2847">
        <f>LOG10(1.115909)</f>
        <v>4.7628780256373758E-2</v>
      </c>
      <c r="D2847">
        <f>LOG10(3.6044)</f>
        <v>0.55683298101767953</v>
      </c>
    </row>
    <row r="2848" spans="1:4">
      <c r="A2848">
        <v>1.1187320000000001</v>
      </c>
      <c r="B2848">
        <v>3.146973</v>
      </c>
      <c r="C2848">
        <f>LOG10(1.118732)</f>
        <v>4.8726060736426317E-2</v>
      </c>
      <c r="D2848">
        <f>LOG10(3.146973)</f>
        <v>0.4978930168244648</v>
      </c>
    </row>
    <row r="2849" spans="1:4">
      <c r="A2849">
        <v>1.1007119999999999</v>
      </c>
      <c r="B2849">
        <v>3.2416299999999998</v>
      </c>
      <c r="C2849">
        <f>LOG10(1.100712)</f>
        <v>4.1673701194765912E-2</v>
      </c>
      <c r="D2849">
        <f>LOG10(3.24163)</f>
        <v>0.51076344292197084</v>
      </c>
    </row>
    <row r="2850" spans="1:4">
      <c r="A2850">
        <v>1.093545</v>
      </c>
      <c r="B2850">
        <v>3.2146569999999999</v>
      </c>
      <c r="C2850">
        <f>LOG10(1.093545)</f>
        <v>3.8836659206826558E-2</v>
      </c>
      <c r="D2850">
        <f>LOG10(3.214657)</f>
        <v>0.507134641038127</v>
      </c>
    </row>
    <row r="2851" spans="1:4">
      <c r="A2851">
        <v>1.0853919999999999</v>
      </c>
      <c r="B2851">
        <v>3.2424520000000001</v>
      </c>
      <c r="C2851">
        <f>LOG10(1.085392)</f>
        <v>3.5586616240454533E-2</v>
      </c>
      <c r="D2851">
        <f>LOG10(3.242452)</f>
        <v>0.51087355567687953</v>
      </c>
    </row>
    <row r="2852" spans="1:4">
      <c r="A2852">
        <v>1.0915539999999999</v>
      </c>
      <c r="B2852">
        <v>3.4170180000000001</v>
      </c>
      <c r="C2852">
        <f>LOG10(1.091554)</f>
        <v>3.8045225452323847E-2</v>
      </c>
      <c r="D2852">
        <f>LOG10(3.417018)</f>
        <v>0.53364726655998151</v>
      </c>
    </row>
    <row r="2853" spans="1:4">
      <c r="A2853">
        <v>1.1045590000000001</v>
      </c>
      <c r="B2853">
        <v>3.4092500000000001</v>
      </c>
      <c r="C2853">
        <f>LOG10(1.104559)</f>
        <v>4.3188918659318003E-2</v>
      </c>
      <c r="D2853">
        <f>LOG10(3.40925)</f>
        <v>0.53265884917243222</v>
      </c>
    </row>
    <row r="2854" spans="1:4">
      <c r="A2854">
        <v>1.1176200000000001</v>
      </c>
      <c r="B2854">
        <v>3.1577160000000002</v>
      </c>
      <c r="C2854">
        <f>LOG10(1.11762)</f>
        <v>4.8294164949289314E-2</v>
      </c>
      <c r="D2854">
        <f>LOG10(3.157716)</f>
        <v>0.49937306766746853</v>
      </c>
    </row>
    <row r="2855" spans="1:4">
      <c r="A2855">
        <v>1.131478</v>
      </c>
      <c r="B2855">
        <v>3.279671</v>
      </c>
      <c r="C2855">
        <f>LOG10(1.131478)</f>
        <v>5.3646114126816337E-2</v>
      </c>
      <c r="D2855">
        <f>LOG10(3.279671)</f>
        <v>0.5158302796717551</v>
      </c>
    </row>
    <row r="2856" spans="1:4">
      <c r="A2856">
        <v>1.1079019999999999</v>
      </c>
      <c r="B2856">
        <v>3.2485780000000002</v>
      </c>
      <c r="C2856">
        <f>LOG10(1.107902)</f>
        <v>4.4501346365748852E-2</v>
      </c>
      <c r="D2856">
        <f>LOG10(3.248578)</f>
        <v>0.51169329885663073</v>
      </c>
    </row>
    <row r="2857" spans="1:4">
      <c r="A2857">
        <v>1.120846</v>
      </c>
      <c r="B2857">
        <v>3.2333750000000001</v>
      </c>
      <c r="C2857">
        <f>LOG10(1.120846)</f>
        <v>4.9545946275057963E-2</v>
      </c>
      <c r="D2857">
        <f>LOG10(3.233375)</f>
        <v>0.5096560760888974</v>
      </c>
    </row>
    <row r="2858" spans="1:4">
      <c r="A2858">
        <v>1.1027929999999999</v>
      </c>
      <c r="B2858">
        <v>3.5032390000000002</v>
      </c>
      <c r="C2858">
        <f>LOG10(1.102793)</f>
        <v>4.2494000749820821E-2</v>
      </c>
      <c r="D2858">
        <f>LOG10(3.503239)</f>
        <v>0.54446976701808236</v>
      </c>
    </row>
    <row r="2859" spans="1:4">
      <c r="A2859">
        <v>1.0935889999999999</v>
      </c>
      <c r="B2859">
        <v>3.4033609999999999</v>
      </c>
      <c r="C2859">
        <f>LOG10(1.093589)</f>
        <v>3.8854133177060018E-2</v>
      </c>
      <c r="D2859">
        <f>LOG10(3.403361)</f>
        <v>0.53190801785652131</v>
      </c>
    </row>
    <row r="2860" spans="1:4">
      <c r="A2860">
        <v>1.1022080000000001</v>
      </c>
      <c r="B2860">
        <v>3.2039810000000002</v>
      </c>
      <c r="C2860">
        <f>LOG10(1.102208)</f>
        <v>4.226355887893346E-2</v>
      </c>
      <c r="D2860">
        <f>LOG10(3.203981)</f>
        <v>0.50568993200033285</v>
      </c>
    </row>
    <row r="2861" spans="1:4">
      <c r="A2861">
        <v>1.112625</v>
      </c>
      <c r="B2861">
        <v>3.2640940000000001</v>
      </c>
      <c r="C2861">
        <f>LOG10(1.112625)</f>
        <v>4.6348814044560684E-2</v>
      </c>
      <c r="D2861">
        <f>LOG10(3.264094)</f>
        <v>0.51376265715702851</v>
      </c>
    </row>
    <row r="2862" spans="1:4">
      <c r="A2862">
        <v>1.0955509999999999</v>
      </c>
      <c r="B2862">
        <v>3.3841389999999998</v>
      </c>
      <c r="C2862">
        <f>LOG10(1.095551)</f>
        <v>3.9632599608298194E-2</v>
      </c>
      <c r="D2862">
        <f>LOG10(3.384139)</f>
        <v>0.52944819292881007</v>
      </c>
    </row>
    <row r="2863" spans="1:4">
      <c r="A2863">
        <v>1.098311</v>
      </c>
      <c r="B2863">
        <v>3.399292</v>
      </c>
      <c r="C2863">
        <f>LOG10(1.098311)</f>
        <v>4.0725333246443389E-2</v>
      </c>
      <c r="D2863">
        <f>LOG10(3.399292)</f>
        <v>0.53138847218584984</v>
      </c>
    </row>
    <row r="2864" spans="1:4">
      <c r="A2864">
        <v>1.1166130000000001</v>
      </c>
      <c r="B2864">
        <v>3.3122989999999999</v>
      </c>
      <c r="C2864">
        <f>LOG10(1.116613)</f>
        <v>4.7902679752454075E-2</v>
      </c>
      <c r="D2864">
        <f>LOG10(3.312299)</f>
        <v>0.52012953348390967</v>
      </c>
    </row>
    <row r="2865" spans="1:4">
      <c r="A2865">
        <v>1.1031500000000001</v>
      </c>
      <c r="B2865">
        <v>3.2432840000000001</v>
      </c>
      <c r="C2865">
        <f>LOG10(1.10315)</f>
        <v>4.2634569324251886E-2</v>
      </c>
      <c r="D2865">
        <f>LOG10(3.243284)</f>
        <v>0.51098497958032729</v>
      </c>
    </row>
    <row r="2866" spans="1:4">
      <c r="A2866">
        <v>1.089726</v>
      </c>
      <c r="B2866">
        <v>3.4433349999999998</v>
      </c>
      <c r="C2866">
        <f>LOG10(1.089726)</f>
        <v>3.7317312943364093E-2</v>
      </c>
      <c r="D2866">
        <f>LOG10(3.443335)</f>
        <v>0.53697927701020831</v>
      </c>
    </row>
    <row r="2867" spans="1:4">
      <c r="A2867">
        <v>1.0901670000000001</v>
      </c>
      <c r="B2867">
        <v>3.4349189999999998</v>
      </c>
      <c r="C2867">
        <f>LOG10(1.090167)</f>
        <v>3.7493031539765118E-2</v>
      </c>
      <c r="D2867">
        <f>LOG10(3.434919)</f>
        <v>0.53591650026957172</v>
      </c>
    </row>
    <row r="2868" spans="1:4">
      <c r="A2868">
        <v>1.110965</v>
      </c>
      <c r="B2868">
        <v>3.373704</v>
      </c>
      <c r="C2868">
        <f>LOG10(1.110965)</f>
        <v>4.5700377081011247E-2</v>
      </c>
      <c r="D2868">
        <f>LOG10(3.373704)</f>
        <v>0.52810697605812995</v>
      </c>
    </row>
    <row r="2869" spans="1:4">
      <c r="A2869">
        <v>1.11273</v>
      </c>
      <c r="B2869">
        <v>3.3080669999999999</v>
      </c>
      <c r="C2869">
        <f>LOG10(1.11273)</f>
        <v>4.6389797097272444E-2</v>
      </c>
      <c r="D2869">
        <f>LOG10(3.308067)</f>
        <v>0.51957429696140978</v>
      </c>
    </row>
    <row r="2870" spans="1:4">
      <c r="A2870">
        <v>1.1155330000000001</v>
      </c>
      <c r="B2870">
        <v>3.214763</v>
      </c>
      <c r="C2870">
        <f>LOG10(1.115533)</f>
        <v>4.7482422227134329E-2</v>
      </c>
      <c r="D2870">
        <f>LOG10(3.214763)</f>
        <v>0.50714896121477926</v>
      </c>
    </row>
    <row r="2871" spans="1:4">
      <c r="A2871">
        <v>1.112393</v>
      </c>
      <c r="B2871">
        <v>3.441459</v>
      </c>
      <c r="C2871">
        <f>LOG10(1.112393)</f>
        <v>4.625824729843396E-2</v>
      </c>
      <c r="D2871">
        <f>LOG10(3.441459)</f>
        <v>0.53674259993077367</v>
      </c>
    </row>
    <row r="2872" spans="1:4">
      <c r="A2872">
        <v>1.095013</v>
      </c>
      <c r="B2872">
        <v>3.202718</v>
      </c>
      <c r="C2872">
        <f>LOG10(1.095013)</f>
        <v>3.9419275153078664E-2</v>
      </c>
      <c r="D2872">
        <f>LOG10(3.202718)</f>
        <v>0.50551870062587634</v>
      </c>
    </row>
    <row r="2873" spans="1:4">
      <c r="A2873">
        <v>1.1066720000000001</v>
      </c>
      <c r="B2873">
        <v>3.284697</v>
      </c>
      <c r="C2873">
        <f>LOG10(1.106672)</f>
        <v>4.4018921964785532E-2</v>
      </c>
      <c r="D2873">
        <f>LOG10(3.284697)</f>
        <v>0.51649531383576641</v>
      </c>
    </row>
    <row r="2874" spans="1:4">
      <c r="A2874">
        <v>1.1161570000000001</v>
      </c>
      <c r="B2874">
        <v>3.378339</v>
      </c>
      <c r="C2874">
        <f>LOG10(1.116157)</f>
        <v>4.772528728793575E-2</v>
      </c>
      <c r="D2874">
        <f>LOG10(3.378339)</f>
        <v>0.52870322677507797</v>
      </c>
    </row>
    <row r="2875" spans="1:4">
      <c r="A2875">
        <v>1.1102609999999999</v>
      </c>
      <c r="B2875">
        <v>3.2203520000000001</v>
      </c>
      <c r="C2875">
        <f>LOG10(1.110261)</f>
        <v>4.5425084674477693E-2</v>
      </c>
      <c r="D2875">
        <f>LOG10(3.220352)</f>
        <v>0.50790334477114796</v>
      </c>
    </row>
    <row r="2876" spans="1:4">
      <c r="A2876">
        <v>1.1088210000000001</v>
      </c>
      <c r="B2876">
        <v>3.3850220000000002</v>
      </c>
      <c r="C2876">
        <f>LOG10(1.108821)</f>
        <v>4.4861442464120146E-2</v>
      </c>
      <c r="D2876">
        <f>LOG10(3.385022)</f>
        <v>0.52956149560537391</v>
      </c>
    </row>
    <row r="2877" spans="1:4">
      <c r="A2877">
        <v>1.122039</v>
      </c>
      <c r="B2877">
        <v>3.3154370000000002</v>
      </c>
      <c r="C2877">
        <f>LOG10(1.122039)</f>
        <v>5.0007952455287878E-2</v>
      </c>
      <c r="D2877">
        <f>LOG10(3.315437)</f>
        <v>0.52054077985402647</v>
      </c>
    </row>
    <row r="2878" spans="1:4">
      <c r="A2878">
        <v>1.128358</v>
      </c>
      <c r="B2878">
        <v>3.123319</v>
      </c>
      <c r="C2878">
        <f>LOG10(1.128358)</f>
        <v>5.2446912375468585E-2</v>
      </c>
      <c r="D2878">
        <f>LOG10(3.123319)</f>
        <v>0.49461634313657132</v>
      </c>
    </row>
    <row r="2879" spans="1:4">
      <c r="A2879">
        <v>1.1474040000000001</v>
      </c>
      <c r="B2879">
        <v>3.301085</v>
      </c>
      <c r="C2879">
        <f>LOG10(1.147404)</f>
        <v>5.9716359556270235E-2</v>
      </c>
      <c r="D2879">
        <f>LOG10(3.301085)</f>
        <v>0.51865670717057</v>
      </c>
    </row>
    <row r="2880" spans="1:4">
      <c r="A2880">
        <v>1.1384700000000001</v>
      </c>
      <c r="B2880">
        <v>3.336538</v>
      </c>
      <c r="C2880">
        <f>LOG10(1.13847)</f>
        <v>5.6321590940517793E-2</v>
      </c>
      <c r="D2880">
        <f>LOG10(3.336538)</f>
        <v>0.52329607541677181</v>
      </c>
    </row>
    <row r="2881" spans="1:4">
      <c r="A2881">
        <v>1.120608</v>
      </c>
      <c r="B2881">
        <v>3.3449080000000002</v>
      </c>
      <c r="C2881">
        <f>LOG10(1.120608)</f>
        <v>4.9453718562973391E-2</v>
      </c>
      <c r="D2881">
        <f>LOG10(3.344908)</f>
        <v>0.52438417721840025</v>
      </c>
    </row>
    <row r="2882" spans="1:4">
      <c r="A2882">
        <v>1.123828</v>
      </c>
      <c r="B2882">
        <v>3.2828300000000001</v>
      </c>
      <c r="C2882">
        <f>LOG10(1.123828)</f>
        <v>5.0699848273213395E-2</v>
      </c>
      <c r="D2882">
        <f>LOG10(3.28283)</f>
        <v>0.51624839355068641</v>
      </c>
    </row>
    <row r="2883" spans="1:4">
      <c r="A2883">
        <v>1.1113550000000001</v>
      </c>
      <c r="B2883">
        <v>3.4649559999999999</v>
      </c>
      <c r="C2883">
        <f>LOG10(1.111355)</f>
        <v>4.5852807738775286E-2</v>
      </c>
      <c r="D2883">
        <f>LOG10(3.464956)</f>
        <v>0.53969772406224648</v>
      </c>
    </row>
    <row r="2884" spans="1:4">
      <c r="A2884">
        <v>1.149189</v>
      </c>
      <c r="B2884">
        <v>3.3099569999999998</v>
      </c>
      <c r="C2884">
        <f>LOG10(1.149189)</f>
        <v>6.0391460287048178E-2</v>
      </c>
      <c r="D2884">
        <f>LOG10(3.309957)</f>
        <v>0.51982235184701064</v>
      </c>
    </row>
    <row r="2885" spans="1:4">
      <c r="A2885">
        <v>1.146927</v>
      </c>
      <c r="B2885">
        <v>3.3382239999999999</v>
      </c>
      <c r="C2885">
        <f>LOG10(1.146927)</f>
        <v>5.9535776657941603E-2</v>
      </c>
      <c r="D2885">
        <f>LOG10(3.338224)</f>
        <v>0.52351547515329022</v>
      </c>
    </row>
    <row r="2886" spans="1:4">
      <c r="A2886">
        <v>1.1769780000000001</v>
      </c>
      <c r="B2886">
        <v>3.4106169999999998</v>
      </c>
      <c r="C2886">
        <f>LOG10(1.176978)</f>
        <v>7.076834511370049E-2</v>
      </c>
      <c r="D2886">
        <f>LOG10(3.410617)</f>
        <v>0.53283295244005091</v>
      </c>
    </row>
    <row r="2887" spans="1:4">
      <c r="A2887">
        <v>1.1605449999999999</v>
      </c>
      <c r="B2887">
        <v>3.2060330000000001</v>
      </c>
      <c r="C2887">
        <f>LOG10(1.160545)</f>
        <v>6.4661984837422984E-2</v>
      </c>
      <c r="D2887">
        <f>LOG10(3.206033)</f>
        <v>0.50596798827518896</v>
      </c>
    </row>
    <row r="2888" spans="1:4">
      <c r="A2888">
        <v>1.1596740000000001</v>
      </c>
      <c r="B2888">
        <v>3.4012669999999998</v>
      </c>
      <c r="C2888">
        <f>LOG10(1.159674)</f>
        <v>6.4335920348246284E-2</v>
      </c>
      <c r="D2888">
        <f>LOG10(3.401267)</f>
        <v>0.53164072545675689</v>
      </c>
    </row>
    <row r="2889" spans="1:4">
      <c r="A2889">
        <v>1.1444129999999999</v>
      </c>
      <c r="B2889">
        <v>3.1685810000000001</v>
      </c>
      <c r="C2889">
        <f>LOG10(1.144413)</f>
        <v>5.8582782544792308E-2</v>
      </c>
      <c r="D2889">
        <f>LOG10(3.168581)</f>
        <v>0.5008648136873578</v>
      </c>
    </row>
    <row r="2890" spans="1:4">
      <c r="A2890">
        <v>1.1355599999999999</v>
      </c>
      <c r="B2890">
        <v>3.224745</v>
      </c>
      <c r="C2890">
        <f>LOG10(1.13556)</f>
        <v>5.5210086138750676E-2</v>
      </c>
      <c r="D2890">
        <f>LOG10(3.224745)</f>
        <v>0.50849537804991896</v>
      </c>
    </row>
    <row r="2891" spans="1:4">
      <c r="A2891">
        <v>1.1190690000000001</v>
      </c>
      <c r="B2891">
        <v>3.2700200000000001</v>
      </c>
      <c r="C2891">
        <f>LOG10(1.119069)</f>
        <v>4.8856865255244394E-2</v>
      </c>
      <c r="D2891">
        <f>LOG10(3.27002)</f>
        <v>0.51455040888752646</v>
      </c>
    </row>
    <row r="2892" spans="1:4">
      <c r="A2892">
        <v>1.134314</v>
      </c>
      <c r="B2892">
        <v>3.295201</v>
      </c>
      <c r="C2892">
        <f>LOG10(1.134314)</f>
        <v>5.473329229133609E-2</v>
      </c>
      <c r="D2892">
        <f>LOG10(3.295201)</f>
        <v>0.51788191074443302</v>
      </c>
    </row>
    <row r="2893" spans="1:4">
      <c r="A2893">
        <v>1.1576120000000001</v>
      </c>
      <c r="B2893">
        <v>3.3538130000000002</v>
      </c>
      <c r="C2893">
        <f>LOG10(1.157612)</f>
        <v>6.3563020103699588E-2</v>
      </c>
      <c r="D2893">
        <f>LOG10(3.353813)</f>
        <v>0.52553884380012361</v>
      </c>
    </row>
    <row r="2894" spans="1:4">
      <c r="A2894">
        <v>1.117421</v>
      </c>
      <c r="B2894">
        <v>3.3913989999999998</v>
      </c>
      <c r="C2894">
        <f>LOG10(1.117421)</f>
        <v>4.8216828916413719E-2</v>
      </c>
      <c r="D2894">
        <f>LOG10(3.391399)</f>
        <v>0.53037888777408426</v>
      </c>
    </row>
    <row r="2895" spans="1:4">
      <c r="A2895">
        <v>1.159788</v>
      </c>
      <c r="B2895">
        <v>3.3506589999999998</v>
      </c>
      <c r="C2895">
        <f>LOG10(1.159788)</f>
        <v>6.437861091267616E-2</v>
      </c>
      <c r="D2895">
        <f>LOG10(3.350659)</f>
        <v>0.52513023148972271</v>
      </c>
    </row>
    <row r="2896" spans="1:4">
      <c r="A2896">
        <v>1.1353800000000001</v>
      </c>
      <c r="B2896">
        <v>3.2498529999999999</v>
      </c>
      <c r="C2896">
        <f>LOG10(1.13538)</f>
        <v>5.5141239751874557E-2</v>
      </c>
      <c r="D2896">
        <f>LOG10(3.249853)</f>
        <v>0.5118637170611271</v>
      </c>
    </row>
    <row r="2897" spans="1:4">
      <c r="A2897">
        <v>1.1348769999999999</v>
      </c>
      <c r="B2897">
        <v>3.2833489999999999</v>
      </c>
      <c r="C2897">
        <f>LOG10(1.134877)</f>
        <v>5.4948794466629834E-2</v>
      </c>
      <c r="D2897">
        <f>LOG10(3.283349)</f>
        <v>0.51631704804109158</v>
      </c>
    </row>
    <row r="2898" spans="1:4">
      <c r="A2898">
        <v>1.1611899999999999</v>
      </c>
      <c r="B2898">
        <v>3.4373089999999999</v>
      </c>
      <c r="C2898">
        <f>LOG10(1.16119)</f>
        <v>6.4903287094600456E-2</v>
      </c>
      <c r="D2898">
        <f>LOG10(3.437309)</f>
        <v>0.53621857518722449</v>
      </c>
    </row>
    <row r="2899" spans="1:4">
      <c r="A2899">
        <v>1.147162</v>
      </c>
      <c r="B2899">
        <v>3.358384</v>
      </c>
      <c r="C2899">
        <f>LOG10(1.147162)</f>
        <v>5.962475245932005E-2</v>
      </c>
      <c r="D2899">
        <f>LOG10(3.358384)</f>
        <v>0.52613035217917115</v>
      </c>
    </row>
    <row r="2900" spans="1:4">
      <c r="A2900">
        <v>1.10683</v>
      </c>
      <c r="B2900">
        <v>3.2725309999999999</v>
      </c>
      <c r="C2900">
        <f>LOG10(1.10683)</f>
        <v>4.4080921934297371E-2</v>
      </c>
      <c r="D2900">
        <f>LOG10(3.272531)</f>
        <v>0.51488376922284596</v>
      </c>
    </row>
    <row r="2901" spans="1:4">
      <c r="A2901">
        <v>1.1311310000000001</v>
      </c>
      <c r="B2901">
        <v>3.3780999999999999</v>
      </c>
      <c r="C2901">
        <f>LOG10(1.131131)</f>
        <v>5.3512904910021149E-2</v>
      </c>
      <c r="D2901">
        <f>LOG10(3.3781)</f>
        <v>0.52867250160129398</v>
      </c>
    </row>
    <row r="2902" spans="1:4">
      <c r="A2902">
        <v>1.106096</v>
      </c>
      <c r="B2902">
        <v>3.1001129999999999</v>
      </c>
      <c r="C2902">
        <f>LOG10(1.106096)</f>
        <v>4.3792821779654087E-2</v>
      </c>
      <c r="D2902">
        <f>LOG10(3.100113)</f>
        <v>0.49137752428009213</v>
      </c>
    </row>
    <row r="2903" spans="1:4">
      <c r="A2903">
        <v>1.0872189999999999</v>
      </c>
      <c r="B2903">
        <v>3.3230719999999998</v>
      </c>
      <c r="C2903">
        <f>LOG10(1.087219)</f>
        <v>3.6317033425554694E-2</v>
      </c>
      <c r="D2903">
        <f>LOG10(3.323072)</f>
        <v>0.52153975110836626</v>
      </c>
    </row>
    <row r="2904" spans="1:4">
      <c r="A2904">
        <v>1.1026419999999999</v>
      </c>
      <c r="B2904">
        <v>3.2729919999999999</v>
      </c>
      <c r="C2904">
        <f>LOG10(1.102642)</f>
        <v>4.2434530879369076E-2</v>
      </c>
      <c r="D2904">
        <f>LOG10(3.272992)</f>
        <v>0.51494494378643352</v>
      </c>
    </row>
    <row r="2905" spans="1:4">
      <c r="A2905">
        <v>1.1011420000000001</v>
      </c>
      <c r="B2905">
        <v>3.4355950000000002</v>
      </c>
      <c r="C2905">
        <f>LOG10(1.101142)</f>
        <v>4.184332790897359E-2</v>
      </c>
      <c r="D2905">
        <f>LOG10(3.435595)</f>
        <v>0.53600196201834749</v>
      </c>
    </row>
    <row r="2906" spans="1:4">
      <c r="A2906">
        <v>1.1187739999999999</v>
      </c>
      <c r="B2906">
        <v>3.3538929999999998</v>
      </c>
      <c r="C2906">
        <f>LOG10(1.118774)</f>
        <v>4.8742364932474976E-2</v>
      </c>
      <c r="D2906">
        <f>LOG10(3.353893)</f>
        <v>0.52554920309689479</v>
      </c>
    </row>
    <row r="2907" spans="1:4">
      <c r="A2907">
        <v>1.1348769999999999</v>
      </c>
      <c r="B2907">
        <v>3.3653219999999999</v>
      </c>
      <c r="C2907">
        <f>LOG10(1.134877)</f>
        <v>5.4948794466629834E-2</v>
      </c>
      <c r="D2907">
        <f>LOG10(3.365322)</f>
        <v>0.52702662461727778</v>
      </c>
    </row>
    <row r="2908" spans="1:4">
      <c r="A2908">
        <v>1.11643</v>
      </c>
      <c r="B2908">
        <v>3.2813479999999999</v>
      </c>
      <c r="C2908">
        <f>LOG10(1.11643)</f>
        <v>4.7831498059700071E-2</v>
      </c>
      <c r="D2908">
        <f>LOG10(3.281348)</f>
        <v>0.51605229148486287</v>
      </c>
    </row>
    <row r="2909" spans="1:4">
      <c r="A2909">
        <v>1.0755319999999999</v>
      </c>
      <c r="B2909">
        <v>3.4535149999999999</v>
      </c>
      <c r="C2909">
        <f>LOG10(1.075532)</f>
        <v>3.1623336356838658E-2</v>
      </c>
      <c r="D2909">
        <f>LOG10(3.453515)</f>
        <v>0.53826134666128578</v>
      </c>
    </row>
    <row r="2910" spans="1:4">
      <c r="A2910">
        <v>1.091709</v>
      </c>
      <c r="B2910">
        <v>3.2902490000000002</v>
      </c>
      <c r="C2910">
        <f>LOG10(1.091709)</f>
        <v>3.8106890624873511E-2</v>
      </c>
      <c r="D2910">
        <f>LOG10(3.290249)</f>
        <v>0.5172287658022533</v>
      </c>
    </row>
    <row r="2911" spans="1:4">
      <c r="A2911">
        <v>1.1038669999999999</v>
      </c>
      <c r="B2911">
        <v>3.2879299999999998</v>
      </c>
      <c r="C2911">
        <f>LOG10(1.103867)</f>
        <v>4.2916750344587924E-2</v>
      </c>
      <c r="D2911">
        <f>LOG10(3.28793)</f>
        <v>0.51692256284083959</v>
      </c>
    </row>
    <row r="2912" spans="1:4">
      <c r="A2912">
        <v>1.112881</v>
      </c>
      <c r="B2912">
        <v>3.2579600000000002</v>
      </c>
      <c r="C2912">
        <f>LOG10(1.112881)</f>
        <v>4.6448727851000765E-2</v>
      </c>
      <c r="D2912">
        <f>LOG10(3.25796)</f>
        <v>0.51294574790192038</v>
      </c>
    </row>
    <row r="2913" spans="1:4">
      <c r="A2913">
        <v>1.140299</v>
      </c>
      <c r="B2913">
        <v>3.291652</v>
      </c>
      <c r="C2913">
        <f>LOG10(1.140299)</f>
        <v>5.7018743462753631E-2</v>
      </c>
      <c r="D2913">
        <f>LOG10(3.291652)</f>
        <v>0.51741391449025054</v>
      </c>
    </row>
    <row r="2914" spans="1:4">
      <c r="A2914">
        <v>1.146736</v>
      </c>
      <c r="B2914">
        <v>3.2126139999999999</v>
      </c>
      <c r="C2914">
        <f>LOG10(1.146736)</f>
        <v>5.9463446724350416E-2</v>
      </c>
      <c r="D2914">
        <f>LOG10(3.212614)</f>
        <v>0.50685854760549875</v>
      </c>
    </row>
    <row r="2915" spans="1:4">
      <c r="A2915">
        <v>1.122212</v>
      </c>
      <c r="B2915">
        <v>3.4284430000000001</v>
      </c>
      <c r="C2915">
        <f>LOG10(1.122212)</f>
        <v>5.0074908375564241E-2</v>
      </c>
      <c r="D2915">
        <f>LOG10(3.428443)</f>
        <v>0.53509693344518849</v>
      </c>
    </row>
    <row r="2916" spans="1:4">
      <c r="A2916">
        <v>1.1337759999999999</v>
      </c>
      <c r="B2916">
        <v>3.3004829999999998</v>
      </c>
      <c r="C2916">
        <f>LOG10(1.133776)</f>
        <v>5.4527259518698155E-2</v>
      </c>
      <c r="D2916">
        <f>LOG10(3.300483)</f>
        <v>0.51857750014616899</v>
      </c>
    </row>
    <row r="2917" spans="1:4">
      <c r="A2917">
        <v>1.1071569999999999</v>
      </c>
      <c r="B2917">
        <v>3.399966</v>
      </c>
      <c r="C2917">
        <f>LOG10(1.107157)</f>
        <v>4.420921021838848E-2</v>
      </c>
      <c r="D2917">
        <f>LOG10(3.399966)</f>
        <v>0.53147457407572118</v>
      </c>
    </row>
    <row r="2918" spans="1:4">
      <c r="A2918">
        <v>1.1429229999999999</v>
      </c>
      <c r="B2918">
        <v>3.266667</v>
      </c>
      <c r="C2918">
        <f>LOG10(1.142923)</f>
        <v>5.8016972476166148E-2</v>
      </c>
      <c r="D2918">
        <f>LOG10(3.266667)</f>
        <v>0.51410486528859367</v>
      </c>
    </row>
    <row r="2919" spans="1:4">
      <c r="A2919">
        <v>1.133132</v>
      </c>
      <c r="B2919">
        <v>3.2657060000000002</v>
      </c>
      <c r="C2919">
        <f>LOG10(1.133132)</f>
        <v>5.4280504331571278E-2</v>
      </c>
      <c r="D2919">
        <f>LOG10(3.265706)</f>
        <v>0.51397708415909604</v>
      </c>
    </row>
    <row r="2920" spans="1:4">
      <c r="A2920">
        <v>1.153759</v>
      </c>
      <c r="B2920">
        <v>3.221838</v>
      </c>
      <c r="C2920">
        <f>LOG10(1.153759)</f>
        <v>6.2115101800028875E-2</v>
      </c>
      <c r="D2920">
        <f>LOG10(3.221838)</f>
        <v>0.50810369949882728</v>
      </c>
    </row>
    <row r="2921" spans="1:4">
      <c r="A2921">
        <v>1.1260330000000001</v>
      </c>
      <c r="B2921">
        <v>3.1909130000000001</v>
      </c>
      <c r="C2921">
        <f>LOG10(1.126033)</f>
        <v>5.1551118319852367E-2</v>
      </c>
      <c r="D2921">
        <f>LOG10(3.190913)</f>
        <v>0.50391496334894614</v>
      </c>
    </row>
    <row r="2922" spans="1:4">
      <c r="A2922">
        <v>1.092409</v>
      </c>
      <c r="B2922">
        <v>3.2197480000000001</v>
      </c>
      <c r="C2922">
        <f>LOG10(1.092409)</f>
        <v>3.8385269492444904E-2</v>
      </c>
      <c r="D2922">
        <f>LOG10(3.219748)</f>
        <v>0.50782188210198487</v>
      </c>
    </row>
    <row r="2923" spans="1:4">
      <c r="A2923">
        <v>1.1000000000000001</v>
      </c>
      <c r="B2923">
        <v>3.569258</v>
      </c>
      <c r="C2923">
        <f>LOG10(1.1)</f>
        <v>4.1392685158225077E-2</v>
      </c>
      <c r="D2923">
        <f>LOG10(3.569258)</f>
        <v>0.55257794160278828</v>
      </c>
    </row>
    <row r="2924" spans="1:4">
      <c r="A2924">
        <v>1.0929500000000001</v>
      </c>
      <c r="B2924">
        <v>3.28349</v>
      </c>
      <c r="C2924">
        <f>LOG10(1.09295)</f>
        <v>3.860029441009858E-2</v>
      </c>
      <c r="D2924">
        <f>LOG10(3.28349)</f>
        <v>0.51633569796442846</v>
      </c>
    </row>
    <row r="2925" spans="1:4">
      <c r="A2925">
        <v>1.1440680000000001</v>
      </c>
      <c r="B2925">
        <v>2.62</v>
      </c>
      <c r="C2925">
        <f>LOG10(1.144068)</f>
        <v>5.8451838396781794E-2</v>
      </c>
      <c r="D2925">
        <f>LOG10(2.62)</f>
        <v>0.41830129131974547</v>
      </c>
    </row>
    <row r="2926" spans="1:4">
      <c r="A2926">
        <v>1.0108379999999999</v>
      </c>
      <c r="B2926">
        <v>3.5172919999999999</v>
      </c>
      <c r="C2926">
        <f>LOG10(1.010838)</f>
        <v>4.6815598012108521E-3</v>
      </c>
      <c r="D2926">
        <f>LOG10(3.517292)</f>
        <v>0.54620842425229144</v>
      </c>
    </row>
    <row r="2927" spans="1:4">
      <c r="A2927">
        <v>1.0072950000000001</v>
      </c>
      <c r="B2927">
        <v>3.4286819999999998</v>
      </c>
      <c r="C2927">
        <f>LOG10(1.007295)</f>
        <v>3.1566782099716746E-3</v>
      </c>
      <c r="D2927">
        <f>LOG10(3.428682)</f>
        <v>0.53512720746854869</v>
      </c>
    </row>
    <row r="2928" spans="1:4">
      <c r="A2928">
        <v>1.006375</v>
      </c>
      <c r="B2928">
        <v>3.414793</v>
      </c>
      <c r="C2928">
        <f>LOG10(1.006375)</f>
        <v>2.7598396503751782E-3</v>
      </c>
      <c r="D2928">
        <f>LOG10(3.414793)</f>
        <v>0.53336438248827645</v>
      </c>
    </row>
    <row r="2929" spans="1:4">
      <c r="A2929">
        <v>1.00892</v>
      </c>
      <c r="B2929">
        <v>3.5245820000000001</v>
      </c>
      <c r="C2929">
        <f>LOG10(1.00892)</f>
        <v>3.856731216126303E-3</v>
      </c>
      <c r="D2929">
        <f>LOG10(3.524582)</f>
        <v>0.54710761895645477</v>
      </c>
    </row>
    <row r="2930" spans="1:4">
      <c r="A2930">
        <v>1.004934</v>
      </c>
      <c r="B2930">
        <v>3.4066149999999999</v>
      </c>
      <c r="C2930">
        <f>LOG10(1.004934)</f>
        <v>2.137539988314373E-3</v>
      </c>
      <c r="D2930">
        <f>LOG10(3.406615)</f>
        <v>0.53232305437108962</v>
      </c>
    </row>
    <row r="2931" spans="1:4">
      <c r="A2931">
        <v>1.004389</v>
      </c>
      <c r="B2931">
        <v>3.5716410000000001</v>
      </c>
      <c r="C2931">
        <f>LOG10(1.004389)</f>
        <v>1.901947703309301E-3</v>
      </c>
      <c r="D2931">
        <f>LOG10(3.571641)</f>
        <v>0.55286779972535605</v>
      </c>
    </row>
    <row r="2932" spans="1:4">
      <c r="A2932">
        <v>1.0057910000000001</v>
      </c>
      <c r="B2932">
        <v>3.491727</v>
      </c>
      <c r="C2932">
        <f>LOG10(1.005791)</f>
        <v>2.5077451566276397E-3</v>
      </c>
      <c r="D2932">
        <f>LOG10(3.491727)</f>
        <v>0.54304028113080371</v>
      </c>
    </row>
    <row r="2933" spans="1:4">
      <c r="A2933">
        <v>1.011746</v>
      </c>
      <c r="B2933">
        <v>3.5155880000000002</v>
      </c>
      <c r="C2933">
        <f>LOG10(1.011746)</f>
        <v>5.0714960570694655E-3</v>
      </c>
      <c r="D2933">
        <f>LOG10(3.515588)</f>
        <v>0.54599797339527578</v>
      </c>
    </row>
    <row r="2934" spans="1:4">
      <c r="A2934">
        <v>1.0062930000000001</v>
      </c>
      <c r="B2934">
        <v>3.1655760000000002</v>
      </c>
      <c r="C2934">
        <f>LOG10(1.006293)</f>
        <v>2.7244516504310902E-3</v>
      </c>
      <c r="D2934">
        <f>LOG10(3.165576)</f>
        <v>0.50045274464138145</v>
      </c>
    </row>
    <row r="2935" spans="1:4">
      <c r="A2935">
        <v>1.008772</v>
      </c>
      <c r="B2935">
        <v>3.1885180000000002</v>
      </c>
      <c r="C2935">
        <f>LOG10(1.008772)</f>
        <v>3.7930192289280852E-3</v>
      </c>
      <c r="D2935">
        <f>LOG10(3.188518)</f>
        <v>0.50358887303367339</v>
      </c>
    </row>
    <row r="2936" spans="1:4">
      <c r="A2936">
        <v>1.011425</v>
      </c>
      <c r="B2936">
        <v>3.1499700000000002</v>
      </c>
      <c r="C2936">
        <f>LOG10(1.011425)</f>
        <v>4.9336841470917579E-3</v>
      </c>
      <c r="D2936">
        <f>LOG10(3.14997)</f>
        <v>0.49830641763198164</v>
      </c>
    </row>
    <row r="2937" spans="1:4">
      <c r="A2937">
        <v>1.0100020000000001</v>
      </c>
      <c r="B2937">
        <v>3.279207</v>
      </c>
      <c r="C2937">
        <f>LOG10(1.010002)</f>
        <v>4.3222337708642058E-3</v>
      </c>
      <c r="D2937">
        <f>LOG10(3.279207)</f>
        <v>0.51576883238155113</v>
      </c>
    </row>
    <row r="2938" spans="1:4">
      <c r="A2938">
        <v>1.0057339999999999</v>
      </c>
      <c r="B2938">
        <v>4.0838789999999996</v>
      </c>
      <c r="C2938">
        <f>LOG10(1.005734)</f>
        <v>2.483132203296017E-3</v>
      </c>
      <c r="D2938">
        <f>LOG10(4.083879)</f>
        <v>0.61107286602731359</v>
      </c>
    </row>
    <row r="2939" spans="1:4">
      <c r="A2939">
        <v>1.008202</v>
      </c>
      <c r="B2939">
        <v>4.0112550000000002</v>
      </c>
      <c r="C2939">
        <f>LOG10(1.008202)</f>
        <v>3.5475546257404777E-3</v>
      </c>
      <c r="D2939">
        <f>LOG10(4.011255)</f>
        <v>0.60328027144879104</v>
      </c>
    </row>
    <row r="2940" spans="1:4">
      <c r="A2940">
        <v>1.0184299999999999</v>
      </c>
      <c r="B2940">
        <v>3.5072369999999999</v>
      </c>
      <c r="C2940">
        <f>LOG10(1.01843)</f>
        <v>7.9311838924168467E-3</v>
      </c>
      <c r="D2940">
        <f>LOG10(3.507237)</f>
        <v>0.54496511413199655</v>
      </c>
    </row>
    <row r="2941" spans="1:4">
      <c r="A2941">
        <v>1.0071810000000001</v>
      </c>
      <c r="B2941">
        <v>3.507698</v>
      </c>
      <c r="C2941">
        <f>LOG10(1.007181)</f>
        <v>3.1075244141559894E-3</v>
      </c>
      <c r="D2941">
        <f>LOG10(3.507698)</f>
        <v>0.5450221951331593</v>
      </c>
    </row>
    <row r="2942" spans="1:4">
      <c r="A2942">
        <v>1.006432</v>
      </c>
      <c r="B2942">
        <v>3.3811170000000002</v>
      </c>
      <c r="C2942">
        <f>LOG10(1.006432)</f>
        <v>2.7844369271881977E-3</v>
      </c>
      <c r="D2942">
        <f>LOG10(3.381117)</f>
        <v>0.52906019932986736</v>
      </c>
    </row>
    <row r="2943" spans="1:4">
      <c r="A2943">
        <v>1.0054339999999999</v>
      </c>
      <c r="B2943">
        <v>3.3445109999999998</v>
      </c>
      <c r="C2943">
        <f>LOG10(1.005434)</f>
        <v>2.3535673479111847E-3</v>
      </c>
      <c r="D2943">
        <f>LOG10(3.344511)</f>
        <v>0.52433262867299801</v>
      </c>
    </row>
    <row r="2944" spans="1:4">
      <c r="A2944">
        <v>1.012165</v>
      </c>
      <c r="B2944">
        <v>3.8779690000000002</v>
      </c>
      <c r="C2944">
        <f>LOG10(1.012165)</f>
        <v>5.251315614863394E-3</v>
      </c>
      <c r="D2944">
        <f>LOG10(3.877969)</f>
        <v>0.58860433306069848</v>
      </c>
    </row>
    <row r="2945" spans="1:4">
      <c r="A2945">
        <v>1.008699</v>
      </c>
      <c r="B2945">
        <v>3.7916609999999999</v>
      </c>
      <c r="C2945">
        <f>LOG10(1.008699)</f>
        <v>3.7615902793245773E-3</v>
      </c>
      <c r="D2945">
        <f>LOG10(3.791661)</f>
        <v>0.57882950155351309</v>
      </c>
    </row>
    <row r="2946" spans="1:4">
      <c r="A2946">
        <v>1.0049140000000001</v>
      </c>
      <c r="B2946">
        <v>3.5017610000000001</v>
      </c>
      <c r="C2946">
        <f>LOG10(1.004914)</f>
        <v>2.1288966584323997E-3</v>
      </c>
      <c r="D2946">
        <f>LOG10(3.501761)</f>
        <v>0.54428650156375602</v>
      </c>
    </row>
    <row r="2947" spans="1:4">
      <c r="A2947">
        <v>1.00688</v>
      </c>
      <c r="B2947">
        <v>3.6567850000000002</v>
      </c>
      <c r="C2947">
        <f>LOG10(1.00688)</f>
        <v>2.9777144034103774E-3</v>
      </c>
      <c r="D2947">
        <f>LOG10(3.656785)</f>
        <v>0.56309942682464853</v>
      </c>
    </row>
    <row r="2948" spans="1:4">
      <c r="A2948">
        <v>1.011083</v>
      </c>
      <c r="B2948">
        <v>3.808487</v>
      </c>
      <c r="C2948">
        <f>LOG10(1.011083)</f>
        <v>4.786808372828708E-3</v>
      </c>
      <c r="D2948">
        <f>LOG10(3.808487)</f>
        <v>0.5807524774985513</v>
      </c>
    </row>
    <row r="2949" spans="1:4">
      <c r="A2949">
        <v>1.0052540000000001</v>
      </c>
      <c r="B2949">
        <v>3.6721699999999999</v>
      </c>
      <c r="C2949">
        <f>LOG10(1.005254)</f>
        <v>2.2758098768850005E-3</v>
      </c>
      <c r="D2949">
        <f>LOG10(3.67217)</f>
        <v>0.5649227782898113</v>
      </c>
    </row>
    <row r="2950" spans="1:4">
      <c r="A2950">
        <v>1.005374</v>
      </c>
      <c r="B2950">
        <v>3.4513919999999998</v>
      </c>
      <c r="C2950">
        <f>LOG10(1.005374)</f>
        <v>2.3276497377545642E-3</v>
      </c>
      <c r="D2950">
        <f>LOG10(3.451392)</f>
        <v>0.53799428811462213</v>
      </c>
    </row>
    <row r="2951" spans="1:4">
      <c r="A2951">
        <v>1.010608</v>
      </c>
      <c r="B2951">
        <v>3.6874920000000002</v>
      </c>
      <c r="C2951">
        <f>LOG10(1.010608)</f>
        <v>4.5827318025714898E-3</v>
      </c>
      <c r="D2951">
        <f>LOG10(3.687492)</f>
        <v>0.56673108678699935</v>
      </c>
    </row>
    <row r="2952" spans="1:4">
      <c r="A2952">
        <v>1.0051460000000001</v>
      </c>
      <c r="B2952">
        <v>3.7147749999999999</v>
      </c>
      <c r="C2952">
        <f>LOG10(1.005146)</f>
        <v>2.2291487108576724E-3</v>
      </c>
      <c r="D2952">
        <f>LOG10(3.714775)</f>
        <v>0.56993251413491075</v>
      </c>
    </row>
    <row r="2953" spans="1:4">
      <c r="A2953">
        <v>1.011096</v>
      </c>
      <c r="B2953">
        <v>3.6811090000000002</v>
      </c>
      <c r="C2953">
        <f>LOG10(1.011096)</f>
        <v>4.7923922783730116E-3</v>
      </c>
      <c r="D2953">
        <f>LOG10(3.681109)</f>
        <v>0.56597867737539931</v>
      </c>
    </row>
    <row r="2954" spans="1:4">
      <c r="A2954">
        <v>1.0055069999999999</v>
      </c>
      <c r="B2954">
        <v>3.587199</v>
      </c>
      <c r="C2954">
        <f>LOG10(1.005507)</f>
        <v>2.3850983547312344E-3</v>
      </c>
      <c r="D2954">
        <f>LOG10(3.587199)</f>
        <v>0.55475546984704283</v>
      </c>
    </row>
    <row r="2955" spans="1:4">
      <c r="A2955">
        <v>1.0092410000000001</v>
      </c>
      <c r="B2955">
        <v>3.3185980000000002</v>
      </c>
      <c r="C2955">
        <f>LOG10(1.009241)</f>
        <v>3.9948852383936738E-3</v>
      </c>
      <c r="D2955">
        <f>LOG10(3.318598)</f>
        <v>0.52095464711917894</v>
      </c>
    </row>
    <row r="2956" spans="1:4">
      <c r="A2956">
        <v>1.005368</v>
      </c>
      <c r="B2956">
        <v>3.6004399999999999</v>
      </c>
      <c r="C2956">
        <f>LOG10(1.005368)</f>
        <v>2.325057891668487E-3</v>
      </c>
      <c r="D2956">
        <f>LOG10(3.60044)</f>
        <v>0.55635557796042412</v>
      </c>
    </row>
    <row r="2957" spans="1:4">
      <c r="A2957">
        <v>1.0073529999999999</v>
      </c>
      <c r="B2957">
        <v>3.6076229999999998</v>
      </c>
      <c r="C2957">
        <f>LOG10(1.007353)</f>
        <v>3.1816841464502063E-3</v>
      </c>
      <c r="D2957">
        <f>LOG10(3.607623)</f>
        <v>0.55722114705884596</v>
      </c>
    </row>
    <row r="2958" spans="1:4">
      <c r="A2958">
        <v>1.0058940000000001</v>
      </c>
      <c r="B2958">
        <v>3.4302199999999998</v>
      </c>
      <c r="C2958">
        <f>LOG10(1.005894)</f>
        <v>2.5522176577151444E-3</v>
      </c>
      <c r="D2958">
        <f>LOG10(3.43022)</f>
        <v>0.53532197477222565</v>
      </c>
    </row>
    <row r="2959" spans="1:4">
      <c r="A2959">
        <v>1.0063740000000001</v>
      </c>
      <c r="B2959">
        <v>3.505064</v>
      </c>
      <c r="C2959">
        <f>LOG10(1.006374)</f>
        <v>2.7594081067680346E-3</v>
      </c>
      <c r="D2959">
        <f>LOG10(3.505064)</f>
        <v>0.54469595228643863</v>
      </c>
    </row>
    <row r="2960" spans="1:4">
      <c r="A2960">
        <v>1.005449</v>
      </c>
      <c r="B2960">
        <v>3.7541509999999998</v>
      </c>
      <c r="C2960">
        <f>LOG10(1.005449)</f>
        <v>2.3600465087859966E-3</v>
      </c>
      <c r="D2960">
        <f>LOG10(3.754151)</f>
        <v>0.57451173689158652</v>
      </c>
    </row>
    <row r="2961" spans="1:4">
      <c r="A2961">
        <v>1.0100610000000001</v>
      </c>
      <c r="B2961">
        <v>3.4852699999999999</v>
      </c>
      <c r="C2961">
        <f>LOG10(1.010061)</f>
        <v>4.3476026573193221E-3</v>
      </c>
      <c r="D2961">
        <f>LOG10(3.48527)</f>
        <v>0.54223642804895344</v>
      </c>
    </row>
    <row r="2962" spans="1:4">
      <c r="A2962">
        <v>1.007509</v>
      </c>
      <c r="B2962">
        <v>3.7667950000000001</v>
      </c>
      <c r="C2962">
        <f>LOG10(1.007509)</f>
        <v>3.2489343495036207E-3</v>
      </c>
      <c r="D2962">
        <f>LOG10(3.766795)</f>
        <v>0.57597198527059101</v>
      </c>
    </row>
    <row r="2963" spans="1:4">
      <c r="A2963">
        <v>1.02505</v>
      </c>
      <c r="B2963">
        <v>3.5384880000000001</v>
      </c>
      <c r="C2963">
        <f>LOG10(1.02505)</f>
        <v>1.0745049971758446E-2</v>
      </c>
      <c r="D2963">
        <f>LOG10(3.538488)</f>
        <v>0.54881772713002341</v>
      </c>
    </row>
    <row r="2964" spans="1:4">
      <c r="A2964">
        <v>1.0036499999999999</v>
      </c>
      <c r="B2964">
        <v>3.5838670000000001</v>
      </c>
      <c r="C2964">
        <f>LOG10(1.00365)</f>
        <v>1.5822889351120896E-3</v>
      </c>
      <c r="D2964">
        <f>LOG10(3.583867)</f>
        <v>0.55435188429425608</v>
      </c>
    </row>
    <row r="2965" spans="1:4">
      <c r="A2965">
        <v>1.0179499999999999</v>
      </c>
      <c r="B2965">
        <v>3.5041880000000001</v>
      </c>
      <c r="C2965">
        <f>LOG10(1.01795)</f>
        <v>7.7264467066516128E-3</v>
      </c>
      <c r="D2965">
        <f>LOG10(3.504188)</f>
        <v>0.54458739805893253</v>
      </c>
    </row>
    <row r="2966" spans="1:4">
      <c r="A2966">
        <v>1.005541</v>
      </c>
      <c r="B2966">
        <v>3.9979979999999999</v>
      </c>
      <c r="C2966">
        <f>LOG10(1.005541)</f>
        <v>2.3997832477682542E-3</v>
      </c>
      <c r="D2966">
        <f>LOG10(3.997998)</f>
        <v>0.6018425725261749</v>
      </c>
    </row>
    <row r="2967" spans="1:4">
      <c r="A2967">
        <v>1.0062800000000001</v>
      </c>
      <c r="B2967">
        <v>3.4493640000000001</v>
      </c>
      <c r="C2967">
        <f>LOG10(1.00628)</f>
        <v>2.7188410929359446E-3</v>
      </c>
      <c r="D2967">
        <f>LOG10(3.449364)</f>
        <v>0.53773902644918858</v>
      </c>
    </row>
    <row r="2968" spans="1:4">
      <c r="A2968">
        <v>1.0057739999999999</v>
      </c>
      <c r="B2968">
        <v>3.5917279999999998</v>
      </c>
      <c r="C2968">
        <f>LOG10(1.005774)</f>
        <v>2.5004045972198169E-3</v>
      </c>
      <c r="D2968">
        <f>LOG10(3.591728)</f>
        <v>0.55530344030822343</v>
      </c>
    </row>
    <row r="2969" spans="1:4">
      <c r="A2969">
        <v>1.0054510000000001</v>
      </c>
      <c r="B2969">
        <v>3.5178240000000001</v>
      </c>
      <c r="C2969">
        <f>LOG10(1.005451)</f>
        <v>2.3609103895993952E-3</v>
      </c>
      <c r="D2969">
        <f>LOG10(3.517824)</f>
        <v>0.54627410750891803</v>
      </c>
    </row>
    <row r="2970" spans="1:4">
      <c r="A2970">
        <v>1.0035670000000001</v>
      </c>
      <c r="B2970">
        <v>3.700491</v>
      </c>
      <c r="C2970">
        <f>LOG10(1.003567)</f>
        <v>1.5463720989967692E-3</v>
      </c>
      <c r="D2970">
        <f>LOG10(3.700491)</f>
        <v>0.56825935229488622</v>
      </c>
    </row>
    <row r="2971" spans="1:4">
      <c r="A2971">
        <v>1.0068459999999999</v>
      </c>
      <c r="B2971">
        <v>3.4405019999999999</v>
      </c>
      <c r="C2971">
        <f>LOG10(1.006846)</f>
        <v>2.9630490394173094E-3</v>
      </c>
      <c r="D2971">
        <f>LOG10(3.440502)</f>
        <v>0.53662181464243486</v>
      </c>
    </row>
    <row r="2972" spans="1:4">
      <c r="A2972">
        <v>1.00942</v>
      </c>
      <c r="B2972">
        <v>3.8230940000000002</v>
      </c>
      <c r="C2972">
        <f>LOG10(1.00942)</f>
        <v>4.0719053150329908E-3</v>
      </c>
      <c r="D2972">
        <f>LOG10(3.823094)</f>
        <v>0.58241497632910411</v>
      </c>
    </row>
    <row r="2973" spans="1:4">
      <c r="A2973">
        <v>1.005504</v>
      </c>
      <c r="B2973">
        <v>3.7259340000000001</v>
      </c>
      <c r="C2973">
        <f>LOG10(1.005504)</f>
        <v>2.3838026050354844E-3</v>
      </c>
      <c r="D2973">
        <f>LOG10(3.725934)</f>
        <v>0.57123515767518052</v>
      </c>
    </row>
    <row r="2974" spans="1:4">
      <c r="A2974">
        <v>1.003925</v>
      </c>
      <c r="B2974">
        <v>3.891162</v>
      </c>
      <c r="C2974">
        <f>LOG10(1.003925)</f>
        <v>1.7012692803249959E-3</v>
      </c>
      <c r="D2974">
        <f>LOG10(3.891162)</f>
        <v>0.59007931207886333</v>
      </c>
    </row>
    <row r="2975" spans="1:4">
      <c r="A2975">
        <v>1.0048569999999999</v>
      </c>
      <c r="B2975">
        <v>3.9923350000000002</v>
      </c>
      <c r="C2975">
        <f>LOG10(1.004857)</f>
        <v>2.1042622244842454E-3</v>
      </c>
      <c r="D2975">
        <f>LOG10(3.992335)</f>
        <v>0.60122697613918941</v>
      </c>
    </row>
    <row r="2976" spans="1:4">
      <c r="A2976">
        <v>1.009833</v>
      </c>
      <c r="B2976">
        <v>3.5733069999999998</v>
      </c>
      <c r="C2976">
        <f>LOG10(1.009833)</f>
        <v>4.2495587576943565E-3</v>
      </c>
      <c r="D2976">
        <f>LOG10(3.573307)</f>
        <v>0.55307033013424445</v>
      </c>
    </row>
    <row r="2977" spans="1:4">
      <c r="A2977">
        <v>1.012173</v>
      </c>
      <c r="B2977">
        <v>3.4180450000000002</v>
      </c>
      <c r="C2977">
        <f>LOG10(1.012173)</f>
        <v>5.2547481995950419E-3</v>
      </c>
      <c r="D2977">
        <f>LOG10(3.418045)</f>
        <v>0.53377777609186772</v>
      </c>
    </row>
    <row r="2978" spans="1:4">
      <c r="A2978">
        <v>1.005611</v>
      </c>
      <c r="B2978">
        <v>3.476518</v>
      </c>
      <c r="C2978">
        <f>LOG10(1.005611)</f>
        <v>2.4300152876593319E-3</v>
      </c>
      <c r="D2978">
        <f>LOG10(3.476518)</f>
        <v>0.54114448232811718</v>
      </c>
    </row>
    <row r="2979" spans="1:4">
      <c r="A2979">
        <v>1.0047630000000001</v>
      </c>
      <c r="B2979">
        <v>3.4415200000000001</v>
      </c>
      <c r="C2979">
        <f>LOG10(1.004763)</f>
        <v>2.0636339650833648E-3</v>
      </c>
      <c r="D2979">
        <f>LOG10(3.44152)</f>
        <v>0.53675029774981298</v>
      </c>
    </row>
    <row r="2980" spans="1:4">
      <c r="A2980">
        <v>1.0107390000000001</v>
      </c>
      <c r="B2980">
        <v>3.6406740000000002</v>
      </c>
      <c r="C2980">
        <f>LOG10(1.010739)</f>
        <v>4.6390235498162949E-3</v>
      </c>
      <c r="D2980">
        <f>LOG10(3.640674)</f>
        <v>0.56118179227101572</v>
      </c>
    </row>
    <row r="2981" spans="1:4">
      <c r="A2981">
        <v>1.0052460000000001</v>
      </c>
      <c r="B2981">
        <v>3.4017490000000001</v>
      </c>
      <c r="C2981">
        <f>LOG10(1.005246)</f>
        <v>2.2723536661361839E-3</v>
      </c>
      <c r="D2981">
        <f>LOG10(3.401749)</f>
        <v>0.53170226579140489</v>
      </c>
    </row>
    <row r="2982" spans="1:4">
      <c r="A2982">
        <v>1.0065630000000001</v>
      </c>
      <c r="B2982">
        <v>3.44719</v>
      </c>
      <c r="C2982">
        <f>LOG10(1.006563)</f>
        <v>2.8409622312348393E-3</v>
      </c>
      <c r="D2982">
        <f>LOG10(3.44719)</f>
        <v>0.53746522123141416</v>
      </c>
    </row>
    <row r="2983" spans="1:4">
      <c r="A2983">
        <v>1.0119339999999999</v>
      </c>
      <c r="B2983">
        <v>3.5117590000000001</v>
      </c>
      <c r="C2983">
        <f>LOG10(1.011934)</f>
        <v>5.1521880269783755E-3</v>
      </c>
      <c r="D2983">
        <f>LOG10(3.511759)</f>
        <v>0.54552470411292153</v>
      </c>
    </row>
    <row r="2984" spans="1:4">
      <c r="A2984">
        <v>1.007096</v>
      </c>
      <c r="B2984">
        <v>3.3270369999999998</v>
      </c>
      <c r="C2984">
        <f>LOG10(1.007096)</f>
        <v>3.0708710333312694E-3</v>
      </c>
      <c r="D2984">
        <f>LOG10(3.327037)</f>
        <v>0.5220576306874215</v>
      </c>
    </row>
    <row r="2985" spans="1:4">
      <c r="A2985">
        <v>1.0088360000000001</v>
      </c>
      <c r="B2985">
        <v>3.5534759999999999</v>
      </c>
      <c r="C2985">
        <f>LOG10(1.008836)</f>
        <v>3.8205715055359872E-3</v>
      </c>
      <c r="D2985">
        <f>LOG10(3.553476)</f>
        <v>0.55065338658504148</v>
      </c>
    </row>
    <row r="2986" spans="1:4">
      <c r="A2986">
        <v>1.0061659999999999</v>
      </c>
      <c r="B2986">
        <v>3.5950099999999998</v>
      </c>
      <c r="C2986">
        <f>LOG10(1.006166)</f>
        <v>2.6696377145695172E-3</v>
      </c>
      <c r="D2986">
        <f>LOG10(3.59501)</f>
        <v>0.55570010276863124</v>
      </c>
    </row>
    <row r="2987" spans="1:4">
      <c r="A2987">
        <v>1.01305</v>
      </c>
      <c r="B2987">
        <v>3.4765980000000001</v>
      </c>
      <c r="C2987">
        <f>LOG10(1.01305)</f>
        <v>5.6308808866490506E-3</v>
      </c>
      <c r="D2987">
        <f>LOG10(3.476598)</f>
        <v>0.54115447599385025</v>
      </c>
    </row>
    <row r="2988" spans="1:4">
      <c r="A2988">
        <v>1.007927</v>
      </c>
      <c r="B2988">
        <v>3.365513</v>
      </c>
      <c r="C2988">
        <f>LOG10(1.007927)</f>
        <v>3.4290790884469067E-3</v>
      </c>
      <c r="D2988">
        <f>LOG10(3.365513)</f>
        <v>0.52705127244954997</v>
      </c>
    </row>
    <row r="2989" spans="1:4">
      <c r="A2989">
        <v>1.008027</v>
      </c>
      <c r="B2989">
        <v>3.436461</v>
      </c>
      <c r="C2989">
        <f>LOG10(1.008027)</f>
        <v>3.472164841619788E-3</v>
      </c>
      <c r="D2989">
        <f>LOG10(3.436461)</f>
        <v>0.53611141951500318</v>
      </c>
    </row>
    <row r="2990" spans="1:4">
      <c r="A2990">
        <v>1.0087699999999999</v>
      </c>
      <c r="B2990">
        <v>3.4680240000000002</v>
      </c>
      <c r="C2990">
        <f>LOG10(1.00877)</f>
        <v>3.7921581921181134E-3</v>
      </c>
      <c r="D2990">
        <f>LOG10(3.468024)</f>
        <v>0.54008209429191778</v>
      </c>
    </row>
    <row r="2991" spans="1:4">
      <c r="A2991">
        <v>1.0113859999999999</v>
      </c>
      <c r="B2991">
        <v>3.2262439999999999</v>
      </c>
      <c r="C2991">
        <f>LOG10(1.011386)</f>
        <v>4.9169376643048053E-3</v>
      </c>
      <c r="D2991">
        <f>LOG10(3.226244)</f>
        <v>0.50869720987449341</v>
      </c>
    </row>
    <row r="2992" spans="1:4">
      <c r="A2992">
        <v>1.0069360000000001</v>
      </c>
      <c r="B2992">
        <v>3.5769850000000001</v>
      </c>
      <c r="C2992">
        <f>LOG10(1.006936)</f>
        <v>3.0018680410742703E-3</v>
      </c>
      <c r="D2992">
        <f>LOG10(3.576985)</f>
        <v>0.55351711894939237</v>
      </c>
    </row>
    <row r="2993" spans="1:4">
      <c r="A2993">
        <v>1.007018</v>
      </c>
      <c r="B2993">
        <v>3.2966899999999999</v>
      </c>
      <c r="C2993">
        <f>LOG10(1.007018)</f>
        <v>3.037233444192424E-3</v>
      </c>
      <c r="D2993">
        <f>LOG10(3.29669)</f>
        <v>0.51807811074062593</v>
      </c>
    </row>
    <row r="2994" spans="1:4">
      <c r="A2994">
        <v>1.015107</v>
      </c>
      <c r="B2994">
        <v>3.3133170000000001</v>
      </c>
      <c r="C2994">
        <f>LOG10(1.015107)</f>
        <v>6.5118226042639163E-3</v>
      </c>
      <c r="D2994">
        <f>LOG10(3.313317)</f>
        <v>0.52026298878408295</v>
      </c>
    </row>
    <row r="2995" spans="1:4">
      <c r="A2995">
        <v>1.008912</v>
      </c>
      <c r="B2995">
        <v>3.3670390000000001</v>
      </c>
      <c r="C2995">
        <f>LOG10(1.008912)</f>
        <v>3.8532875638745321E-3</v>
      </c>
      <c r="D2995">
        <f>LOG10(3.367039)</f>
        <v>0.5272481467969693</v>
      </c>
    </row>
    <row r="2996" spans="1:4">
      <c r="A2996">
        <v>1.004945</v>
      </c>
      <c r="B2996">
        <v>3.2984040000000001</v>
      </c>
      <c r="C2996">
        <f>LOG10(1.004945)</f>
        <v>2.142293746427151E-3</v>
      </c>
      <c r="D2996">
        <f>LOG10(3.298404)</f>
        <v>0.51830384846589306</v>
      </c>
    </row>
    <row r="2997" spans="1:4">
      <c r="A2997">
        <v>1.0080750000000001</v>
      </c>
      <c r="B2997">
        <v>3.4924559999999998</v>
      </c>
      <c r="C2997">
        <f>LOG10(1.008075)</f>
        <v>3.4928444849466789E-3</v>
      </c>
      <c r="D2997">
        <f>LOG10(3.492456)</f>
        <v>0.54313094332520984</v>
      </c>
    </row>
    <row r="2998" spans="1:4">
      <c r="A2998">
        <v>1.011368</v>
      </c>
      <c r="B2998">
        <v>3.5865499999999999</v>
      </c>
      <c r="C2998">
        <f>LOG10(1.011368)</f>
        <v>4.9092083006012609E-3</v>
      </c>
      <c r="D2998">
        <f>LOG10(3.58655)</f>
        <v>0.55467688970170337</v>
      </c>
    </row>
    <row r="2999" spans="1:4">
      <c r="A2999">
        <v>1.0067569999999999</v>
      </c>
      <c r="B2999">
        <v>3.2457220000000002</v>
      </c>
      <c r="C2999">
        <f>LOG10(1.006757)</f>
        <v>2.9246579475143255E-3</v>
      </c>
      <c r="D2999">
        <f>LOG10(3.245722)</f>
        <v>0.51131131923749529</v>
      </c>
    </row>
    <row r="3000" spans="1:4">
      <c r="A3000">
        <v>1.006561</v>
      </c>
      <c r="B3000">
        <v>3.475819</v>
      </c>
      <c r="C3000">
        <f>LOG10(1.006561)</f>
        <v>2.8400993047943105E-3</v>
      </c>
      <c r="D3000">
        <f>LOG10(3.475819)</f>
        <v>0.5410571528894339</v>
      </c>
    </row>
    <row r="3001" spans="1:4">
      <c r="A3001">
        <v>1.005887</v>
      </c>
      <c r="B3001">
        <v>3.3511769999999999</v>
      </c>
      <c r="C3001">
        <f>LOG10(1.005887)</f>
        <v>2.5491953989569853E-3</v>
      </c>
      <c r="D3001">
        <f>LOG10(3.351177)</f>
        <v>0.52519736668732353</v>
      </c>
    </row>
    <row r="3002" spans="1:4">
      <c r="A3002">
        <v>1.0101450000000001</v>
      </c>
      <c r="B3002">
        <v>3.248418</v>
      </c>
      <c r="C3002">
        <f>LOG10(1.010145)</f>
        <v>4.3837185153069586E-3</v>
      </c>
      <c r="D3002">
        <f>LOG10(3.248418)</f>
        <v>0.51167190831949061</v>
      </c>
    </row>
    <row r="3003" spans="1:4">
      <c r="A3003">
        <v>1.005215</v>
      </c>
      <c r="B3003">
        <v>3.6611760000000002</v>
      </c>
      <c r="C3003">
        <f>LOG10(1.005215)</f>
        <v>2.2589605896824578E-3</v>
      </c>
      <c r="D3003">
        <f>LOG10(3.661176)</f>
        <v>0.56362060678144221</v>
      </c>
    </row>
    <row r="3004" spans="1:4">
      <c r="A3004">
        <v>1.0054829999999999</v>
      </c>
      <c r="B3004">
        <v>3.4856009999999999</v>
      </c>
      <c r="C3004">
        <f>LOG10(1.005483)</f>
        <v>2.3747322489165034E-3</v>
      </c>
      <c r="D3004">
        <f>LOG10(3.485601)</f>
        <v>0.54227767152444395</v>
      </c>
    </row>
    <row r="3005" spans="1:4">
      <c r="A3005">
        <v>1.00898</v>
      </c>
      <c r="B3005">
        <v>3.3886970000000001</v>
      </c>
      <c r="C3005">
        <f>LOG10(1.00898)</f>
        <v>3.8825577376802472E-3</v>
      </c>
      <c r="D3005">
        <f>LOG10(3.388697)</f>
        <v>0.53003273817613616</v>
      </c>
    </row>
    <row r="3006" spans="1:4">
      <c r="A3006">
        <v>1.0151520000000001</v>
      </c>
      <c r="B3006">
        <v>3.3738890000000001</v>
      </c>
      <c r="C3006">
        <f>LOG10(1.015152)</f>
        <v>6.531074583138413E-3</v>
      </c>
      <c r="D3006">
        <f>LOG10(3.373889)</f>
        <v>0.5281307903217265</v>
      </c>
    </row>
    <row r="3007" spans="1:4">
      <c r="A3007">
        <v>1.006224</v>
      </c>
      <c r="B3007">
        <v>3.4352520000000002</v>
      </c>
      <c r="C3007">
        <f>LOG10(1.006224)</f>
        <v>2.6946717089318551E-3</v>
      </c>
      <c r="D3007">
        <f>LOG10(3.435252)</f>
        <v>0.5359586011321521</v>
      </c>
    </row>
    <row r="3008" spans="1:4">
      <c r="A3008">
        <v>1.0072810000000001</v>
      </c>
      <c r="B3008">
        <v>3.4446119999999998</v>
      </c>
      <c r="C3008">
        <f>LOG10(1.007281)</f>
        <v>3.1506420785507448E-3</v>
      </c>
      <c r="D3008">
        <f>LOG10(3.444612)</f>
        <v>0.53714031020623743</v>
      </c>
    </row>
    <row r="3009" spans="1:4">
      <c r="A3009">
        <v>1.006955</v>
      </c>
      <c r="B3009">
        <v>3.3256070000000002</v>
      </c>
      <c r="C3009">
        <f>LOG10(1.006955)</f>
        <v>3.0100627200875863E-3</v>
      </c>
      <c r="D3009">
        <f>LOG10(3.325607)</f>
        <v>0.52187092563641124</v>
      </c>
    </row>
    <row r="3010" spans="1:4">
      <c r="A3010">
        <v>1.009611</v>
      </c>
      <c r="B3010">
        <v>3.3582010000000002</v>
      </c>
      <c r="C3010">
        <f>LOG10(1.009611)</f>
        <v>4.1540736881693994E-3</v>
      </c>
      <c r="D3010">
        <f>LOG10(3.358201)</f>
        <v>0.52610668661394488</v>
      </c>
    </row>
    <row r="3011" spans="1:4">
      <c r="A3011">
        <v>1.0106660000000001</v>
      </c>
      <c r="B3011">
        <v>3.4735990000000001</v>
      </c>
      <c r="C3011">
        <f>LOG10(1.010666)</f>
        <v>4.6076557663263804E-3</v>
      </c>
      <c r="D3011">
        <f>LOG10(3.473599)</f>
        <v>0.54077968108312691</v>
      </c>
    </row>
    <row r="3012" spans="1:4">
      <c r="A3012">
        <v>1.0105729999999999</v>
      </c>
      <c r="B3012">
        <v>3.5503819999999999</v>
      </c>
      <c r="C3012">
        <f>LOG10(1.010573)</f>
        <v>4.5676907875726981E-3</v>
      </c>
      <c r="D3012">
        <f>LOG10(3.550382)</f>
        <v>0.55027508307391482</v>
      </c>
    </row>
    <row r="3013" spans="1:4">
      <c r="A3013">
        <v>1.0067429999999999</v>
      </c>
      <c r="B3013">
        <v>3.4995750000000001</v>
      </c>
      <c r="C3013">
        <f>LOG10(1.006743)</f>
        <v>2.9186185904279331E-3</v>
      </c>
      <c r="D3013">
        <f>LOG10(3.499575)</f>
        <v>0.54401530538968568</v>
      </c>
    </row>
    <row r="3014" spans="1:4">
      <c r="A3014">
        <v>1.008545</v>
      </c>
      <c r="B3014">
        <v>3.4655680000000002</v>
      </c>
      <c r="C3014">
        <f>LOG10(1.008545)</f>
        <v>3.6952806506004121E-3</v>
      </c>
      <c r="D3014">
        <f>LOG10(3.465568)</f>
        <v>0.53977442482069293</v>
      </c>
    </row>
    <row r="3015" spans="1:4">
      <c r="A3015">
        <v>1.0081770000000001</v>
      </c>
      <c r="B3015">
        <v>3.3060420000000001</v>
      </c>
      <c r="C3015">
        <f>LOG10(1.008177)</f>
        <v>3.5367854577932692E-3</v>
      </c>
      <c r="D3015">
        <f>LOG10(3.306042)</f>
        <v>0.51930836655314694</v>
      </c>
    </row>
    <row r="3016" spans="1:4">
      <c r="A3016">
        <v>1.0109509999999999</v>
      </c>
      <c r="B3016">
        <v>3.3904969999999999</v>
      </c>
      <c r="C3016">
        <f>LOG10(1.010951)</f>
        <v>4.7301061890942372E-3</v>
      </c>
      <c r="D3016">
        <f>LOG10(3.390497)</f>
        <v>0.53026336443813615</v>
      </c>
    </row>
    <row r="3017" spans="1:4">
      <c r="A3017">
        <v>1.0054460000000001</v>
      </c>
      <c r="B3017">
        <v>3.2273839999999998</v>
      </c>
      <c r="C3017">
        <f>LOG10(1.005446)</f>
        <v>2.3587506843439445E-3</v>
      </c>
      <c r="D3017">
        <f>LOG10(3.227384)</f>
        <v>0.50885064162312199</v>
      </c>
    </row>
    <row r="3018" spans="1:4">
      <c r="A3018">
        <v>1.0125759999999999</v>
      </c>
      <c r="B3018">
        <v>3.3152300000000001</v>
      </c>
      <c r="C3018">
        <f>LOG10(1.012576)</f>
        <v>5.4276295577467652E-3</v>
      </c>
      <c r="D3018">
        <f>LOG10(3.31523)</f>
        <v>0.52051366374103714</v>
      </c>
    </row>
    <row r="3019" spans="1:4">
      <c r="A3019">
        <v>1.0086520000000001</v>
      </c>
      <c r="B3019">
        <v>3.4015789999999999</v>
      </c>
      <c r="C3019">
        <f>LOG10(1.008652)</f>
        <v>3.7413539985255433E-3</v>
      </c>
      <c r="D3019">
        <f>LOG10(3.401579)</f>
        <v>0.53168056168954791</v>
      </c>
    </row>
    <row r="3020" spans="1:4">
      <c r="A3020">
        <v>1.0066170000000001</v>
      </c>
      <c r="B3020">
        <v>3.3575430000000002</v>
      </c>
      <c r="C3020">
        <f>LOG10(1.006617)</f>
        <v>2.8642605970326312E-3</v>
      </c>
      <c r="D3020">
        <f>LOG10(3.357543)</f>
        <v>0.5260215833789178</v>
      </c>
    </row>
    <row r="3021" spans="1:4">
      <c r="A3021">
        <v>1.009765</v>
      </c>
      <c r="B3021">
        <v>3.4276040000000001</v>
      </c>
      <c r="C3021">
        <f>LOG10(1.009765)</f>
        <v>4.2203133090649141E-3</v>
      </c>
      <c r="D3021">
        <f>LOG10(3.427604)</f>
        <v>0.53499064097895088</v>
      </c>
    </row>
    <row r="3022" spans="1:4">
      <c r="A3022">
        <v>1.0072049999999999</v>
      </c>
      <c r="B3022">
        <v>3.407044</v>
      </c>
      <c r="C3022">
        <f>LOG10(1.007205)</f>
        <v>3.1178730440274095E-3</v>
      </c>
      <c r="D3022">
        <f>LOG10(3.407044)</f>
        <v>0.53237774226579715</v>
      </c>
    </row>
    <row r="3023" spans="1:4">
      <c r="A3023">
        <v>1.010694</v>
      </c>
      <c r="B3023">
        <v>3.15883</v>
      </c>
      <c r="C3023">
        <f>LOG10(1.010694)</f>
        <v>4.6196875127684127E-3</v>
      </c>
      <c r="D3023">
        <f>LOG10(3.15883)</f>
        <v>0.4995262539366277</v>
      </c>
    </row>
    <row r="3024" spans="1:4">
      <c r="A3024">
        <v>1.0124869999999999</v>
      </c>
      <c r="B3024">
        <v>3.363137</v>
      </c>
      <c r="C3024">
        <f>LOG10(1.012487)</f>
        <v>5.3894557242272368E-3</v>
      </c>
      <c r="D3024">
        <f>LOG10(3.363137)</f>
        <v>0.52674455899829564</v>
      </c>
    </row>
    <row r="3025" spans="1:4">
      <c r="A3025">
        <v>1.0140089999999999</v>
      </c>
      <c r="B3025">
        <v>3.4460649999999999</v>
      </c>
      <c r="C3025">
        <f>LOG10(1.014009)</f>
        <v>6.0418096649612774E-3</v>
      </c>
      <c r="D3025">
        <f>LOG10(3.446065)</f>
        <v>0.53732346489236127</v>
      </c>
    </row>
    <row r="3026" spans="1:4">
      <c r="A3026">
        <v>1.006845</v>
      </c>
      <c r="B3026">
        <v>3.579968</v>
      </c>
      <c r="C3026">
        <f>LOG10(1.006845)</f>
        <v>2.9626176976852684E-3</v>
      </c>
      <c r="D3026">
        <f>LOG10(3.579968)</f>
        <v>0.55387914466467525</v>
      </c>
    </row>
    <row r="3027" spans="1:4">
      <c r="A3027">
        <v>1.007684</v>
      </c>
      <c r="B3027">
        <v>3.2982960000000001</v>
      </c>
      <c r="C3027">
        <f>LOG10(1.007684)</f>
        <v>3.3243628911114303E-3</v>
      </c>
      <c r="D3027">
        <f>LOG10(3.298296)</f>
        <v>0.51828962808174661</v>
      </c>
    </row>
    <row r="3028" spans="1:4">
      <c r="A3028">
        <v>1.0062800000000001</v>
      </c>
      <c r="B3028">
        <v>3.407994</v>
      </c>
      <c r="C3028">
        <f>LOG10(1.00628)</f>
        <v>2.7188410929359446E-3</v>
      </c>
      <c r="D3028">
        <f>LOG10(3.407994)</f>
        <v>0.53249882149102834</v>
      </c>
    </row>
    <row r="3029" spans="1:4">
      <c r="A3029">
        <v>1.0128760000000001</v>
      </c>
      <c r="B3029">
        <v>3.4759000000000002</v>
      </c>
      <c r="C3029">
        <f>LOG10(1.012876)</f>
        <v>5.5562806889745764E-3</v>
      </c>
      <c r="D3029">
        <f>LOG10(3.4759)</f>
        <v>0.54106727350939454</v>
      </c>
    </row>
    <row r="3030" spans="1:4">
      <c r="A3030">
        <v>1.012534</v>
      </c>
      <c r="B3030">
        <v>3.399508</v>
      </c>
      <c r="C3030">
        <f>LOG10(1.012534)</f>
        <v>5.4096153577847901E-3</v>
      </c>
      <c r="D3030">
        <f>LOG10(3.399508)</f>
        <v>0.53141606752859349</v>
      </c>
    </row>
    <row r="3031" spans="1:4">
      <c r="A3031">
        <v>1.0085500000000001</v>
      </c>
      <c r="B3031">
        <v>3.463095</v>
      </c>
      <c r="C3031">
        <f>LOG10(1.00855)</f>
        <v>3.6974337196522267E-3</v>
      </c>
      <c r="D3031">
        <f>LOG10(3.463095)</f>
        <v>0.53946440532649775</v>
      </c>
    </row>
    <row r="3032" spans="1:4">
      <c r="A3032">
        <v>1.0096149999999999</v>
      </c>
      <c r="B3032">
        <v>3.3150770000000001</v>
      </c>
      <c r="C3032">
        <f>LOG10(1.009615)</f>
        <v>4.1557943256092583E-3</v>
      </c>
      <c r="D3032">
        <f>LOG10(3.315077)</f>
        <v>0.52049362030843505</v>
      </c>
    </row>
    <row r="3033" spans="1:4">
      <c r="A3033">
        <v>1.011738</v>
      </c>
      <c r="B3033">
        <v>3.4452539999999998</v>
      </c>
      <c r="C3033">
        <f>LOG10(1.011738)</f>
        <v>5.0680620236348076E-3</v>
      </c>
      <c r="D3033">
        <f>LOG10(3.445254)</f>
        <v>0.53722124561432483</v>
      </c>
    </row>
    <row r="3034" spans="1:4">
      <c r="A3034">
        <v>1.006127</v>
      </c>
      <c r="B3034">
        <v>3.329669</v>
      </c>
      <c r="C3034">
        <f>LOG10(1.006127)</f>
        <v>2.6528037000434971E-3</v>
      </c>
      <c r="D3034">
        <f>LOG10(3.329669)</f>
        <v>0.52240106275004705</v>
      </c>
    </row>
    <row r="3035" spans="1:4">
      <c r="A3035">
        <v>1.0079149999999999</v>
      </c>
      <c r="B3035">
        <v>3.2663880000000001</v>
      </c>
      <c r="C3035">
        <f>LOG10(1.007915)</f>
        <v>3.4239085108094193E-3</v>
      </c>
      <c r="D3035">
        <f>LOG10(3.266388)</f>
        <v>0.51406777141428073</v>
      </c>
    </row>
    <row r="3036" spans="1:4">
      <c r="A3036">
        <v>1.00979</v>
      </c>
      <c r="B3036">
        <v>3.398609</v>
      </c>
      <c r="C3036">
        <f>LOG10(1.00979)</f>
        <v>4.231065541163679E-3</v>
      </c>
      <c r="D3036">
        <f>LOG10(3.398609)</f>
        <v>0.5313012031502643</v>
      </c>
    </row>
    <row r="3037" spans="1:4">
      <c r="A3037">
        <v>1.0099819999999999</v>
      </c>
      <c r="B3037">
        <v>3.4132699999999998</v>
      </c>
      <c r="C3037">
        <f>LOG10(1.009982)</f>
        <v>4.3136338120146247E-3</v>
      </c>
      <c r="D3037">
        <f>LOG10(3.41327)</f>
        <v>0.53317064364699518</v>
      </c>
    </row>
    <row r="3038" spans="1:4">
      <c r="A3038">
        <v>1.006424</v>
      </c>
      <c r="B3038">
        <v>3.4658639999999998</v>
      </c>
      <c r="C3038">
        <f>LOG10(1.006424)</f>
        <v>2.7809847618517325E-3</v>
      </c>
      <c r="D3038">
        <f>LOG10(3.465864)</f>
        <v>0.53981151705984964</v>
      </c>
    </row>
    <row r="3039" spans="1:4">
      <c r="A3039">
        <v>1.006618</v>
      </c>
      <c r="B3039">
        <v>3.4620929999999999</v>
      </c>
      <c r="C3039">
        <f>LOG10(1.006618)</f>
        <v>2.8646920364640612E-3</v>
      </c>
      <c r="D3039">
        <f>LOG10(3.462093)</f>
        <v>0.53933872987222742</v>
      </c>
    </row>
    <row r="3040" spans="1:4">
      <c r="A3040">
        <v>1.0065170000000001</v>
      </c>
      <c r="B3040">
        <v>3.6142080000000001</v>
      </c>
      <c r="C3040">
        <f>LOG10(1.006517)</f>
        <v>2.8211144892960963E-3</v>
      </c>
      <c r="D3040">
        <f>LOG10(3.614208)</f>
        <v>0.55801314287151449</v>
      </c>
    </row>
    <row r="3041" spans="1:4">
      <c r="A3041">
        <v>1.012203</v>
      </c>
      <c r="B3041">
        <v>3.462809</v>
      </c>
      <c r="C3041">
        <f>LOG10(1.012203)</f>
        <v>5.2676201507128586E-3</v>
      </c>
      <c r="D3041">
        <f>LOG10(3.462809)</f>
        <v>0.53942853759806986</v>
      </c>
    </row>
    <row r="3042" spans="1:4">
      <c r="A3042">
        <v>1.006777</v>
      </c>
      <c r="B3042">
        <v>3.501468</v>
      </c>
      <c r="C3042">
        <f>LOG10(1.006777)</f>
        <v>2.9332854548108573E-3</v>
      </c>
      <c r="D3042">
        <f>LOG10(3.501468)</f>
        <v>0.54425016167446438</v>
      </c>
    </row>
    <row r="3043" spans="1:4">
      <c r="A3043">
        <v>1.007225</v>
      </c>
      <c r="B3043">
        <v>3.5388630000000001</v>
      </c>
      <c r="C3043">
        <f>LOG10(1.007225)</f>
        <v>3.1264967138877743E-3</v>
      </c>
      <c r="D3043">
        <f>LOG10(3.538863)</f>
        <v>0.54886375012107369</v>
      </c>
    </row>
    <row r="3044" spans="1:4">
      <c r="A3044">
        <v>1.0149429999999999</v>
      </c>
      <c r="B3044">
        <v>3.5813039999999998</v>
      </c>
      <c r="C3044">
        <f>LOG10(1.014943)</f>
        <v>6.4416526131926589E-3</v>
      </c>
      <c r="D3044">
        <f>LOG10(3.581304)</f>
        <v>0.55404118778621958</v>
      </c>
    </row>
    <row r="3045" spans="1:4">
      <c r="A3045">
        <v>1.0074240000000001</v>
      </c>
      <c r="B3045">
        <v>3.5269629999999998</v>
      </c>
      <c r="C3045">
        <f>LOG10(1.007424)</f>
        <v>3.2122929018886114E-3</v>
      </c>
      <c r="D3045">
        <f>LOG10(3.526963)</f>
        <v>0.54740090367652949</v>
      </c>
    </row>
    <row r="3046" spans="1:4">
      <c r="A3046">
        <v>1.00682</v>
      </c>
      <c r="B3046">
        <v>3.6522600000000001</v>
      </c>
      <c r="C3046">
        <f>LOG10(1.00682)</f>
        <v>2.9518340151480898E-3</v>
      </c>
      <c r="D3046">
        <f>LOG10(3.65226)</f>
        <v>0.56256168686500019</v>
      </c>
    </row>
    <row r="3047" spans="1:4">
      <c r="A3047">
        <v>1.009042</v>
      </c>
      <c r="B3047">
        <v>3.6171639999999998</v>
      </c>
      <c r="C3047">
        <f>LOG10(1.009042)</f>
        <v>3.9092435298930936E-3</v>
      </c>
      <c r="D3047">
        <f>LOG10(3.617164)</f>
        <v>0.5583681998537886</v>
      </c>
    </row>
    <row r="3048" spans="1:4">
      <c r="A3048">
        <v>1.0082720000000001</v>
      </c>
      <c r="B3048">
        <v>3.3424420000000001</v>
      </c>
      <c r="C3048">
        <f>LOG10(1.008272)</f>
        <v>3.577706875405433E-3</v>
      </c>
      <c r="D3048">
        <f>LOG10(3.342442)</f>
        <v>0.52406387986865266</v>
      </c>
    </row>
    <row r="3049" spans="1:4">
      <c r="A3049">
        <v>1.0056499999999999</v>
      </c>
      <c r="B3049">
        <v>3.5685370000000001</v>
      </c>
      <c r="C3049">
        <f>LOG10(1.00565)</f>
        <v>2.4468579399021849E-3</v>
      </c>
      <c r="D3049">
        <f>LOG10(3.568537)</f>
        <v>0.55249020405288185</v>
      </c>
    </row>
    <row r="3050" spans="1:4">
      <c r="A3050">
        <v>1.006426</v>
      </c>
      <c r="B3050">
        <v>3.8564660000000002</v>
      </c>
      <c r="C3050">
        <f>LOG10(1.006426)</f>
        <v>2.7818478057584635E-3</v>
      </c>
      <c r="D3050">
        <f>LOG10(3.856466)</f>
        <v>0.58618950681808657</v>
      </c>
    </row>
    <row r="3051" spans="1:4">
      <c r="A3051">
        <v>1.0067619999999999</v>
      </c>
      <c r="B3051">
        <v>3.7730939999999999</v>
      </c>
      <c r="C3051">
        <f>LOG10(1.006762)</f>
        <v>2.9268148404063567E-3</v>
      </c>
      <c r="D3051">
        <f>LOG10(3.773094)</f>
        <v>0.57669762501885125</v>
      </c>
    </row>
    <row r="3052" spans="1:4">
      <c r="A3052">
        <v>1.010408</v>
      </c>
      <c r="B3052">
        <v>3.6642489999999999</v>
      </c>
      <c r="C3052">
        <f>LOG10(1.010408)</f>
        <v>4.4967761281342958E-3</v>
      </c>
      <c r="D3052">
        <f>LOG10(3.664249)</f>
        <v>0.56398497800118019</v>
      </c>
    </row>
    <row r="3053" spans="1:4">
      <c r="A3053">
        <v>1.011747</v>
      </c>
      <c r="B3053">
        <v>3.855057</v>
      </c>
      <c r="C3053">
        <f>LOG10(1.011747)</f>
        <v>5.0719253093395424E-3</v>
      </c>
      <c r="D3053">
        <f>LOG10(3.855057)</f>
        <v>0.58603080381433204</v>
      </c>
    </row>
    <row r="3054" spans="1:4">
      <c r="A3054">
        <v>1.0055400000000001</v>
      </c>
      <c r="B3054">
        <v>3.8697840000000001</v>
      </c>
      <c r="C3054">
        <f>LOG10(1.00554)</f>
        <v>2.3993513462368219E-3</v>
      </c>
      <c r="D3054">
        <f>LOG10(3.869784)</f>
        <v>0.58768672465041649</v>
      </c>
    </row>
    <row r="3055" spans="1:4">
      <c r="A3055">
        <v>1.0066269999999999</v>
      </c>
      <c r="B3055">
        <v>3.4720550000000001</v>
      </c>
      <c r="C3055">
        <f>LOG10(1.006627)</f>
        <v>2.8685749720601989E-3</v>
      </c>
      <c r="D3055">
        <f>LOG10(3.472055)</f>
        <v>0.54058659611485638</v>
      </c>
    </row>
    <row r="3056" spans="1:4">
      <c r="A3056">
        <v>1.008124</v>
      </c>
      <c r="B3056">
        <v>3.6293630000000001</v>
      </c>
      <c r="C3056">
        <f>LOG10(1.008124)</f>
        <v>3.5139539385446957E-3</v>
      </c>
      <c r="D3056">
        <f>LOG10(3.629363)</f>
        <v>0.5598304074435545</v>
      </c>
    </row>
    <row r="3057" spans="1:4">
      <c r="A3057">
        <v>1.006203</v>
      </c>
      <c r="B3057">
        <v>4.241168</v>
      </c>
      <c r="C3057">
        <f>LOG10(1.006203)</f>
        <v>2.6856078431416221E-3</v>
      </c>
      <c r="D3057">
        <f>LOG10(4.241168)</f>
        <v>0.62748547595602544</v>
      </c>
    </row>
    <row r="3058" spans="1:4">
      <c r="A3058">
        <v>1.0071920000000001</v>
      </c>
      <c r="B3058">
        <v>6.6138300000000001</v>
      </c>
      <c r="C3058">
        <f>LOG10(1.007192)</f>
        <v>3.1122675667905574E-3</v>
      </c>
      <c r="D3058">
        <f>LOG10(6.61383)</f>
        <v>0.82045302773964823</v>
      </c>
    </row>
    <row r="3059" spans="1:4">
      <c r="A3059">
        <v>1.013091</v>
      </c>
      <c r="B3059">
        <v>6.6087030000000002</v>
      </c>
      <c r="C3059">
        <f>LOG10(1.013091)</f>
        <v>5.6484572288290329E-3</v>
      </c>
      <c r="D3059">
        <f>LOG10(6.608703)</f>
        <v>0.82011623479380236</v>
      </c>
    </row>
    <row r="3060" spans="1:4">
      <c r="A3060">
        <v>1.005771</v>
      </c>
      <c r="B3060">
        <v>6.5539949999999996</v>
      </c>
      <c r="C3060">
        <f>LOG10(1.005771)</f>
        <v>2.4991091915036135E-3</v>
      </c>
      <c r="D3060">
        <f>LOG10(6.553995)</f>
        <v>0.81650610572605831</v>
      </c>
    </row>
    <row r="3061" spans="1:4">
      <c r="A3061">
        <v>1.009082</v>
      </c>
      <c r="B3061">
        <v>6.9045519999999998</v>
      </c>
      <c r="C3061">
        <f>LOG10(1.009082)</f>
        <v>3.9264592998640392E-3</v>
      </c>
      <c r="D3061">
        <f>LOG10(6.904552)</f>
        <v>0.83913550474812293</v>
      </c>
    </row>
    <row r="3062" spans="1:4">
      <c r="A3062">
        <v>1.00526</v>
      </c>
      <c r="B3062">
        <v>7.5332999999999997</v>
      </c>
      <c r="C3062">
        <f>LOG10(1.00526)</f>
        <v>2.2784020168963664E-3</v>
      </c>
      <c r="D3062">
        <f>LOG10(7.5333)</f>
        <v>0.87698526276648747</v>
      </c>
    </row>
    <row r="3063" spans="1:4">
      <c r="A3063">
        <v>1.014564</v>
      </c>
      <c r="B3063">
        <v>7.2129209999999997</v>
      </c>
      <c r="C3063">
        <f>LOG10(1.014564)</f>
        <v>6.279448087113503E-3</v>
      </c>
      <c r="D3063">
        <f>LOG10(7.212921)</f>
        <v>0.858111175576735</v>
      </c>
    </row>
    <row r="3064" spans="1:4">
      <c r="A3064">
        <v>1.006975</v>
      </c>
      <c r="B3064">
        <v>7.4525100000000002</v>
      </c>
      <c r="C3064">
        <f>LOG10(1.006975)</f>
        <v>3.0186885309532183E-3</v>
      </c>
      <c r="D3064">
        <f>LOG10(7.45251)</f>
        <v>0.87230256745433699</v>
      </c>
    </row>
    <row r="3065" spans="1:4">
      <c r="A3065">
        <v>1.0092719999999999</v>
      </c>
      <c r="B3065">
        <v>7.1075169999999996</v>
      </c>
      <c r="C3065">
        <f>LOG10(1.009272)</f>
        <v>4.0082248888591524E-3</v>
      </c>
      <c r="D3065">
        <f>LOG10(7.107517)</f>
        <v>0.85171790712397999</v>
      </c>
    </row>
    <row r="3066" spans="1:4">
      <c r="A3066">
        <v>1.0060960000000001</v>
      </c>
      <c r="B3066">
        <v>7.0692250000000003</v>
      </c>
      <c r="C3066">
        <f>LOG10(1.006096)</f>
        <v>2.6394223512168323E-3</v>
      </c>
      <c r="D3066">
        <f>LOG10(7.069225)</f>
        <v>0.84937180464946571</v>
      </c>
    </row>
    <row r="3067" spans="1:4">
      <c r="A3067">
        <v>1.010699</v>
      </c>
      <c r="B3067">
        <v>6.7067430000000003</v>
      </c>
      <c r="C3067">
        <f>LOG10(1.010699)</f>
        <v>4.6218360038431661E-3</v>
      </c>
      <c r="D3067">
        <f>LOG10(6.706743)</f>
        <v>0.82651166464983294</v>
      </c>
    </row>
    <row r="3068" spans="1:4">
      <c r="A3068">
        <v>1.0052300000000001</v>
      </c>
      <c r="B3068">
        <v>7.2577590000000001</v>
      </c>
      <c r="C3068">
        <f>LOG10(1.00523)</f>
        <v>2.2654411621216065E-3</v>
      </c>
      <c r="D3068">
        <f>LOG10(7.257759)</f>
        <v>0.86080254298993542</v>
      </c>
    </row>
    <row r="3069" spans="1:4">
      <c r="A3069">
        <v>1.0067440000000001</v>
      </c>
      <c r="B3069">
        <v>7.5743359999999997</v>
      </c>
      <c r="C3069">
        <f>LOG10(1.006744)</f>
        <v>2.9190499758622208E-3</v>
      </c>
      <c r="D3069">
        <f>LOG10(7.574336)</f>
        <v>0.87934456665611416</v>
      </c>
    </row>
    <row r="3070" spans="1:4">
      <c r="A3070">
        <v>1.1031409999999999</v>
      </c>
      <c r="B3070">
        <v>3.1117710000000001</v>
      </c>
      <c r="C3070">
        <f>LOG10(1.103141)</f>
        <v>4.2631026137666603E-2</v>
      </c>
      <c r="D3070">
        <f>LOG10(3.111771)</f>
        <v>0.49300762909665791</v>
      </c>
    </row>
    <row r="3071" spans="1:4">
      <c r="A3071">
        <v>1.0999270000000001</v>
      </c>
      <c r="B3071">
        <v>3.1630400000000001</v>
      </c>
      <c r="C3071">
        <f>LOG10(1.099927)</f>
        <v>4.136386284076584E-2</v>
      </c>
      <c r="D3071">
        <f>LOG10(3.16304)</f>
        <v>0.50010468406540143</v>
      </c>
    </row>
    <row r="3072" spans="1:4">
      <c r="A3072">
        <v>1.099324</v>
      </c>
      <c r="B3072">
        <v>3.2163979999999999</v>
      </c>
      <c r="C3072">
        <f>LOG10(1.099324)</f>
        <v>4.1125709415667788E-2</v>
      </c>
      <c r="D3072">
        <f>LOG10(3.216398)</f>
        <v>0.50736978339391925</v>
      </c>
    </row>
    <row r="3073" spans="1:4">
      <c r="A3073">
        <v>1.1145670000000001</v>
      </c>
      <c r="B3073">
        <v>3.1038559999999999</v>
      </c>
      <c r="C3073">
        <f>LOG10(1.114567)</f>
        <v>4.710618035837736E-2</v>
      </c>
      <c r="D3073">
        <f>LOG10(3.103856)</f>
        <v>0.49190156443664307</v>
      </c>
    </row>
    <row r="3074" spans="1:4">
      <c r="A3074">
        <v>1.132816</v>
      </c>
      <c r="B3074">
        <v>3.1820560000000002</v>
      </c>
      <c r="C3074">
        <f>LOG10(1.132816)</f>
        <v>5.415937440522603E-2</v>
      </c>
      <c r="D3074">
        <f>LOG10(3.182056)</f>
        <v>0.50270781838943801</v>
      </c>
    </row>
    <row r="3075" spans="1:4">
      <c r="A3075">
        <v>1.1191819999999999</v>
      </c>
      <c r="B3075">
        <v>3.1998000000000002</v>
      </c>
      <c r="C3075">
        <f>LOG10(1.119182)</f>
        <v>4.8900716705771327E-2</v>
      </c>
      <c r="D3075">
        <f>LOG10(3.1998)</f>
        <v>0.50512283406652025</v>
      </c>
    </row>
    <row r="3076" spans="1:4">
      <c r="A3076">
        <v>1.0984320000000001</v>
      </c>
      <c r="B3076">
        <v>3.3276520000000001</v>
      </c>
      <c r="C3076">
        <f>LOG10(1.098432)</f>
        <v>4.0773176469217701E-2</v>
      </c>
      <c r="D3076">
        <f>LOG10(3.327652)</f>
        <v>0.52213790223944478</v>
      </c>
    </row>
    <row r="3077" spans="1:4">
      <c r="A3077">
        <v>1.116962</v>
      </c>
      <c r="B3077">
        <v>3.3298260000000002</v>
      </c>
      <c r="C3077">
        <f>LOG10(1.116962)</f>
        <v>4.8038398298209377E-2</v>
      </c>
      <c r="D3077">
        <f>LOG10(3.329826)</f>
        <v>0.52242154004860242</v>
      </c>
    </row>
    <row r="3078" spans="1:4">
      <c r="A3078">
        <v>1.0876889999999999</v>
      </c>
      <c r="B3078">
        <v>3.1331030000000002</v>
      </c>
      <c r="C3078">
        <f>LOG10(1.087689)</f>
        <v>3.6504736454530576E-2</v>
      </c>
      <c r="D3078">
        <f>LOG10(3.133103)</f>
        <v>0.49597467244198151</v>
      </c>
    </row>
    <row r="3079" spans="1:4">
      <c r="A3079">
        <v>1.0945290000000001</v>
      </c>
      <c r="B3079">
        <v>3.1708440000000002</v>
      </c>
      <c r="C3079">
        <f>LOG10(1.094529)</f>
        <v>3.9227272868888802E-2</v>
      </c>
      <c r="D3079">
        <f>LOG10(3.170844)</f>
        <v>0.50117487602086386</v>
      </c>
    </row>
    <row r="3080" spans="1:4">
      <c r="A3080">
        <v>1.0789470000000001</v>
      </c>
      <c r="B3080">
        <v>3.2383860000000002</v>
      </c>
      <c r="C3080">
        <f>LOG10(1.078947)</f>
        <v>3.3000111807223315E-2</v>
      </c>
      <c r="D3080">
        <f>LOG10(3.238386)</f>
        <v>0.5103286133113687</v>
      </c>
    </row>
    <row r="3081" spans="1:4">
      <c r="A3081">
        <v>1.0967389999999999</v>
      </c>
      <c r="B3081">
        <v>3.1588989999999999</v>
      </c>
      <c r="C3081">
        <f>LOG10(1.096739)</f>
        <v>4.0103287240868667E-2</v>
      </c>
      <c r="D3081">
        <f>LOG10(3.158899)</f>
        <v>0.49953574035785675</v>
      </c>
    </row>
    <row r="3082" spans="1:4">
      <c r="A3082">
        <v>1.0890359999999999</v>
      </c>
      <c r="B3082">
        <v>3.1860200000000001</v>
      </c>
      <c r="C3082">
        <f>LOG10(1.089036)</f>
        <v>3.7042236360853929E-2</v>
      </c>
      <c r="D3082">
        <f>LOG10(3.18602)</f>
        <v>0.50324849772448987</v>
      </c>
    </row>
    <row r="3083" spans="1:4">
      <c r="A3083">
        <v>1.071909</v>
      </c>
      <c r="B3083">
        <v>3.2451509999999999</v>
      </c>
      <c r="C3083">
        <f>LOG10(1.071909)</f>
        <v>3.0157917375995567E-2</v>
      </c>
      <c r="D3083">
        <f>LOG10(3.245151)</f>
        <v>0.51123490974687469</v>
      </c>
    </row>
    <row r="3084" spans="1:4">
      <c r="A3084">
        <v>1.1113949999999999</v>
      </c>
      <c r="B3084">
        <v>3.2420949999999999</v>
      </c>
      <c r="C3084">
        <f>LOG10(1.111395)</f>
        <v>4.5868438627789283E-2</v>
      </c>
      <c r="D3084">
        <f>LOG10(3.242095)</f>
        <v>0.51082573641357676</v>
      </c>
    </row>
    <row r="3085" spans="1:4">
      <c r="A3085">
        <v>1.101896</v>
      </c>
      <c r="B3085">
        <v>3.0897730000000001</v>
      </c>
      <c r="C3085">
        <f>LOG10(1.101896)</f>
        <v>4.2140606532529767E-2</v>
      </c>
      <c r="D3085">
        <f>LOG10(3.089773)</f>
        <v>0.4899265737715246</v>
      </c>
    </row>
    <row r="3086" spans="1:4">
      <c r="A3086">
        <v>1.077809</v>
      </c>
      <c r="B3086">
        <v>3.1162839999999998</v>
      </c>
      <c r="C3086">
        <f>LOG10(1.077809)</f>
        <v>3.2541805752879086E-2</v>
      </c>
      <c r="D3086">
        <f>LOG10(3.116284)</f>
        <v>0.49363702987743996</v>
      </c>
    </row>
    <row r="3087" spans="1:4">
      <c r="A3087">
        <v>1.1013770000000001</v>
      </c>
      <c r="B3087">
        <v>3.2267869999999998</v>
      </c>
      <c r="C3087">
        <f>LOG10(1.101377)</f>
        <v>4.1936002890333154E-2</v>
      </c>
      <c r="D3087">
        <f>LOG10(3.226787)</f>
        <v>0.5087702985995376</v>
      </c>
    </row>
    <row r="3088" spans="1:4">
      <c r="A3088">
        <v>1.101993</v>
      </c>
      <c r="B3088">
        <v>3.2425579999999998</v>
      </c>
      <c r="C3088">
        <f>LOG10(1.101993)</f>
        <v>4.2178835830622208E-2</v>
      </c>
      <c r="D3088">
        <f>LOG10(3.242558)</f>
        <v>0.5108877530998861</v>
      </c>
    </row>
    <row r="3089" spans="1:4">
      <c r="A3089">
        <v>1.0898380000000001</v>
      </c>
      <c r="B3089">
        <v>3.3460899999999998</v>
      </c>
      <c r="C3089">
        <f>LOG10(1.089838)</f>
        <v>3.7361946624243414E-2</v>
      </c>
      <c r="D3089">
        <f>LOG10(3.34609)</f>
        <v>0.5245376180303537</v>
      </c>
    </row>
    <row r="3090" spans="1:4">
      <c r="A3090">
        <v>1.07707</v>
      </c>
      <c r="B3090">
        <v>2.9332210000000001</v>
      </c>
      <c r="C3090">
        <f>LOG10(1.07707)</f>
        <v>3.2243929505805763E-2</v>
      </c>
      <c r="D3090">
        <f>LOG10(2.933221)</f>
        <v>0.46734478560745146</v>
      </c>
    </row>
    <row r="3091" spans="1:4">
      <c r="A3091">
        <v>1.1033679999999999</v>
      </c>
      <c r="B3091">
        <v>3.164704</v>
      </c>
      <c r="C3091">
        <f>LOG10(1.103368)</f>
        <v>4.2720384348070302E-2</v>
      </c>
      <c r="D3091">
        <f>LOG10(3.164704)</f>
        <v>0.5003330959716179</v>
      </c>
    </row>
    <row r="3092" spans="1:4">
      <c r="A3092">
        <v>1.0936140000000001</v>
      </c>
      <c r="B3092">
        <v>3.3915700000000002</v>
      </c>
      <c r="C3092">
        <f>LOG10(1.093614)</f>
        <v>3.8864061256024908E-2</v>
      </c>
      <c r="D3092">
        <f>LOG10(3.39157)</f>
        <v>0.53040078507493327</v>
      </c>
    </row>
    <row r="3093" spans="1:4">
      <c r="A3093">
        <v>1.122098</v>
      </c>
      <c r="B3093">
        <v>3.150719</v>
      </c>
      <c r="C3093">
        <f>LOG10(1.122098)</f>
        <v>5.0030788293240917E-2</v>
      </c>
      <c r="D3093">
        <f>LOG10(3.150719)</f>
        <v>0.49840967191686308</v>
      </c>
    </row>
    <row r="3094" spans="1:4">
      <c r="A3094">
        <v>1.0869850000000001</v>
      </c>
      <c r="B3094">
        <v>3.0980949999999998</v>
      </c>
      <c r="C3094">
        <f>LOG10(1.086985)</f>
        <v>3.6223551020814683E-2</v>
      </c>
      <c r="D3094">
        <f>LOG10(3.098095)</f>
        <v>0.49109473083545541</v>
      </c>
    </row>
    <row r="3095" spans="1:4">
      <c r="A3095">
        <v>1.107186</v>
      </c>
      <c r="B3095">
        <v>3.434034</v>
      </c>
      <c r="C3095">
        <f>LOG10(1.107186)</f>
        <v>4.4220585637622024E-2</v>
      </c>
      <c r="D3095">
        <f>LOG10(3.434034)</f>
        <v>0.53580459074897635</v>
      </c>
    </row>
    <row r="3096" spans="1:4">
      <c r="A3096">
        <v>1.12381</v>
      </c>
      <c r="B3096">
        <v>3.2468249999999999</v>
      </c>
      <c r="C3096">
        <f>LOG10(1.12381)</f>
        <v>5.0692892259233867E-2</v>
      </c>
      <c r="D3096">
        <f>LOG10(3.246825)</f>
        <v>0.51145888130155048</v>
      </c>
    </row>
    <row r="3097" spans="1:4">
      <c r="A3097">
        <v>1.135176</v>
      </c>
      <c r="B3097">
        <v>3.248885</v>
      </c>
      <c r="C3097">
        <f>LOG10(1.135176)</f>
        <v>5.5063200650837897E-2</v>
      </c>
      <c r="D3097">
        <f>LOG10(3.248885)</f>
        <v>0.51173433899985077</v>
      </c>
    </row>
    <row r="3098" spans="1:4">
      <c r="A3098">
        <v>1.1223019999999999</v>
      </c>
      <c r="B3098">
        <v>3.2458070000000001</v>
      </c>
      <c r="C3098">
        <f>LOG10(1.122302)</f>
        <v>5.0109736853704456E-2</v>
      </c>
      <c r="D3098">
        <f>LOG10(3.245807)</f>
        <v>0.5113226925305866</v>
      </c>
    </row>
    <row r="3099" spans="1:4">
      <c r="A3099">
        <v>1.1222110000000001</v>
      </c>
      <c r="B3099">
        <v>3.35466</v>
      </c>
      <c r="C3099">
        <f>LOG10(1.122211)</f>
        <v>5.0074521376783823E-2</v>
      </c>
      <c r="D3099">
        <f>LOG10(3.35466)</f>
        <v>0.52564851031532811</v>
      </c>
    </row>
    <row r="3100" spans="1:4">
      <c r="A3100">
        <v>1.122749</v>
      </c>
      <c r="B3100">
        <v>3.2285089999999999</v>
      </c>
      <c r="C3100">
        <f>LOG10(1.122749)</f>
        <v>5.0282676921414332E-2</v>
      </c>
      <c r="D3100">
        <f>LOG10(3.228509)</f>
        <v>0.50900200141086527</v>
      </c>
    </row>
    <row r="3101" spans="1:4">
      <c r="A3101">
        <v>1.1430689999999999</v>
      </c>
      <c r="B3101">
        <v>3.3816519999999999</v>
      </c>
      <c r="C3101">
        <f>LOG10(1.143069)</f>
        <v>5.8072446856167546E-2</v>
      </c>
      <c r="D3101">
        <f>LOG10(3.381652)</f>
        <v>0.52912891306186172</v>
      </c>
    </row>
    <row r="3102" spans="1:4">
      <c r="A3102">
        <v>1.1201829999999999</v>
      </c>
      <c r="B3102">
        <v>3.1482190000000001</v>
      </c>
      <c r="C3102">
        <f>LOG10(1.120183)</f>
        <v>4.9288977489823624E-2</v>
      </c>
      <c r="D3102">
        <f>LOG10(3.148219)</f>
        <v>0.49806493562583504</v>
      </c>
    </row>
    <row r="3103" spans="1:4">
      <c r="A3103">
        <v>1.1118760000000001</v>
      </c>
      <c r="B3103">
        <v>3.3475009999999998</v>
      </c>
      <c r="C3103">
        <f>LOG10(1.111876)</f>
        <v>4.6056356024323272E-2</v>
      </c>
      <c r="D3103">
        <f>LOG10(3.347501)</f>
        <v>0.52472071542098964</v>
      </c>
    </row>
    <row r="3104" spans="1:4">
      <c r="A3104">
        <v>1.156585</v>
      </c>
      <c r="B3104">
        <v>3.2329080000000001</v>
      </c>
      <c r="C3104">
        <f>LOG10(1.156585)</f>
        <v>6.3177555545414474E-2</v>
      </c>
      <c r="D3104">
        <f>LOG10(3.232908)</f>
        <v>0.50959334591658612</v>
      </c>
    </row>
    <row r="3105" spans="1:4">
      <c r="A3105">
        <v>1.105472</v>
      </c>
      <c r="B3105">
        <v>3.3933369999999998</v>
      </c>
      <c r="C3105">
        <f>LOG10(1.105472)</f>
        <v>4.3547747005648445E-2</v>
      </c>
      <c r="D3105">
        <f>LOG10(3.393337)</f>
        <v>0.53062699255776902</v>
      </c>
    </row>
    <row r="3106" spans="1:4">
      <c r="A3106">
        <v>1.1365829999999999</v>
      </c>
      <c r="B3106">
        <v>3.2830900000000001</v>
      </c>
      <c r="C3106">
        <f>LOG10(1.136583)</f>
        <v>5.5601155965788476E-2</v>
      </c>
      <c r="D3106">
        <f>LOG10(3.28309)</f>
        <v>0.51628278829364815</v>
      </c>
    </row>
    <row r="3107" spans="1:4">
      <c r="A3107">
        <v>1.115998</v>
      </c>
      <c r="B3107">
        <v>3.4267569999999998</v>
      </c>
      <c r="C3107">
        <f>LOG10(1.115998)</f>
        <v>4.7663416295339434E-2</v>
      </c>
      <c r="D3107">
        <f>LOG10(3.426757)</f>
        <v>0.53488330860236766</v>
      </c>
    </row>
    <row r="3108" spans="1:4">
      <c r="A3108">
        <v>1.1017380000000001</v>
      </c>
      <c r="B3108">
        <v>3.0535739999999998</v>
      </c>
      <c r="C3108">
        <f>LOG10(1.101738)</f>
        <v>4.2078328923581779E-2</v>
      </c>
      <c r="D3108">
        <f>LOG10(3.053574)</f>
        <v>0.4848084491074684</v>
      </c>
    </row>
    <row r="3109" spans="1:4">
      <c r="A3109">
        <v>1.0741510000000001</v>
      </c>
      <c r="B3109">
        <v>3.39127</v>
      </c>
      <c r="C3109">
        <f>LOG10(1.074151)</f>
        <v>3.1065337096467527E-2</v>
      </c>
      <c r="D3109">
        <f>LOG10(3.39127)</f>
        <v>0.53036236802701353</v>
      </c>
    </row>
    <row r="3110" spans="1:4">
      <c r="A3110">
        <v>1.1140460000000001</v>
      </c>
      <c r="B3110">
        <v>3.1596609999999998</v>
      </c>
      <c r="C3110">
        <f>LOG10(1.114046)</f>
        <v>4.6903123632787425E-2</v>
      </c>
      <c r="D3110">
        <f>LOG10(3.159661)</f>
        <v>0.49964048966681779</v>
      </c>
    </row>
    <row r="3111" spans="1:4">
      <c r="A3111">
        <v>1.1110139999999999</v>
      </c>
      <c r="B3111">
        <v>3.2345739999999998</v>
      </c>
      <c r="C3111">
        <f>LOG10(1.111014)</f>
        <v>4.5719531564124449E-2</v>
      </c>
      <c r="D3111">
        <f>LOG10(3.234574)</f>
        <v>0.50981709130091168</v>
      </c>
    </row>
    <row r="3112" spans="1:4">
      <c r="A3112">
        <v>1.110806</v>
      </c>
      <c r="B3112">
        <v>3.3271600000000001</v>
      </c>
      <c r="C3112">
        <f>LOG10(1.110806)</f>
        <v>4.5638216918923877E-2</v>
      </c>
      <c r="D3112">
        <f>LOG10(3.32716)</f>
        <v>0.52207368618481065</v>
      </c>
    </row>
    <row r="3113" spans="1:4">
      <c r="A3113">
        <v>1.127561</v>
      </c>
      <c r="B3113">
        <v>3.3252820000000001</v>
      </c>
      <c r="C3113">
        <f>LOG10(1.127561)</f>
        <v>5.2140046112559492E-2</v>
      </c>
      <c r="D3113">
        <f>LOG10(3.325282)</f>
        <v>0.52182848147391481</v>
      </c>
    </row>
    <row r="3114" spans="1:4">
      <c r="A3114">
        <v>1.0977159999999999</v>
      </c>
      <c r="B3114">
        <v>3.0801630000000002</v>
      </c>
      <c r="C3114">
        <f>LOG10(1.097716)</f>
        <v>4.0489994406751786E-2</v>
      </c>
      <c r="D3114">
        <f>LOG10(3.080163)</f>
        <v>0.48857369965870384</v>
      </c>
    </row>
    <row r="3115" spans="1:4">
      <c r="A3115">
        <v>1.0852090000000001</v>
      </c>
      <c r="B3115">
        <v>3.3801459999999999</v>
      </c>
      <c r="C3115">
        <f>LOG10(1.085209)</f>
        <v>3.551338685340779E-2</v>
      </c>
      <c r="D3115">
        <f>LOG10(3.380146)</f>
        <v>0.52893545933829267</v>
      </c>
    </row>
    <row r="3116" spans="1:4">
      <c r="A3116">
        <v>1.107704</v>
      </c>
      <c r="B3116">
        <v>3.3165170000000002</v>
      </c>
      <c r="C3116">
        <f>LOG10(1.107704)</f>
        <v>4.4423723983749774E-2</v>
      </c>
      <c r="D3116">
        <f>LOG10(3.316517)</f>
        <v>0.520682227772574</v>
      </c>
    </row>
    <row r="3117" spans="1:4">
      <c r="A3117">
        <v>1.1145640000000001</v>
      </c>
      <c r="B3117">
        <v>3.0706739999999999</v>
      </c>
      <c r="C3117">
        <f>LOG10(1.114564)</f>
        <v>4.7105011397517091E-2</v>
      </c>
      <c r="D3117">
        <f>LOG10(3.070674)</f>
        <v>0.48723371174873525</v>
      </c>
    </row>
    <row r="3118" spans="1:4">
      <c r="A3118">
        <v>1.098225</v>
      </c>
      <c r="B3118">
        <v>3.2510140000000001</v>
      </c>
      <c r="C3118">
        <f>LOG10(1.098225)</f>
        <v>4.0691325767883708E-2</v>
      </c>
      <c r="D3118">
        <f>LOG10(3.251014)</f>
        <v>0.51201883972364282</v>
      </c>
    </row>
    <row r="3119" spans="1:4">
      <c r="A3119">
        <v>1.0907929999999999</v>
      </c>
      <c r="B3119">
        <v>3.2581950000000002</v>
      </c>
      <c r="C3119">
        <f>LOG10(1.090793)</f>
        <v>3.7742342259023967E-2</v>
      </c>
      <c r="D3119">
        <f>LOG10(3.258195)</f>
        <v>0.51297707287908612</v>
      </c>
    </row>
    <row r="3120" spans="1:4">
      <c r="A3120">
        <v>1.1119250000000001</v>
      </c>
      <c r="B3120">
        <v>3.0816620000000001</v>
      </c>
      <c r="C3120">
        <f>LOG10(1.111925)</f>
        <v>4.6075494813825286E-2</v>
      </c>
      <c r="D3120">
        <f>LOG10(3.081662)</f>
        <v>0.48878500310896911</v>
      </c>
    </row>
    <row r="3121" spans="1:4">
      <c r="A3121">
        <v>1.095326</v>
      </c>
      <c r="B3121">
        <v>3.2747310000000001</v>
      </c>
      <c r="C3121">
        <f>LOG10(1.095326)</f>
        <v>3.9543396737692735E-2</v>
      </c>
      <c r="D3121">
        <f>LOG10(3.274731)</f>
        <v>0.51517563104115927</v>
      </c>
    </row>
    <row r="3122" spans="1:4">
      <c r="A3122">
        <v>1.098214</v>
      </c>
      <c r="B3122">
        <v>3.2531460000000001</v>
      </c>
      <c r="C3122">
        <f>LOG10(1.098214)</f>
        <v>4.0686975782019345E-2</v>
      </c>
      <c r="D3122">
        <f>LOG10(3.253146)</f>
        <v>0.51230355469639255</v>
      </c>
    </row>
    <row r="3123" spans="1:4">
      <c r="A3123">
        <v>1.1107210000000001</v>
      </c>
      <c r="B3123">
        <v>3.2060300000000002</v>
      </c>
      <c r="C3123">
        <f>LOG10(1.110721)</f>
        <v>4.5604982993808635E-2</v>
      </c>
      <c r="D3123">
        <f>LOG10(3.20603)</f>
        <v>0.50596758189008462</v>
      </c>
    </row>
    <row r="3124" spans="1:4">
      <c r="A3124">
        <v>1.1230340000000001</v>
      </c>
      <c r="B3124">
        <v>3.1452529999999999</v>
      </c>
      <c r="C3124">
        <f>LOG10(1.123034)</f>
        <v>5.039290478226012E-2</v>
      </c>
      <c r="D3124">
        <f>LOG10(3.145253)</f>
        <v>0.49765558526130121</v>
      </c>
    </row>
    <row r="3125" spans="1:4">
      <c r="A3125">
        <v>1.087931</v>
      </c>
      <c r="B3125">
        <v>3.4627650000000001</v>
      </c>
      <c r="C3125">
        <f>LOG10(1.087931)</f>
        <v>3.6601351915920038E-2</v>
      </c>
      <c r="D3125">
        <f>LOG10(3.462765)</f>
        <v>0.5394230192230719</v>
      </c>
    </row>
    <row r="3126" spans="1:4">
      <c r="A3126">
        <v>1.1109290000000001</v>
      </c>
      <c r="B3126">
        <v>3.261091</v>
      </c>
      <c r="C3126">
        <f>LOG10(1.110929)</f>
        <v>4.5686303861181811E-2</v>
      </c>
      <c r="D3126">
        <f>LOG10(3.261091)</f>
        <v>0.51336291786343591</v>
      </c>
    </row>
    <row r="3127" spans="1:4">
      <c r="A3127">
        <v>1.102614</v>
      </c>
      <c r="B3127">
        <v>3.2194389999999999</v>
      </c>
      <c r="C3127">
        <f>LOG10(1.102614)</f>
        <v>4.2423502458637963E-2</v>
      </c>
      <c r="D3127">
        <f>LOG10(3.219439)</f>
        <v>0.50778020075463115</v>
      </c>
    </row>
    <row r="3128" spans="1:4">
      <c r="A3128">
        <v>1.1126879999999999</v>
      </c>
      <c r="B3128">
        <v>3.303763</v>
      </c>
      <c r="C3128">
        <f>LOG10(1.112688)</f>
        <v>4.6373404340278347E-2</v>
      </c>
      <c r="D3128">
        <f>LOG10(3.303763)</f>
        <v>0.51900888505150544</v>
      </c>
    </row>
    <row r="3129" spans="1:4">
      <c r="A3129">
        <v>1.1205799999999999</v>
      </c>
      <c r="B3129">
        <v>3.144755</v>
      </c>
      <c r="C3129">
        <f>LOG10(1.12058)</f>
        <v>4.9442866956152375E-2</v>
      </c>
      <c r="D3129">
        <f>LOG10(3.144755)</f>
        <v>0.49758681630188506</v>
      </c>
    </row>
    <row r="3130" spans="1:4">
      <c r="A3130">
        <v>1.113864</v>
      </c>
      <c r="B3130">
        <v>3.2553019999999999</v>
      </c>
      <c r="C3130">
        <f>LOG10(1.113864)</f>
        <v>4.6832167807927108E-2</v>
      </c>
      <c r="D3130">
        <f>LOG10(3.255302)</f>
        <v>0.51259128502387852</v>
      </c>
    </row>
    <row r="3131" spans="1:4">
      <c r="A3131">
        <v>1.1063339999999999</v>
      </c>
      <c r="B3131">
        <v>3.3849119999999999</v>
      </c>
      <c r="C3131">
        <f>LOG10(1.106334)</f>
        <v>4.3886259390870409E-2</v>
      </c>
      <c r="D3131">
        <f>LOG10(3.384912)</f>
        <v>0.52954738250086986</v>
      </c>
    </row>
    <row r="3132" spans="1:4">
      <c r="A3132">
        <v>1.128773</v>
      </c>
      <c r="B3132">
        <v>3.289771</v>
      </c>
      <c r="C3132">
        <f>LOG10(1.128773)</f>
        <v>5.2606612642773228E-2</v>
      </c>
      <c r="D3132">
        <f>LOG10(3.289771)</f>
        <v>0.51716566788987162</v>
      </c>
    </row>
    <row r="3133" spans="1:4">
      <c r="A3133">
        <v>1.102196</v>
      </c>
      <c r="B3133">
        <v>3.1503860000000001</v>
      </c>
      <c r="C3133">
        <f>LOG10(1.102196)</f>
        <v>4.2258830586131467E-2</v>
      </c>
      <c r="D3133">
        <f>LOG10(3.150386)</f>
        <v>0.49836376883713074</v>
      </c>
    </row>
    <row r="3134" spans="1:4">
      <c r="A3134">
        <v>1.155095</v>
      </c>
      <c r="B3134">
        <v>3.3614009999999999</v>
      </c>
      <c r="C3134">
        <f>LOG10(1.155095)</f>
        <v>6.2617703950342551E-2</v>
      </c>
      <c r="D3134">
        <f>LOG10(3.361401)</f>
        <v>0.52652032493572265</v>
      </c>
    </row>
    <row r="3135" spans="1:4">
      <c r="A3135">
        <v>1.1284540000000001</v>
      </c>
      <c r="B3135">
        <v>3.34829</v>
      </c>
      <c r="C3135">
        <f>LOG10(1.128454)</f>
        <v>5.248386030935754E-2</v>
      </c>
      <c r="D3135">
        <f>LOG10(3.34829)</f>
        <v>0.52482306579238203</v>
      </c>
    </row>
    <row r="3136" spans="1:4">
      <c r="A3136">
        <v>1.196283</v>
      </c>
      <c r="B3136">
        <v>3.4637509999999998</v>
      </c>
      <c r="C3136">
        <f>LOG10(1.196283)</f>
        <v>7.7833931157086034E-2</v>
      </c>
      <c r="D3136">
        <f>LOG10(3.463751)</f>
        <v>0.53954666417301467</v>
      </c>
    </row>
    <row r="3137" spans="1:4">
      <c r="A3137">
        <v>1.1421110000000001</v>
      </c>
      <c r="B3137">
        <v>3.2762859999999998</v>
      </c>
      <c r="C3137">
        <f>LOG10(1.142111)</f>
        <v>5.7708314369416591E-2</v>
      </c>
      <c r="D3137">
        <f>LOG10(3.276286)</f>
        <v>0.5153818060311014</v>
      </c>
    </row>
    <row r="3138" spans="1:4">
      <c r="A3138">
        <v>1.1388149999999999</v>
      </c>
      <c r="B3138">
        <v>3.282613</v>
      </c>
      <c r="C3138">
        <f>LOG10(1.138815)</f>
        <v>5.6453178859818903E-2</v>
      </c>
      <c r="D3138">
        <f>LOG10(3.282613)</f>
        <v>0.5162196850834565</v>
      </c>
    </row>
    <row r="3139" spans="1:4">
      <c r="A3139">
        <v>1.1237790000000001</v>
      </c>
      <c r="B3139">
        <v>3.2777120000000002</v>
      </c>
      <c r="C3139">
        <f>LOG10(1.123779)</f>
        <v>5.0680912196206504E-2</v>
      </c>
      <c r="D3139">
        <f>LOG10(3.277712)</f>
        <v>0.51557079111805648</v>
      </c>
    </row>
    <row r="3140" spans="1:4">
      <c r="A3140">
        <v>1.10582</v>
      </c>
      <c r="B3140">
        <v>3.4743240000000002</v>
      </c>
      <c r="C3140">
        <f>LOG10(1.10582)</f>
        <v>4.3684440378527319E-2</v>
      </c>
      <c r="D3140">
        <f>LOG10(3.474324)</f>
        <v>0.54087031637097405</v>
      </c>
    </row>
    <row r="3141" spans="1:4">
      <c r="A3141">
        <v>1.1129169999999999</v>
      </c>
      <c r="B3141">
        <v>3.268707</v>
      </c>
      <c r="C3141">
        <f>LOG10(1.112917)</f>
        <v>4.6462776386716809E-2</v>
      </c>
      <c r="D3141">
        <f>LOG10(3.268707)</f>
        <v>0.51437599308383763</v>
      </c>
    </row>
    <row r="3142" spans="1:4">
      <c r="A3142">
        <v>1.167732</v>
      </c>
      <c r="B3142">
        <v>2.9848539999999999</v>
      </c>
      <c r="C3142">
        <f>LOG10(1.167732)</f>
        <v>6.7343181580951719E-2</v>
      </c>
      <c r="D3142">
        <f>LOG10(2.984854)</f>
        <v>0.47492309307173119</v>
      </c>
    </row>
    <row r="3143" spans="1:4">
      <c r="A3143">
        <v>1.10077</v>
      </c>
      <c r="B3143">
        <v>3.4269630000000002</v>
      </c>
      <c r="C3143">
        <f>LOG10(1.10077)</f>
        <v>4.1696584943037546E-2</v>
      </c>
      <c r="D3143">
        <f>LOG10(3.426963)</f>
        <v>0.5349094154941868</v>
      </c>
    </row>
    <row r="3144" spans="1:4">
      <c r="A3144">
        <v>1.1251139999999999</v>
      </c>
      <c r="B3144">
        <v>3.1953580000000001</v>
      </c>
      <c r="C3144">
        <f>LOG10(1.125114)</f>
        <v>5.1196528725267039E-2</v>
      </c>
      <c r="D3144">
        <f>LOG10(3.195358)</f>
        <v>0.50451952249897081</v>
      </c>
    </row>
    <row r="3145" spans="1:4">
      <c r="A3145">
        <v>1.1075680000000001</v>
      </c>
      <c r="B3145">
        <v>3.3126669999999998</v>
      </c>
      <c r="C3145">
        <f>LOG10(1.107568)</f>
        <v>4.4370399561635458E-2</v>
      </c>
      <c r="D3145">
        <f>LOG10(3.312667)</f>
        <v>0.52017778139023996</v>
      </c>
    </row>
    <row r="3146" spans="1:4">
      <c r="A3146">
        <v>1.1239049999999999</v>
      </c>
      <c r="B3146">
        <v>3.3559459999999999</v>
      </c>
      <c r="C3146">
        <f>LOG10(1.123905)</f>
        <v>5.0729603297604266E-2</v>
      </c>
      <c r="D3146">
        <f>LOG10(3.355946)</f>
        <v>0.52581496404858685</v>
      </c>
    </row>
    <row r="3147" spans="1:4">
      <c r="A3147">
        <v>1.1169720000000001</v>
      </c>
      <c r="B3147">
        <v>3.4160699999999999</v>
      </c>
      <c r="C3147">
        <f>LOG10(1.116972)</f>
        <v>4.8042286456784419E-2</v>
      </c>
      <c r="D3147">
        <f>LOG10(3.41607)</f>
        <v>0.53352676140287369</v>
      </c>
    </row>
    <row r="3148" spans="1:4">
      <c r="A3148">
        <v>1.1247469999999999</v>
      </c>
      <c r="B3148">
        <v>3.5816680000000001</v>
      </c>
      <c r="C3148">
        <f>LOG10(1.124747)</f>
        <v>5.1054843460024278E-2</v>
      </c>
      <c r="D3148">
        <f>LOG10(3.581668)</f>
        <v>0.55408532678091316</v>
      </c>
    </row>
    <row r="3149" spans="1:4">
      <c r="A3149">
        <v>1.1484639999999999</v>
      </c>
      <c r="B3149">
        <v>3.3600889999999999</v>
      </c>
      <c r="C3149">
        <f>LOG10(1.148464)</f>
        <v>6.011738625600023E-2</v>
      </c>
      <c r="D3149">
        <f>LOG10(3.360089)</f>
        <v>0.52635078087109011</v>
      </c>
    </row>
    <row r="3150" spans="1:4">
      <c r="A3150">
        <v>1.148169</v>
      </c>
      <c r="B3150">
        <v>2.964073</v>
      </c>
      <c r="C3150">
        <f>LOG10(1.148169)</f>
        <v>6.0005816951835364E-2</v>
      </c>
      <c r="D3150">
        <f>LOG10(2.964073)</f>
        <v>0.47188889536220774</v>
      </c>
    </row>
    <row r="3151" spans="1:4">
      <c r="A3151">
        <v>1.16167</v>
      </c>
      <c r="B3151">
        <v>3.131542</v>
      </c>
      <c r="C3151">
        <f>LOG10(1.16167)</f>
        <v>6.5082773894735407E-2</v>
      </c>
      <c r="D3151">
        <f>LOG10(3.131542)</f>
        <v>0.49575824080051362</v>
      </c>
    </row>
    <row r="3152" spans="1:4">
      <c r="A3152">
        <v>1.1252310000000001</v>
      </c>
      <c r="B3152">
        <v>2.953192</v>
      </c>
      <c r="C3152">
        <f>LOG10(1.125231)</f>
        <v>5.1241688426938145E-2</v>
      </c>
      <c r="D3152">
        <f>LOG10(2.953192)</f>
        <v>0.4702916832772589</v>
      </c>
    </row>
    <row r="3153" spans="1:4">
      <c r="A3153">
        <v>1.1102069999999999</v>
      </c>
      <c r="B3153">
        <v>3.138296</v>
      </c>
      <c r="C3153">
        <f>LOG10(1.110207)</f>
        <v>4.5403961287851638E-2</v>
      </c>
      <c r="D3153">
        <f>LOG10(3.138296)</f>
        <v>0.49669390327388258</v>
      </c>
    </row>
    <row r="3154" spans="1:4">
      <c r="A3154">
        <v>1.1144579999999999</v>
      </c>
      <c r="B3154">
        <v>3.3778410000000001</v>
      </c>
      <c r="C3154">
        <f>LOG10(1.114458)</f>
        <v>4.7063706094010428E-2</v>
      </c>
      <c r="D3154">
        <f>LOG10(3.377841)</f>
        <v>0.52863920282888965</v>
      </c>
    </row>
    <row r="3155" spans="1:4">
      <c r="A3155">
        <v>1.1541589999999999</v>
      </c>
      <c r="B3155">
        <v>3.2845170000000001</v>
      </c>
      <c r="C3155">
        <f>LOG10(1.154159)</f>
        <v>6.2265642499049111E-2</v>
      </c>
      <c r="D3155">
        <f>LOG10(3.284517)</f>
        <v>0.51647151403056535</v>
      </c>
    </row>
    <row r="3156" spans="1:4">
      <c r="A3156">
        <v>1.1434070000000001</v>
      </c>
      <c r="B3156">
        <v>3.1351819999999999</v>
      </c>
      <c r="C3156">
        <f>LOG10(1.143407)</f>
        <v>5.8200846660891169E-2</v>
      </c>
      <c r="D3156">
        <f>LOG10(3.135182)</f>
        <v>0.49626275706512307</v>
      </c>
    </row>
    <row r="3157" spans="1:4">
      <c r="A3157">
        <v>1.1207279999999999</v>
      </c>
      <c r="B3157">
        <v>3.1945950000000001</v>
      </c>
      <c r="C3157">
        <f>LOG10(1.120728)</f>
        <v>4.950022237844607E-2</v>
      </c>
      <c r="D3157">
        <f>LOG10(3.194595)</f>
        <v>0.50441580759175098</v>
      </c>
    </row>
    <row r="3158" spans="1:4">
      <c r="A3158">
        <v>1.094903</v>
      </c>
      <c r="B3158">
        <v>3.4863770000000001</v>
      </c>
      <c r="C3158">
        <f>LOG10(1.094903)</f>
        <v>3.9375645723411443E-2</v>
      </c>
      <c r="D3158">
        <f>LOG10(3.486377)</f>
        <v>0.54237434782472738</v>
      </c>
    </row>
    <row r="3159" spans="1:4">
      <c r="A3159">
        <v>1.1286430000000001</v>
      </c>
      <c r="B3159">
        <v>3.2771560000000002</v>
      </c>
      <c r="C3159">
        <f>LOG10(1.128643)</f>
        <v>5.2556592369407733E-2</v>
      </c>
      <c r="D3159">
        <f>LOG10(3.277156)</f>
        <v>0.51549711526904851</v>
      </c>
    </row>
    <row r="3160" spans="1:4">
      <c r="A3160">
        <v>1.1207370000000001</v>
      </c>
      <c r="B3160">
        <v>3.2548119999999998</v>
      </c>
      <c r="C3160">
        <f>LOG10(1.120737)</f>
        <v>4.9503709963875438E-2</v>
      </c>
      <c r="D3160">
        <f>LOG10(3.254812)</f>
        <v>0.51252590850465496</v>
      </c>
    </row>
    <row r="3161" spans="1:4">
      <c r="A3161">
        <v>1.1004050000000001</v>
      </c>
      <c r="B3161">
        <v>3.4403350000000001</v>
      </c>
      <c r="C3161">
        <f>LOG10(1.100405)</f>
        <v>4.1552555061408362E-2</v>
      </c>
      <c r="D3161">
        <f>LOG10(3.440335)</f>
        <v>0.53660073372495587</v>
      </c>
    </row>
    <row r="3162" spans="1:4">
      <c r="A3162">
        <v>1.142701</v>
      </c>
      <c r="B3162">
        <v>3.3279100000000001</v>
      </c>
      <c r="C3162">
        <f>LOG10(1.142701)</f>
        <v>5.7932607440372257E-2</v>
      </c>
      <c r="D3162">
        <f>LOG10(3.32791)</f>
        <v>0.52217157271727577</v>
      </c>
    </row>
    <row r="3163" spans="1:4">
      <c r="A3163">
        <v>1.073178</v>
      </c>
      <c r="B3163">
        <v>3.5620889999999998</v>
      </c>
      <c r="C3163">
        <f>LOG10(1.073178)</f>
        <v>3.067176111457344E-2</v>
      </c>
      <c r="D3163">
        <f>LOG10(3.562089)</f>
        <v>0.5517047662574931</v>
      </c>
    </row>
    <row r="3164" spans="1:4">
      <c r="A3164">
        <v>1.096047</v>
      </c>
      <c r="B3164">
        <v>3.3377599999999998</v>
      </c>
      <c r="C3164">
        <f>LOG10(1.096047)</f>
        <v>3.9829177691232946E-2</v>
      </c>
      <c r="D3164">
        <f>LOG10(3.33776)</f>
        <v>0.52345510573361287</v>
      </c>
    </row>
    <row r="3165" spans="1:4">
      <c r="A3165">
        <v>1.049498</v>
      </c>
      <c r="B3165">
        <v>3.2156950000000002</v>
      </c>
      <c r="C3165">
        <f>LOG10(1.049498)</f>
        <v>2.0981615295940528E-2</v>
      </c>
      <c r="D3165">
        <f>LOG10(3.215695)</f>
        <v>0.50727485036916553</v>
      </c>
    </row>
    <row r="3166" spans="1:4">
      <c r="A3166">
        <v>1.0700050000000001</v>
      </c>
      <c r="B3166">
        <v>3.4334850000000001</v>
      </c>
      <c r="C3166">
        <f>LOG10(1.070005)</f>
        <v>2.9385807093934912E-2</v>
      </c>
      <c r="D3166">
        <f>LOG10(3.433485)</f>
        <v>0.53573515441510589</v>
      </c>
    </row>
    <row r="3167" spans="1:4">
      <c r="A3167">
        <v>1.0408599999999999</v>
      </c>
      <c r="B3167">
        <v>3.6226699999999998</v>
      </c>
      <c r="C3167">
        <f>LOG10(1.04086)</f>
        <v>1.739231902418438E-2</v>
      </c>
      <c r="D3167">
        <f>LOG10(3.62267)</f>
        <v>0.55902877463447387</v>
      </c>
    </row>
    <row r="3168" spans="1:4">
      <c r="A3168">
        <v>1.049796</v>
      </c>
      <c r="B3168">
        <v>3.4596779999999998</v>
      </c>
      <c r="C3168">
        <f>LOG10(1.049796)</f>
        <v>2.1104913658605711E-2</v>
      </c>
      <c r="D3168">
        <f>LOG10(3.459678)</f>
        <v>0.53903567991106738</v>
      </c>
    </row>
    <row r="3169" spans="1:4">
      <c r="A3169">
        <v>1.076284</v>
      </c>
      <c r="B3169">
        <v>3.08744</v>
      </c>
      <c r="C3169">
        <f>LOG10(1.076284)</f>
        <v>3.1926884117136782E-2</v>
      </c>
      <c r="D3169">
        <f>LOG10(3.08744)</f>
        <v>0.48959852645489316</v>
      </c>
    </row>
    <row r="3170" spans="1:4">
      <c r="A3170">
        <v>1.037042</v>
      </c>
      <c r="B3170">
        <v>3.1682440000000001</v>
      </c>
      <c r="C3170">
        <f>LOG10(1.037042)</f>
        <v>1.5796345587564847E-2</v>
      </c>
      <c r="D3170">
        <f>LOG10(3.168244)</f>
        <v>0.50081862107811281</v>
      </c>
    </row>
    <row r="3171" spans="1:4">
      <c r="A3171">
        <v>1.055626</v>
      </c>
      <c r="B3171">
        <v>3.371651</v>
      </c>
      <c r="C3171">
        <f>LOG10(1.055626)</f>
        <v>2.3510078324700159E-2</v>
      </c>
      <c r="D3171">
        <f>LOG10(3.371651)</f>
        <v>0.52784261440514701</v>
      </c>
    </row>
    <row r="3172" spans="1:4">
      <c r="A3172">
        <v>1.055493</v>
      </c>
      <c r="B3172">
        <v>3.394495</v>
      </c>
      <c r="C3172">
        <f>LOG10(1.055493)</f>
        <v>2.3455357424391341E-2</v>
      </c>
      <c r="D3172">
        <f>LOG10(3.394495)</f>
        <v>0.53077517330676904</v>
      </c>
    </row>
    <row r="3173" spans="1:4">
      <c r="A3173">
        <v>1.0532250000000001</v>
      </c>
      <c r="B3173">
        <v>3.1445949999999998</v>
      </c>
      <c r="C3173">
        <f>LOG10(1.053225)</f>
        <v>2.2521159238804631E-2</v>
      </c>
      <c r="D3173">
        <f>LOG10(3.144595)</f>
        <v>0.49756471954558446</v>
      </c>
    </row>
    <row r="3174" spans="1:4">
      <c r="A3174">
        <v>1.046035</v>
      </c>
      <c r="B3174">
        <v>3.2905099999999998</v>
      </c>
      <c r="C3174">
        <f>LOG10(1.046035)</f>
        <v>1.9546216130266018E-2</v>
      </c>
      <c r="D3174">
        <f>LOG10(3.29051)</f>
        <v>0.51726321497744299</v>
      </c>
    </row>
    <row r="3175" spans="1:4">
      <c r="A3175">
        <v>1.057161</v>
      </c>
      <c r="B3175">
        <v>3.3178160000000001</v>
      </c>
      <c r="C3175">
        <f>LOG10(1.057161)</f>
        <v>2.4141133085086149E-2</v>
      </c>
      <c r="D3175">
        <f>LOG10(3.317816)</f>
        <v>0.52085229717946135</v>
      </c>
    </row>
    <row r="3176" spans="1:4">
      <c r="A3176">
        <v>1.07619</v>
      </c>
      <c r="B3176">
        <v>3.2036889999999998</v>
      </c>
      <c r="C3176">
        <f>LOG10(1.07619)</f>
        <v>3.1888952247739168E-2</v>
      </c>
      <c r="D3176">
        <f>LOG10(3.203689)</f>
        <v>0.5056503500653069</v>
      </c>
    </row>
    <row r="3177" spans="1:4">
      <c r="A3177">
        <v>1.1115520000000001</v>
      </c>
      <c r="B3177">
        <v>3.305717</v>
      </c>
      <c r="C3177">
        <f>LOG10(1.111552)</f>
        <v>4.5929784430250843E-2</v>
      </c>
      <c r="D3177">
        <f>LOG10(3.305717)</f>
        <v>0.5192656711957595</v>
      </c>
    </row>
    <row r="3178" spans="1:4">
      <c r="A3178">
        <v>1.1137440000000001</v>
      </c>
      <c r="B3178">
        <v>3.3497650000000001</v>
      </c>
      <c r="C3178">
        <f>LOG10(1.113744)</f>
        <v>4.6785377405056623E-2</v>
      </c>
      <c r="D3178">
        <f>LOG10(3.349765)</f>
        <v>0.52501434053442642</v>
      </c>
    </row>
    <row r="3179" spans="1:4">
      <c r="A3179">
        <v>1.094549</v>
      </c>
      <c r="B3179">
        <v>3.3728229999999999</v>
      </c>
      <c r="C3179">
        <f>LOG10(1.094549)</f>
        <v>3.9235208529142356E-2</v>
      </c>
      <c r="D3179">
        <f>LOG10(3.372823)</f>
        <v>0.52799355075330812</v>
      </c>
    </row>
    <row r="3180" spans="1:4">
      <c r="A3180">
        <v>1.122654</v>
      </c>
      <c r="B3180">
        <v>3.2531539999999999</v>
      </c>
      <c r="C3180">
        <f>LOG10(1.122654)</f>
        <v>5.024592808318315E-2</v>
      </c>
      <c r="D3180">
        <f>LOG10(3.253154)</f>
        <v>0.51230462269382737</v>
      </c>
    </row>
    <row r="3181" spans="1:4">
      <c r="A3181">
        <v>1.1152010000000001</v>
      </c>
      <c r="B3181">
        <v>3.3864510000000001</v>
      </c>
      <c r="C3181">
        <f>LOG10(1.115201)</f>
        <v>4.7353150185683875E-2</v>
      </c>
      <c r="D3181">
        <f>LOG10(3.386451)</f>
        <v>0.5297447959962498</v>
      </c>
    </row>
    <row r="3182" spans="1:4">
      <c r="A3182">
        <v>1.1254169999999999</v>
      </c>
      <c r="B3182">
        <v>3.3585199999999999</v>
      </c>
      <c r="C3182">
        <f>LOG10(1.125417)</f>
        <v>5.1313471108030716E-2</v>
      </c>
      <c r="D3182">
        <f>LOG10(3.35852)</f>
        <v>0.52614793886778455</v>
      </c>
    </row>
    <row r="3183" spans="1:4">
      <c r="A3183">
        <v>1.078009</v>
      </c>
      <c r="B3183">
        <v>3.4098579999999998</v>
      </c>
      <c r="C3183">
        <f>LOG10(1.078009)</f>
        <v>3.2622386670776445E-2</v>
      </c>
      <c r="D3183">
        <f>LOG10(3.409858)</f>
        <v>0.53273629362578212</v>
      </c>
    </row>
    <row r="3184" spans="1:4">
      <c r="A3184">
        <v>1.104174</v>
      </c>
      <c r="B3184">
        <v>3.380293</v>
      </c>
      <c r="C3184">
        <f>LOG10(1.104174)</f>
        <v>4.3037516586522252E-2</v>
      </c>
      <c r="D3184">
        <f>LOG10(3.380293)</f>
        <v>0.52895434606705394</v>
      </c>
    </row>
    <row r="3185" spans="1:4">
      <c r="A3185">
        <v>1.118492</v>
      </c>
      <c r="B3185">
        <v>3.4214560000000001</v>
      </c>
      <c r="C3185">
        <f>LOG10(1.118492)</f>
        <v>4.8632882157923121E-2</v>
      </c>
      <c r="D3185">
        <f>LOG10(3.421456)</f>
        <v>0.53421095933157747</v>
      </c>
    </row>
    <row r="3186" spans="1:4">
      <c r="A3186">
        <v>1.0994740000000001</v>
      </c>
      <c r="B3186">
        <v>3.0175000000000001</v>
      </c>
      <c r="C3186">
        <f>LOG10(1.099474)</f>
        <v>4.1184963764986447E-2</v>
      </c>
      <c r="D3186">
        <f>LOG10(3.0175)</f>
        <v>0.47964727876938684</v>
      </c>
    </row>
    <row r="3187" spans="1:4">
      <c r="A3187">
        <v>1.1375740000000001</v>
      </c>
      <c r="B3187">
        <v>3.0653980000000001</v>
      </c>
      <c r="C3187">
        <f>LOG10(1.137574)</f>
        <v>5.5979657413848985E-2</v>
      </c>
      <c r="D3187">
        <f>LOG10(3.065398)</f>
        <v>0.48648686971324606</v>
      </c>
    </row>
    <row r="3188" spans="1:4">
      <c r="A3188">
        <v>1.1144480000000001</v>
      </c>
      <c r="B3188">
        <v>3.3462239999999999</v>
      </c>
      <c r="C3188">
        <f>LOG10(1.114448)</f>
        <v>4.7059809164468315E-2</v>
      </c>
      <c r="D3188">
        <f>LOG10(3.346224)</f>
        <v>0.52455500976080238</v>
      </c>
    </row>
    <row r="3189" spans="1:4">
      <c r="A3189">
        <v>1.097783</v>
      </c>
      <c r="B3189">
        <v>3.2527460000000001</v>
      </c>
      <c r="C3189">
        <f>LOG10(1.097783)</f>
        <v>4.0516501119163467E-2</v>
      </c>
      <c r="D3189">
        <f>LOG10(3.252746)</f>
        <v>0.51225015147574882</v>
      </c>
    </row>
    <row r="3190" spans="1:4">
      <c r="A3190">
        <v>1.0904199999999999</v>
      </c>
      <c r="B3190">
        <v>3.1671109999999998</v>
      </c>
      <c r="C3190">
        <f>LOG10(1.09042)</f>
        <v>3.7593808536431135E-2</v>
      </c>
      <c r="D3190">
        <f>LOG10(3.167111)</f>
        <v>0.50066328466736953</v>
      </c>
    </row>
    <row r="3191" spans="1:4">
      <c r="A3191">
        <v>1.078972</v>
      </c>
      <c r="B3191">
        <v>3.1596060000000001</v>
      </c>
      <c r="C3191">
        <f>LOG10(1.078972)</f>
        <v>3.3010174615000658E-2</v>
      </c>
      <c r="D3191">
        <f>LOG10(3.159606)</f>
        <v>0.49963292986707991</v>
      </c>
    </row>
    <row r="3192" spans="1:4">
      <c r="A3192">
        <v>1.082811</v>
      </c>
      <c r="B3192">
        <v>3.0699079999999999</v>
      </c>
      <c r="C3192">
        <f>LOG10(1.082811)</f>
        <v>3.4552659007441346E-2</v>
      </c>
      <c r="D3192">
        <f>LOG10(3.069908)</f>
        <v>0.48712536059411715</v>
      </c>
    </row>
    <row r="3193" spans="1:4">
      <c r="A3193">
        <v>1.0270680000000001</v>
      </c>
      <c r="B3193">
        <v>3.0953909999999998</v>
      </c>
      <c r="C3193">
        <f>LOG10(1.027068)</f>
        <v>1.1599198268282516E-2</v>
      </c>
      <c r="D3193">
        <f>LOG10(3.095391)</f>
        <v>0.49071551552644233</v>
      </c>
    </row>
    <row r="3194" spans="1:4">
      <c r="A3194">
        <v>1.0189600000000001</v>
      </c>
      <c r="B3194">
        <v>3.4099309999999998</v>
      </c>
      <c r="C3194">
        <f>LOG10(1.01896)</f>
        <v>8.1571358020668169E-3</v>
      </c>
      <c r="D3194">
        <f>LOG10(3.409931)</f>
        <v>0.53274559112668141</v>
      </c>
    </row>
    <row r="3195" spans="1:4">
      <c r="A3195">
        <v>1.0468090000000001</v>
      </c>
      <c r="B3195">
        <v>3.2210359999999998</v>
      </c>
      <c r="C3195">
        <f>LOG10(1.046809)</f>
        <v>1.9867447855438612E-2</v>
      </c>
      <c r="D3195">
        <f>LOG10(3.221036)</f>
        <v>0.50799557875138268</v>
      </c>
    </row>
    <row r="3196" spans="1:4">
      <c r="A3196">
        <v>1.0808869999999999</v>
      </c>
      <c r="B3196">
        <v>3.1074730000000002</v>
      </c>
      <c r="C3196">
        <f>LOG10(1.080887)</f>
        <v>3.3780293544778545E-2</v>
      </c>
      <c r="D3196">
        <f>LOG10(3.107473)</f>
        <v>0.49240736386172645</v>
      </c>
    </row>
    <row r="3197" spans="1:4">
      <c r="A3197">
        <v>1.0888340000000001</v>
      </c>
      <c r="B3197">
        <v>3.1995719999999999</v>
      </c>
      <c r="C3197">
        <f>LOG10(1.088834)</f>
        <v>3.696167371423504E-2</v>
      </c>
      <c r="D3197">
        <f>LOG10(3.199572)</f>
        <v>0.50509188754804446</v>
      </c>
    </row>
    <row r="3198" spans="1:4">
      <c r="A3198">
        <v>1.0769010000000001</v>
      </c>
      <c r="B3198">
        <v>3.2951619999999999</v>
      </c>
      <c r="C3198">
        <f>LOG10(1.076901)</f>
        <v>3.2175780243264909E-2</v>
      </c>
      <c r="D3198">
        <f>LOG10(3.295162)</f>
        <v>0.51787677066799276</v>
      </c>
    </row>
    <row r="3199" spans="1:4">
      <c r="A3199">
        <v>1.058465</v>
      </c>
      <c r="B3199">
        <v>3.1506439999999998</v>
      </c>
      <c r="C3199">
        <f>LOG10(1.058465)</f>
        <v>2.4676501884787202E-2</v>
      </c>
      <c r="D3199">
        <f>LOG10(3.150644)</f>
        <v>0.49839933380869683</v>
      </c>
    </row>
    <row r="3200" spans="1:4">
      <c r="A3200">
        <v>1.0529489999999999</v>
      </c>
      <c r="B3200">
        <v>3.067504</v>
      </c>
      <c r="C3200">
        <f>LOG10(1.052949)</f>
        <v>2.2407336470418458E-2</v>
      </c>
      <c r="D3200">
        <f>LOG10(3.067504)</f>
        <v>0.48678513771584542</v>
      </c>
    </row>
    <row r="3201" spans="1:4">
      <c r="A3201">
        <v>1.0540369999999999</v>
      </c>
      <c r="B3201">
        <v>3.3280379999999998</v>
      </c>
      <c r="C3201">
        <f>LOG10(1.054037)</f>
        <v>2.2855856240657581E-2</v>
      </c>
      <c r="D3201">
        <f>LOG10(3.328038)</f>
        <v>0.5221882764816953</v>
      </c>
    </row>
    <row r="3202" spans="1:4">
      <c r="A3202">
        <v>1.054246</v>
      </c>
      <c r="B3202">
        <v>3.4575119999999999</v>
      </c>
      <c r="C3202">
        <f>LOG10(1.054246)</f>
        <v>2.2941961898214149E-2</v>
      </c>
      <c r="D3202">
        <f>LOG10(3.457512)</f>
        <v>0.5387636960914679</v>
      </c>
    </row>
    <row r="3203" spans="1:4">
      <c r="A3203">
        <v>1.0517240000000001</v>
      </c>
      <c r="B3203">
        <v>3.249708</v>
      </c>
      <c r="C3203">
        <f>LOG10(1.051724)</f>
        <v>2.1901784491172693E-2</v>
      </c>
      <c r="D3203">
        <f>LOG10(3.249708)</f>
        <v>0.51184433953704933</v>
      </c>
    </row>
    <row r="3204" spans="1:4">
      <c r="A3204">
        <v>1.066351</v>
      </c>
      <c r="B3204">
        <v>3.2027809999999999</v>
      </c>
      <c r="C3204">
        <f>LOG10(1.066351)</f>
        <v>2.7900180555713416E-2</v>
      </c>
      <c r="D3204">
        <f>LOG10(3.202781)</f>
        <v>0.50552724345832722</v>
      </c>
    </row>
    <row r="3205" spans="1:4">
      <c r="A3205">
        <v>1.0680099999999999</v>
      </c>
      <c r="B3205">
        <v>3.1396769999999998</v>
      </c>
      <c r="C3205">
        <f>LOG10(1.06801)</f>
        <v>2.8575319101233284E-2</v>
      </c>
      <c r="D3205">
        <f>LOG10(3.139677)</f>
        <v>0.49688497153403033</v>
      </c>
    </row>
    <row r="3206" spans="1:4">
      <c r="A3206">
        <v>1.0771029999999999</v>
      </c>
      <c r="B3206">
        <v>3.1298750000000002</v>
      </c>
      <c r="C3206">
        <f>LOG10(1.077103)</f>
        <v>3.2257235510387484E-2</v>
      </c>
      <c r="D3206">
        <f>LOG10(3.129875)</f>
        <v>0.49552699317128285</v>
      </c>
    </row>
    <row r="3207" spans="1:4">
      <c r="A3207">
        <v>1.086927</v>
      </c>
      <c r="B3207">
        <v>3.2404959999999998</v>
      </c>
      <c r="C3207">
        <f>LOG10(1.086927)</f>
        <v>3.6200377056131279E-2</v>
      </c>
      <c r="D3207">
        <f>LOG10(3.240496)</f>
        <v>0.51061148970554082</v>
      </c>
    </row>
    <row r="3208" spans="1:4">
      <c r="A3208">
        <v>1.084803</v>
      </c>
      <c r="B3208">
        <v>3.184596</v>
      </c>
      <c r="C3208">
        <f>LOG10(1.084803)</f>
        <v>3.5350877556952133E-2</v>
      </c>
      <c r="D3208">
        <f>LOG10(3.184596)</f>
        <v>0.50305434527438764</v>
      </c>
    </row>
    <row r="3209" spans="1:4">
      <c r="A3209">
        <v>1.0930800000000001</v>
      </c>
      <c r="B3209">
        <v>3.1730480000000001</v>
      </c>
      <c r="C3209">
        <f>LOG10(1.09308)</f>
        <v>3.8651948122731948E-2</v>
      </c>
      <c r="D3209">
        <f>LOG10(3.173048)</f>
        <v>0.50147664190106034</v>
      </c>
    </row>
    <row r="3210" spans="1:4">
      <c r="A3210">
        <v>1.096319</v>
      </c>
      <c r="B3210">
        <v>3.110725</v>
      </c>
      <c r="C3210">
        <f>LOG10(1.096319)</f>
        <v>3.9936940810788538E-2</v>
      </c>
      <c r="D3210">
        <f>LOG10(3.110725)</f>
        <v>0.49286161951068158</v>
      </c>
    </row>
    <row r="3211" spans="1:4">
      <c r="A3211">
        <v>1.0857140000000001</v>
      </c>
      <c r="B3211">
        <v>3.132139</v>
      </c>
      <c r="C3211">
        <f>LOG10(1.085714)</f>
        <v>3.5715437978497959E-2</v>
      </c>
      <c r="D3211">
        <f>LOG10(3.132139)</f>
        <v>0.49584102720246526</v>
      </c>
    </row>
    <row r="3212" spans="1:4">
      <c r="A3212">
        <v>1.0767530000000001</v>
      </c>
      <c r="B3212">
        <v>3.2025299999999999</v>
      </c>
      <c r="C3212">
        <f>LOG10(1.076753)</f>
        <v>3.2116090447761196E-2</v>
      </c>
      <c r="D3212">
        <f>LOG10(3.20253)</f>
        <v>0.50549320673005171</v>
      </c>
    </row>
    <row r="3213" spans="1:4">
      <c r="A3213">
        <v>1.0930690000000001</v>
      </c>
      <c r="B3213">
        <v>2.8929990000000001</v>
      </c>
      <c r="C3213">
        <f>LOG10(1.093069)</f>
        <v>3.8647577661888734E-2</v>
      </c>
      <c r="D3213">
        <f>LOG10(2.892999)</f>
        <v>0.46134828352888269</v>
      </c>
    </row>
    <row r="3214" spans="1:4">
      <c r="A3214">
        <v>1.0199469999999999</v>
      </c>
      <c r="B3214">
        <v>6.6647030000000003</v>
      </c>
      <c r="C3214">
        <f>LOG10(1.019947)</f>
        <v>8.5776048937135554E-3</v>
      </c>
      <c r="D3214">
        <f>LOG10(6.664703)</f>
        <v>0.82378080066134385</v>
      </c>
    </row>
    <row r="3215" spans="1:4">
      <c r="A3215">
        <v>1.007385</v>
      </c>
      <c r="B3215">
        <v>6.9536059999999997</v>
      </c>
      <c r="C3215">
        <f>LOG10(1.007385)</f>
        <v>3.1954799088988093E-3</v>
      </c>
      <c r="D3215">
        <f>LOG10(6.953606)</f>
        <v>0.84221007937664871</v>
      </c>
    </row>
    <row r="3216" spans="1:4">
      <c r="A3216">
        <v>1.012686</v>
      </c>
      <c r="B3216">
        <v>7.8695719999999998</v>
      </c>
      <c r="C3216">
        <f>LOG10(1.012686)</f>
        <v>5.4748060643482399E-3</v>
      </c>
      <c r="D3216">
        <f>LOG10(7.869572)</f>
        <v>0.89595111316048659</v>
      </c>
    </row>
    <row r="3217" spans="1:4">
      <c r="A3217">
        <v>1.0109859999999999</v>
      </c>
      <c r="B3217">
        <v>7.5688810000000002</v>
      </c>
      <c r="C3217">
        <f>LOG10(1.010986)</f>
        <v>4.7451415802742154E-3</v>
      </c>
      <c r="D3217">
        <f>LOG10(7.568881)</f>
        <v>0.87903167719527431</v>
      </c>
    </row>
    <row r="3218" spans="1:4">
      <c r="A3218">
        <v>1.007358</v>
      </c>
      <c r="B3218">
        <v>7.8895590000000002</v>
      </c>
      <c r="C3218">
        <f>LOG10(1.007358)</f>
        <v>3.1838397632205865E-3</v>
      </c>
      <c r="D3218">
        <f>LOG10(7.889559)</f>
        <v>0.89705272827669635</v>
      </c>
    </row>
    <row r="3219" spans="1:4">
      <c r="A3219">
        <v>1.010049</v>
      </c>
      <c r="B3219">
        <v>8.3766610000000004</v>
      </c>
      <c r="C3219">
        <f>LOG10(1.010049)</f>
        <v>4.3424430038519826E-3</v>
      </c>
      <c r="D3219">
        <f>LOG10(8.376661)</f>
        <v>0.92307094008028767</v>
      </c>
    </row>
    <row r="3220" spans="1:4">
      <c r="A3220">
        <v>1.0080979999999999</v>
      </c>
      <c r="B3220">
        <v>6.8908610000000001</v>
      </c>
      <c r="C3220">
        <f>LOG10(1.008098)</f>
        <v>3.5027531317583936E-3</v>
      </c>
      <c r="D3220">
        <f>LOG10(6.890861)</f>
        <v>0.83827348956904479</v>
      </c>
    </row>
    <row r="3221" spans="1:4">
      <c r="A3221">
        <v>1.012991</v>
      </c>
      <c r="B3221">
        <v>6.3726019999999997</v>
      </c>
      <c r="C3221">
        <f>LOG10(1.012991)</f>
        <v>5.6055868531723852E-3</v>
      </c>
      <c r="D3221">
        <f>LOG10(6.372602)</f>
        <v>0.80431679552343682</v>
      </c>
    </row>
    <row r="3222" spans="1:4">
      <c r="A3222">
        <v>1.0105470000000001</v>
      </c>
      <c r="B3222">
        <v>6.339925</v>
      </c>
      <c r="C3222">
        <f>LOG10(1.010547)</f>
        <v>4.556517124920262E-3</v>
      </c>
      <c r="D3222">
        <f>LOG10(6.339925)</f>
        <v>0.80208412029832532</v>
      </c>
    </row>
    <row r="3223" spans="1:4">
      <c r="A3223">
        <v>1.0068999999999999</v>
      </c>
      <c r="B3223">
        <v>6.2069140000000003</v>
      </c>
      <c r="C3223">
        <f>LOG10(1.0069)</f>
        <v>2.9863408567849378E-3</v>
      </c>
      <c r="D3223">
        <f>LOG10(6.206914)</f>
        <v>0.79287572805267759</v>
      </c>
    </row>
    <row r="3224" spans="1:4">
      <c r="A3224">
        <v>1.0074110000000001</v>
      </c>
      <c r="B3224">
        <v>7.9901350000000004</v>
      </c>
      <c r="C3224">
        <f>LOG10(1.007411)</f>
        <v>3.2066886432125033E-3</v>
      </c>
      <c r="D3224">
        <f>LOG10(7.990135)</f>
        <v>0.902554117143748</v>
      </c>
    </row>
    <row r="3225" spans="1:4">
      <c r="A3225">
        <v>1.0126869999999999</v>
      </c>
      <c r="B3225">
        <v>6.6811429999999996</v>
      </c>
      <c r="C3225">
        <f>LOG10(1.012687)</f>
        <v>5.4752349181760212E-3</v>
      </c>
      <c r="D3225">
        <f>LOG10(6.681143)</f>
        <v>0.82485076728525042</v>
      </c>
    </row>
    <row r="3226" spans="1:4">
      <c r="A3226">
        <v>1.007417</v>
      </c>
      <c r="B3226">
        <v>6.2500749999999998</v>
      </c>
      <c r="C3226">
        <f>LOG10(1.007417)</f>
        <v>3.209275233126288E-3</v>
      </c>
      <c r="D3226">
        <f>LOG10(6.250075)</f>
        <v>0.79588522884658908</v>
      </c>
    </row>
    <row r="3227" spans="1:4">
      <c r="A3227">
        <v>1.009034</v>
      </c>
      <c r="B3227">
        <v>6.0220200000000004</v>
      </c>
      <c r="C3227">
        <f>LOG10(1.009034)</f>
        <v>3.9058002940038136E-3</v>
      </c>
      <c r="D3227">
        <f>LOG10(6.02202)</f>
        <v>0.77974219353396645</v>
      </c>
    </row>
    <row r="3228" spans="1:4">
      <c r="A3228">
        <v>1.0093970000000001</v>
      </c>
      <c r="B3228">
        <v>6.7582909999999998</v>
      </c>
      <c r="C3228">
        <f>LOG10(1.009397)</f>
        <v>4.0620096453569806E-3</v>
      </c>
      <c r="D3228">
        <f>LOG10(6.758291)</f>
        <v>0.82983688779006903</v>
      </c>
    </row>
    <row r="3229" spans="1:4">
      <c r="A3229">
        <v>1.0125029999999999</v>
      </c>
      <c r="B3229">
        <v>7.5892619999999997</v>
      </c>
      <c r="C3229">
        <f>LOG10(1.012503)</f>
        <v>5.3963186832646677E-3</v>
      </c>
      <c r="D3229">
        <f>LOG10(7.589262)</f>
        <v>0.88019954599946859</v>
      </c>
    </row>
    <row r="3230" spans="1:4">
      <c r="A3230">
        <v>1.0089140000000001</v>
      </c>
      <c r="B3230">
        <v>6.8149920000000002</v>
      </c>
      <c r="C3230">
        <f>LOG10(1.008914)</f>
        <v>3.854148479497417E-3</v>
      </c>
      <c r="D3230">
        <f>LOG10(6.814992)</f>
        <v>0.83346535036028968</v>
      </c>
    </row>
    <row r="3231" spans="1:4">
      <c r="A3231">
        <v>1.008769</v>
      </c>
      <c r="B3231">
        <v>7.7783670000000003</v>
      </c>
      <c r="C3231">
        <f>LOG10(1.008769)</f>
        <v>3.7917276730730122E-3</v>
      </c>
      <c r="D3231">
        <f>LOG10(7.778367)</f>
        <v>0.89088843023786313</v>
      </c>
    </row>
    <row r="3232" spans="1:4">
      <c r="A3232">
        <v>1.012807</v>
      </c>
      <c r="B3232">
        <v>7.5583020000000003</v>
      </c>
      <c r="C3232">
        <f>LOG10(1.012807)</f>
        <v>5.5266943032834725E-3</v>
      </c>
      <c r="D3232">
        <f>LOG10(7.558302)</f>
        <v>0.87842424062588098</v>
      </c>
    </row>
    <row r="3233" spans="1:4">
      <c r="A3233">
        <v>1.0076320000000001</v>
      </c>
      <c r="B3233">
        <v>7.4254069999999999</v>
      </c>
      <c r="C3233">
        <f>LOG10(1.007632)</f>
        <v>3.3019512067264949E-3</v>
      </c>
      <c r="D3233">
        <f>LOG10(7.425407)</f>
        <v>0.87072026310841999</v>
      </c>
    </row>
    <row r="3234" spans="1:4">
      <c r="A3234">
        <v>1.008121</v>
      </c>
      <c r="B3234">
        <v>7.1277090000000003</v>
      </c>
      <c r="C3234">
        <f>LOG10(1.008121)</f>
        <v>3.5126615525046066E-3</v>
      </c>
      <c r="D3234">
        <f>LOG10(7.127709)</f>
        <v>0.85294996063122797</v>
      </c>
    </row>
    <row r="3235" spans="1:4">
      <c r="A3235">
        <v>1.006467</v>
      </c>
      <c r="B3235">
        <v>6.8011819999999998</v>
      </c>
      <c r="C3235">
        <f>LOG10(1.006467)</f>
        <v>2.7995398278982172E-3</v>
      </c>
      <c r="D3235">
        <f>LOG10(6.801182)</f>
        <v>0.83258439674562379</v>
      </c>
    </row>
    <row r="3236" spans="1:4">
      <c r="A3236">
        <v>1.0242560000000001</v>
      </c>
      <c r="B3236">
        <v>7.7358729999999998</v>
      </c>
      <c r="C3236">
        <f>LOG10(1.024256)</f>
        <v>1.0408516690846756E-2</v>
      </c>
      <c r="D3236">
        <f>LOG10(7.735873)</f>
        <v>0.88850933131125043</v>
      </c>
    </row>
    <row r="3237" spans="1:4">
      <c r="A3237">
        <v>1.017412</v>
      </c>
      <c r="B3237">
        <v>7.6609759999999998</v>
      </c>
      <c r="C3237">
        <f>LOG10(1.017412)</f>
        <v>7.4968556690813747E-3</v>
      </c>
      <c r="D3237">
        <f>LOG10(7.660976)</f>
        <v>0.8842841018013784</v>
      </c>
    </row>
    <row r="3238" spans="1:4">
      <c r="A3238">
        <v>1.0051859999999999</v>
      </c>
      <c r="B3238">
        <v>8.2491249999999994</v>
      </c>
      <c r="C3238">
        <f>LOG10(1.005186)</f>
        <v>2.2464312087518944E-3</v>
      </c>
      <c r="D3238">
        <f>LOG10(8.249125)</f>
        <v>0.91640788457113564</v>
      </c>
    </row>
    <row r="3239" spans="1:4">
      <c r="A3239">
        <v>1.0081450000000001</v>
      </c>
      <c r="B3239">
        <v>6.8520770000000004</v>
      </c>
      <c r="C3239">
        <f>LOG10(1.008145)</f>
        <v>3.5230005331412691E-3</v>
      </c>
      <c r="D3239">
        <f>LOG10(6.852077)</f>
        <v>0.83582223469148975</v>
      </c>
    </row>
    <row r="3240" spans="1:4">
      <c r="A3240">
        <v>1.0106930000000001</v>
      </c>
      <c r="B3240">
        <v>6.9679970000000004</v>
      </c>
      <c r="C3240">
        <f>LOG10(1.010693)</f>
        <v>4.6192578132780455E-3</v>
      </c>
      <c r="D3240">
        <f>LOG10(6.967997)</f>
        <v>0.84310795501858982</v>
      </c>
    </row>
    <row r="3241" spans="1:4">
      <c r="A3241">
        <v>1.0049410000000001</v>
      </c>
      <c r="B3241">
        <v>6.4276679999999997</v>
      </c>
      <c r="C3241">
        <f>LOG10(1.004941)</f>
        <v>2.1405651131339506E-3</v>
      </c>
      <c r="D3241">
        <f>LOG10(6.427668)</f>
        <v>0.80805343662091988</v>
      </c>
    </row>
    <row r="3242" spans="1:4">
      <c r="A3242">
        <v>1.0056700000000001</v>
      </c>
      <c r="B3242">
        <v>7.2515689999999999</v>
      </c>
      <c r="C3242">
        <f>LOG10(1.00567)</f>
        <v>2.4554949440968514E-3</v>
      </c>
      <c r="D3242">
        <f>LOG10(7.251569)</f>
        <v>0.86043198371853757</v>
      </c>
    </row>
    <row r="3243" spans="1:4">
      <c r="A3243">
        <v>1.0067060000000001</v>
      </c>
      <c r="B3243">
        <v>6.4216490000000004</v>
      </c>
      <c r="C3243">
        <f>LOG10(1.006706)</f>
        <v>2.902657028121502E-3</v>
      </c>
      <c r="D3243">
        <f>LOG10(6.421649)</f>
        <v>0.80764656383884592</v>
      </c>
    </row>
    <row r="3244" spans="1:4">
      <c r="A3244">
        <v>1.0056830000000001</v>
      </c>
      <c r="B3244">
        <v>6.3480179999999997</v>
      </c>
      <c r="C3244">
        <f>LOG10(1.005683)</f>
        <v>2.4611089047142454E-3</v>
      </c>
      <c r="D3244">
        <f>LOG10(6.348018)</f>
        <v>0.80263814953989798</v>
      </c>
    </row>
    <row r="3245" spans="1:4">
      <c r="A3245">
        <v>1.005009</v>
      </c>
      <c r="B3245">
        <v>6.4724320000000004</v>
      </c>
      <c r="C3245">
        <f>LOG10(1.005009)</f>
        <v>2.1699509434090019E-3</v>
      </c>
      <c r="D3245">
        <f>LOG10(6.472432)</f>
        <v>0.81106749639081821</v>
      </c>
    </row>
    <row r="3246" spans="1:4">
      <c r="A3246">
        <v>1.0052160000000001</v>
      </c>
      <c r="B3246">
        <v>6.3190460000000002</v>
      </c>
      <c r="C3246">
        <f>LOG10(1.005216)</f>
        <v>2.2593926308536929E-3</v>
      </c>
      <c r="D3246">
        <f>LOG10(6.319046)</f>
        <v>0.80065151685685931</v>
      </c>
    </row>
    <row r="3247" spans="1:4">
      <c r="A3247">
        <v>1.009592</v>
      </c>
      <c r="B3247">
        <v>6.3530509999999998</v>
      </c>
      <c r="C3247">
        <f>LOG10(1.009592)</f>
        <v>4.1459005672336621E-3</v>
      </c>
      <c r="D3247">
        <f>LOG10(6.353051)</f>
        <v>0.80298234170857752</v>
      </c>
    </row>
    <row r="3248" spans="1:4">
      <c r="A3248">
        <v>1.007301</v>
      </c>
      <c r="B3248">
        <v>6.690429</v>
      </c>
      <c r="C3248">
        <f>LOG10(1.007301)</f>
        <v>3.1592650977560299E-3</v>
      </c>
      <c r="D3248">
        <f>LOG10(6.690429)</f>
        <v>0.8254539662520235</v>
      </c>
    </row>
    <row r="3249" spans="1:4">
      <c r="A3249">
        <v>1.01004</v>
      </c>
      <c r="B3249">
        <v>6.7077340000000003</v>
      </c>
      <c r="C3249">
        <f>LOG10(1.01004)</f>
        <v>4.3385732235233709E-3</v>
      </c>
      <c r="D3249">
        <f>LOG10(6.707734)</f>
        <v>0.82657583201652929</v>
      </c>
    </row>
    <row r="3250" spans="1:4">
      <c r="A3250">
        <v>1.006521</v>
      </c>
      <c r="B3250">
        <v>6.8005570000000004</v>
      </c>
      <c r="C3250">
        <f>LOG10(1.006521)</f>
        <v>2.8228404159080815E-3</v>
      </c>
      <c r="D3250">
        <f>LOG10(6.800557)</f>
        <v>0.83254448507677314</v>
      </c>
    </row>
    <row r="3251" spans="1:4">
      <c r="A3251">
        <v>1.0126900000000001</v>
      </c>
      <c r="B3251">
        <v>6.8037039999999998</v>
      </c>
      <c r="C3251">
        <f>LOG10(1.01269)</f>
        <v>5.4765214771186734E-3</v>
      </c>
      <c r="D3251">
        <f>LOG10(6.803704)</f>
        <v>0.83274541106002609</v>
      </c>
    </row>
    <row r="3252" spans="1:4">
      <c r="A3252">
        <v>1.005925</v>
      </c>
      <c r="B3252">
        <v>6.9343649999999997</v>
      </c>
      <c r="C3252">
        <f>LOG10(1.005925)</f>
        <v>2.5656016936945439E-3</v>
      </c>
      <c r="D3252">
        <f>LOG10(6.934365)</f>
        <v>0.84100669761947311</v>
      </c>
    </row>
    <row r="3253" spans="1:4">
      <c r="A3253">
        <v>1.005363</v>
      </c>
      <c r="B3253">
        <v>7.5827479999999996</v>
      </c>
      <c r="C3253">
        <f>LOG10(1.005363)</f>
        <v>2.3228980081141629E-3</v>
      </c>
      <c r="D3253">
        <f>LOG10(7.582748)</f>
        <v>0.87982662317263871</v>
      </c>
    </row>
    <row r="3254" spans="1:4">
      <c r="A3254">
        <v>1.0086029999999999</v>
      </c>
      <c r="B3254">
        <v>7.435708</v>
      </c>
      <c r="C3254">
        <f>LOG10(1.008603)</f>
        <v>3.7202555953811454E-3</v>
      </c>
      <c r="D3254">
        <f>LOG10(7.435708)</f>
        <v>0.87132232670520338</v>
      </c>
    </row>
    <row r="3255" spans="1:4">
      <c r="A3255">
        <v>1.0065249999999999</v>
      </c>
      <c r="B3255">
        <v>7.1284830000000001</v>
      </c>
      <c r="C3255">
        <f>LOG10(1.006525)</f>
        <v>2.8245663356611015E-3</v>
      </c>
      <c r="D3255">
        <f>LOG10(7.128483)</f>
        <v>0.85299711823535163</v>
      </c>
    </row>
    <row r="3256" spans="1:4">
      <c r="A3256">
        <v>1.0085230000000001</v>
      </c>
      <c r="B3256">
        <v>6.3868410000000004</v>
      </c>
      <c r="C3256">
        <f>LOG10(1.008523)</f>
        <v>3.6858070199620439E-3</v>
      </c>
      <c r="D3256">
        <f>LOG10(6.386841)</f>
        <v>0.80528610455908911</v>
      </c>
    </row>
    <row r="3257" spans="1:4">
      <c r="A3257">
        <v>1.005544</v>
      </c>
      <c r="B3257">
        <v>6.5035280000000002</v>
      </c>
      <c r="C3257">
        <f>LOG10(1.005544)</f>
        <v>2.4010789497855237E-3</v>
      </c>
      <c r="D3257">
        <f>LOG10(6.503528)</f>
        <v>0.8131490143766259</v>
      </c>
    </row>
    <row r="3258" spans="1:4">
      <c r="A3258">
        <v>1.013285</v>
      </c>
      <c r="B3258">
        <v>6.3654650000000004</v>
      </c>
      <c r="C3258">
        <f>LOG10(1.013285)</f>
        <v>5.7316136911505907E-3</v>
      </c>
      <c r="D3258">
        <f>LOG10(6.365465)</f>
        <v>0.80383013455020047</v>
      </c>
    </row>
    <row r="3259" spans="1:4">
      <c r="A3259">
        <v>1.0042500000000001</v>
      </c>
      <c r="B3259">
        <v>6.7300529999999998</v>
      </c>
      <c r="C3259">
        <f>LOG10(1.00425)</f>
        <v>1.841840403709059E-3</v>
      </c>
      <c r="D3259">
        <f>LOG10(6.730053)</f>
        <v>0.82801848436021863</v>
      </c>
    </row>
    <row r="3260" spans="1:4">
      <c r="A3260">
        <v>1.005501</v>
      </c>
      <c r="B3260">
        <v>6.642925</v>
      </c>
      <c r="C3260">
        <f>LOG10(1.005501)</f>
        <v>2.3825068514737578E-3</v>
      </c>
      <c r="D3260">
        <f>LOG10(6.642925)</f>
        <v>0.82235934919452036</v>
      </c>
    </row>
    <row r="3261" spans="1:4">
      <c r="A3261">
        <v>1.004945</v>
      </c>
      <c r="B3261">
        <v>6.9691660000000004</v>
      </c>
      <c r="C3261">
        <f>LOG10(1.004945)</f>
        <v>2.142293746427151E-3</v>
      </c>
      <c r="D3261">
        <f>LOG10(6.969166)</f>
        <v>0.84318080919279093</v>
      </c>
    </row>
    <row r="3262" spans="1:4">
      <c r="A3262">
        <v>1.005574</v>
      </c>
      <c r="B3262">
        <v>6.1785050000000004</v>
      </c>
      <c r="C3262">
        <f>LOG10(1.005574)</f>
        <v>2.4140357573503237E-3</v>
      </c>
      <c r="D3262">
        <f>LOG10(6.178505)</f>
        <v>0.79088340246820155</v>
      </c>
    </row>
    <row r="3263" spans="1:4">
      <c r="A3263">
        <v>1.00325</v>
      </c>
      <c r="B3263">
        <v>6.0831650000000002</v>
      </c>
      <c r="C3263">
        <f>LOG10(1.00325)</f>
        <v>1.4091684058763338E-3</v>
      </c>
      <c r="D3263">
        <f>LOG10(6.083165)</f>
        <v>0.78412959644281321</v>
      </c>
    </row>
    <row r="3264" spans="1:4">
      <c r="A3264">
        <v>1.006122</v>
      </c>
      <c r="B3264">
        <v>6.1351909999999998</v>
      </c>
      <c r="C3264">
        <f>LOG10(1.006122)</f>
        <v>2.6506454458616983E-3</v>
      </c>
      <c r="D3264">
        <f>LOG10(6.135191)</f>
        <v>0.78782808767505752</v>
      </c>
    </row>
    <row r="3265" spans="1:4">
      <c r="A3265">
        <v>1.0051380000000001</v>
      </c>
      <c r="B3265">
        <v>6.0028220000000001</v>
      </c>
      <c r="C3265">
        <f>LOG10(1.005138)</f>
        <v>2.2256921287476346E-3</v>
      </c>
      <c r="D3265">
        <f>LOG10(6.002822)</f>
        <v>0.77835546553413293</v>
      </c>
    </row>
    <row r="3266" spans="1:4">
      <c r="A3266">
        <v>1.005536</v>
      </c>
      <c r="B3266">
        <v>6.5904410000000002</v>
      </c>
      <c r="C3266">
        <f>LOG10(1.005536)</f>
        <v>2.3976237358156686E-3</v>
      </c>
      <c r="D3266">
        <f>LOG10(6.590441)</f>
        <v>0.81891447642382131</v>
      </c>
    </row>
    <row r="3267" spans="1:4">
      <c r="A3267">
        <v>1.006329</v>
      </c>
      <c r="B3267">
        <v>6.2803750000000003</v>
      </c>
      <c r="C3267">
        <f>LOG10(1.006329)</f>
        <v>2.7399882006130436E-3</v>
      </c>
      <c r="D3267">
        <f>LOG10(6.280375)</f>
        <v>0.79798557615255195</v>
      </c>
    </row>
    <row r="3268" spans="1:4">
      <c r="A3268">
        <v>1.005047</v>
      </c>
      <c r="B3268">
        <v>6.2626090000000003</v>
      </c>
      <c r="C3268">
        <f>LOG10(1.005047)</f>
        <v>2.1863715708087179E-3</v>
      </c>
      <c r="D3268">
        <f>LOG10(6.262609)</f>
        <v>0.79675529778732901</v>
      </c>
    </row>
    <row r="3269" spans="1:4">
      <c r="A3269">
        <v>1.004553</v>
      </c>
      <c r="B3269">
        <v>5.9183810000000001</v>
      </c>
      <c r="C3269">
        <f>LOG10(1.004553)</f>
        <v>1.9728549721009093E-3</v>
      </c>
      <c r="D3269">
        <f>LOG10(5.918381)</f>
        <v>0.77220291974172961</v>
      </c>
    </row>
    <row r="3270" spans="1:4">
      <c r="A3270">
        <v>1.0080309999999999</v>
      </c>
      <c r="B3270">
        <v>5.8510390000000001</v>
      </c>
      <c r="C3270">
        <f>LOG10(1.008031)</f>
        <v>3.473888182840694E-3</v>
      </c>
      <c r="D3270">
        <f>LOG10(5.851039)</f>
        <v>0.7672329929027788</v>
      </c>
    </row>
    <row r="3271" spans="1:4">
      <c r="A3271">
        <v>1.0067280000000001</v>
      </c>
      <c r="B3271">
        <v>6.4825350000000004</v>
      </c>
      <c r="C3271">
        <f>LOG10(1.006728)</f>
        <v>2.9121477574945405E-3</v>
      </c>
      <c r="D3271">
        <f>LOG10(6.482535)</f>
        <v>0.81174487025678943</v>
      </c>
    </row>
    <row r="3272" spans="1:4">
      <c r="A3272">
        <v>1.005393</v>
      </c>
      <c r="B3272">
        <v>7.4705880000000002</v>
      </c>
      <c r="C3272">
        <f>LOG10(1.005393)</f>
        <v>2.3358571483162094E-3</v>
      </c>
      <c r="D3272">
        <f>LOG10(7.470588)</f>
        <v>0.87335478589911641</v>
      </c>
    </row>
    <row r="3273" spans="1:4">
      <c r="A3273">
        <v>1.0045519999999999</v>
      </c>
      <c r="B3273">
        <v>6.7255269999999996</v>
      </c>
      <c r="C3273">
        <f>LOG10(1.004552)</f>
        <v>1.9724226457845011E-3</v>
      </c>
      <c r="D3273">
        <f>LOG10(6.725527)</f>
        <v>0.82772632052941753</v>
      </c>
    </row>
    <row r="3274" spans="1:4">
      <c r="A3274">
        <v>1.0043150000000001</v>
      </c>
      <c r="B3274">
        <v>6.0785390000000001</v>
      </c>
      <c r="C3274">
        <f>LOG10(1.004315)</f>
        <v>1.8699491692541698E-3</v>
      </c>
      <c r="D3274">
        <f>LOG10(6.078539)</f>
        <v>0.78379920748248699</v>
      </c>
    </row>
    <row r="3275" spans="1:4">
      <c r="A3275">
        <v>1.0035419999999999</v>
      </c>
      <c r="B3275">
        <v>6.3567970000000003</v>
      </c>
      <c r="C3275">
        <f>LOG10(1.003542)</f>
        <v>1.5355531927508067E-3</v>
      </c>
      <c r="D3275">
        <f>LOG10(6.356797)</f>
        <v>0.80323834275222761</v>
      </c>
    </row>
    <row r="3276" spans="1:4">
      <c r="A3276">
        <v>1.006653</v>
      </c>
      <c r="B3276">
        <v>6.2629780000000004</v>
      </c>
      <c r="C3276">
        <f>LOG10(1.006653)</f>
        <v>2.879792146551723E-3</v>
      </c>
      <c r="D3276">
        <f>LOG10(6.262978)</f>
        <v>0.7967808861551825</v>
      </c>
    </row>
    <row r="3277" spans="1:4">
      <c r="A3277">
        <v>1.005652</v>
      </c>
      <c r="B3277">
        <v>5.9646100000000004</v>
      </c>
      <c r="C3277">
        <f>LOG10(1.005652)</f>
        <v>2.4477216480512662E-3</v>
      </c>
      <c r="D3277">
        <f>LOG10(5.96461)</f>
        <v>0.77558205230054922</v>
      </c>
    </row>
    <row r="3278" spans="1:4">
      <c r="A3278">
        <v>1.0053700000000001</v>
      </c>
      <c r="B3278">
        <v>6.4810340000000002</v>
      </c>
      <c r="C3278">
        <f>LOG10(1.00537)</f>
        <v>2.3259218420825455E-3</v>
      </c>
      <c r="D3278">
        <f>LOG10(6.481034)</f>
        <v>0.8116442998011919</v>
      </c>
    </row>
    <row r="3279" spans="1:4">
      <c r="A3279">
        <v>1.006316</v>
      </c>
      <c r="B3279">
        <v>6.3278080000000001</v>
      </c>
      <c r="C3279">
        <f>LOG10(1.006316)</f>
        <v>2.7343778438289725E-3</v>
      </c>
      <c r="D3279">
        <f>LOG10(6.327808)</f>
        <v>0.80125329321314254</v>
      </c>
    </row>
    <row r="3280" spans="1:4">
      <c r="A3280">
        <v>1.013998</v>
      </c>
      <c r="B3280">
        <v>5.8244230000000003</v>
      </c>
      <c r="C3280">
        <f>LOG10(1.013998)</f>
        <v>6.0370983998611315E-3</v>
      </c>
      <c r="D3280">
        <f>LOG10(5.824423)</f>
        <v>0.76525290818252523</v>
      </c>
    </row>
    <row r="3281" spans="1:4">
      <c r="A3281">
        <v>1.0114939999999999</v>
      </c>
      <c r="B3281">
        <v>6.0433859999999999</v>
      </c>
      <c r="C3281">
        <f>LOG10(1.011494)</f>
        <v>4.9633109579160081E-3</v>
      </c>
      <c r="D3281">
        <f>LOG10(6.043386)</f>
        <v>0.78128033416509846</v>
      </c>
    </row>
    <row r="3282" spans="1:4">
      <c r="A3282">
        <v>1.006081</v>
      </c>
      <c r="B3282">
        <v>5.6077880000000002</v>
      </c>
      <c r="C3282">
        <f>LOG10(1.006081)</f>
        <v>2.6329473569904672E-3</v>
      </c>
      <c r="D3282">
        <f>LOG10(5.607788)</f>
        <v>0.74879158695387993</v>
      </c>
    </row>
    <row r="3283" spans="1:4">
      <c r="A3283">
        <v>1.0193099999999999</v>
      </c>
      <c r="B3283">
        <v>6.0197219999999998</v>
      </c>
      <c r="C3283">
        <f>LOG10(1.01931)</f>
        <v>8.306284904158346E-3</v>
      </c>
      <c r="D3283">
        <f>LOG10(6.019722)</f>
        <v>0.77957643533527243</v>
      </c>
    </row>
    <row r="3284" spans="1:4">
      <c r="A3284">
        <v>1.005023</v>
      </c>
      <c r="B3284">
        <v>6.25</v>
      </c>
      <c r="C3284">
        <f>LOG10(1.005023)</f>
        <v>2.17600072047397E-3</v>
      </c>
      <c r="D3284">
        <f>LOG10(6.25)</f>
        <v>0.79588001734407521</v>
      </c>
    </row>
    <row r="3285" spans="1:4">
      <c r="A3285">
        <v>1.0126520000000001</v>
      </c>
      <c r="B3285">
        <v>6.5280950000000004</v>
      </c>
      <c r="C3285">
        <f>LOG10(1.012652)</f>
        <v>5.4602247822254134E-3</v>
      </c>
      <c r="D3285">
        <f>LOG10(6.528095)</f>
        <v>0.81478646585542125</v>
      </c>
    </row>
    <row r="3286" spans="1:4">
      <c r="A3286">
        <v>1.0065630000000001</v>
      </c>
      <c r="B3286">
        <v>5.8313230000000003</v>
      </c>
      <c r="C3286">
        <f>LOG10(1.006563)</f>
        <v>2.8409622312348393E-3</v>
      </c>
      <c r="D3286">
        <f>LOG10(5.831323)</f>
        <v>0.76576709788349895</v>
      </c>
    </row>
    <row r="3287" spans="1:4">
      <c r="A3287">
        <v>1.023323</v>
      </c>
      <c r="B3287">
        <v>6.2231370000000004</v>
      </c>
      <c r="C3287">
        <f>LOG10(1.023323)</f>
        <v>1.0012735351363483E-2</v>
      </c>
      <c r="D3287">
        <f>LOG10(6.223137)</f>
        <v>0.79400936191795912</v>
      </c>
    </row>
    <row r="3288" spans="1:4">
      <c r="A3288">
        <v>1.018615</v>
      </c>
      <c r="B3288">
        <v>6.0782889999999998</v>
      </c>
      <c r="C3288">
        <f>LOG10(1.018615)</f>
        <v>8.0100672547117752E-3</v>
      </c>
      <c r="D3288">
        <f>LOG10(6.078289)</f>
        <v>0.78378134531967758</v>
      </c>
    </row>
    <row r="3289" spans="1:4">
      <c r="A3289">
        <v>1.006265</v>
      </c>
      <c r="B3289">
        <v>6.2249439999999998</v>
      </c>
      <c r="C3289">
        <f>LOG10(1.006265)</f>
        <v>2.7123672826820503E-3</v>
      </c>
      <c r="D3289">
        <f>LOG10(6.224944)</f>
        <v>0.79413544884401799</v>
      </c>
    </row>
    <row r="3290" spans="1:4">
      <c r="A3290">
        <v>1.009293</v>
      </c>
      <c r="B3290">
        <v>6.330006</v>
      </c>
      <c r="C3290">
        <f>LOG10(1.009293)</f>
        <v>4.0172611934818107E-3</v>
      </c>
      <c r="D3290">
        <f>LOG10(6.330006)</f>
        <v>0.80140412167069741</v>
      </c>
    </row>
    <row r="3291" spans="1:4">
      <c r="A3291">
        <v>1.0118339999999999</v>
      </c>
      <c r="B3291">
        <v>6.6257000000000001</v>
      </c>
      <c r="C3291">
        <f>LOG10(1.011834)</f>
        <v>5.109268632832736E-3</v>
      </c>
      <c r="D3291">
        <f>LOG10(6.6257)</f>
        <v>0.82123176790360197</v>
      </c>
    </row>
    <row r="3292" spans="1:4">
      <c r="A3292">
        <v>1.0070410000000001</v>
      </c>
      <c r="B3292">
        <v>6.4031120000000001</v>
      </c>
      <c r="C3292">
        <f>LOG10(1.007041)</f>
        <v>3.0471524913347919E-3</v>
      </c>
      <c r="D3292">
        <f>LOG10(6.403112)</f>
        <v>0.80639109835025991</v>
      </c>
    </row>
    <row r="3293" spans="1:4">
      <c r="A3293">
        <v>1.006707</v>
      </c>
      <c r="B3293">
        <v>6.5207959999999998</v>
      </c>
      <c r="C3293">
        <f>LOG10(1.006707)</f>
        <v>2.9030884294106237E-3</v>
      </c>
      <c r="D3293">
        <f>LOG10(6.520796)</f>
        <v>0.81430061372377038</v>
      </c>
    </row>
    <row r="3294" spans="1:4">
      <c r="A3294">
        <v>1.0069410000000001</v>
      </c>
      <c r="B3294">
        <v>6.9398109999999997</v>
      </c>
      <c r="C3294">
        <f>LOG10(1.006941)</f>
        <v>3.0040245505428575E-3</v>
      </c>
      <c r="D3294">
        <f>LOG10(6.939811)</f>
        <v>0.8413476429656932</v>
      </c>
    </row>
    <row r="3295" spans="1:4">
      <c r="A3295">
        <v>1.012497</v>
      </c>
      <c r="B3295">
        <v>6.7563769999999996</v>
      </c>
      <c r="C3295">
        <f>LOG10(1.012497)</f>
        <v>5.3937450863348847E-3</v>
      </c>
      <c r="D3295">
        <f>LOG10(6.756377)</f>
        <v>0.82971387483201187</v>
      </c>
    </row>
    <row r="3296" spans="1:4">
      <c r="A3296">
        <v>1.0049809999999999</v>
      </c>
      <c r="B3296">
        <v>7.0181789999999999</v>
      </c>
      <c r="C3296">
        <f>LOG10(1.004981)</f>
        <v>2.1578511364506209E-3</v>
      </c>
      <c r="D3296">
        <f>LOG10(7.018179)</f>
        <v>0.84622444078461423</v>
      </c>
    </row>
    <row r="3297" spans="1:4">
      <c r="A3297">
        <v>1.008896</v>
      </c>
      <c r="B3297">
        <v>6.9210820000000002</v>
      </c>
      <c r="C3297">
        <f>LOG10(1.008896)</f>
        <v>3.8464001774526279E-3</v>
      </c>
      <c r="D3297">
        <f>LOG10(6.921082)</f>
        <v>0.84017399473079368</v>
      </c>
    </row>
    <row r="3298" spans="1:4">
      <c r="A3298">
        <v>1.005825</v>
      </c>
      <c r="B3298">
        <v>6.2236940000000001</v>
      </c>
      <c r="C3298">
        <f>LOG10(1.005825)</f>
        <v>2.5224259032373894E-3</v>
      </c>
      <c r="D3298">
        <f>LOG10(6.223694)</f>
        <v>0.79404823157507609</v>
      </c>
    </row>
    <row r="3299" spans="1:4">
      <c r="A3299">
        <v>1.010146</v>
      </c>
      <c r="B3299">
        <v>5.5499890000000001</v>
      </c>
      <c r="C3299">
        <f>LOG10(1.010146)</f>
        <v>4.384148447907626E-3</v>
      </c>
      <c r="D3299">
        <f>LOG10(5.549989)</f>
        <v>0.74429212235798525</v>
      </c>
    </row>
    <row r="3300" spans="1:4">
      <c r="A3300">
        <v>1.005312</v>
      </c>
      <c r="B3300">
        <v>6.5250380000000003</v>
      </c>
      <c r="C3300">
        <f>LOG10(1.005312)</f>
        <v>2.3008665822677916E-3</v>
      </c>
      <c r="D3300">
        <f>LOG10(6.525038)</f>
        <v>0.81458304522752278</v>
      </c>
    </row>
    <row r="3301" spans="1:4">
      <c r="A3301">
        <v>1.005455</v>
      </c>
      <c r="B3301">
        <v>6.4885020000000004</v>
      </c>
      <c r="C3301">
        <f>LOG10(1.005455)</f>
        <v>2.3626381460709247E-3</v>
      </c>
      <c r="D3301">
        <f>LOG10(6.488502)</f>
        <v>0.81214444283627074</v>
      </c>
    </row>
    <row r="3302" spans="1:4">
      <c r="A3302">
        <v>1.0058180000000001</v>
      </c>
      <c r="B3302">
        <v>6.9239470000000001</v>
      </c>
      <c r="C3302">
        <f>LOG10(1.005818)</f>
        <v>2.5194034371504369E-3</v>
      </c>
      <c r="D3302">
        <f>LOG10(6.923947)</f>
        <v>0.84035373486834242</v>
      </c>
    </row>
    <row r="3303" spans="1:4">
      <c r="A3303">
        <v>1.0110619999999999</v>
      </c>
      <c r="B3303">
        <v>6.1258470000000003</v>
      </c>
      <c r="C3303">
        <f>LOG10(1.011062)</f>
        <v>4.7777880660551404E-3</v>
      </c>
      <c r="D3303">
        <f>LOG10(6.125847)</f>
        <v>0.78716614560709985</v>
      </c>
    </row>
    <row r="3304" spans="1:4">
      <c r="A3304">
        <v>1.0097739999999999</v>
      </c>
      <c r="B3304">
        <v>5.8610319999999998</v>
      </c>
      <c r="C3304">
        <f>LOG10(1.009774)</f>
        <v>4.2241841432871033E-3</v>
      </c>
      <c r="D3304">
        <f>LOG10(5.861032)</f>
        <v>0.76797409254447202</v>
      </c>
    </row>
    <row r="3305" spans="1:4">
      <c r="A3305">
        <v>1.005244</v>
      </c>
      <c r="B3305">
        <v>6.9659279999999999</v>
      </c>
      <c r="C3305">
        <f>LOG10(1.005244)</f>
        <v>2.2714896091512379E-3</v>
      </c>
      <c r="D3305">
        <f>LOG10(6.965928)</f>
        <v>0.84297898126716486</v>
      </c>
    </row>
    <row r="3306" spans="1:4">
      <c r="A3306">
        <v>1.0068900000000001</v>
      </c>
      <c r="B3306">
        <v>7.2532180000000004</v>
      </c>
      <c r="C3306">
        <f>LOG10(1.00689)</f>
        <v>2.9820276515162649E-3</v>
      </c>
      <c r="D3306">
        <f>LOG10(7.253218)</f>
        <v>0.86053073064998076</v>
      </c>
    </row>
    <row r="3307" spans="1:4">
      <c r="A3307">
        <v>1.006202</v>
      </c>
      <c r="B3307">
        <v>6.5415900000000002</v>
      </c>
      <c r="C3307">
        <f>LOG10(1.006202)</f>
        <v>2.6851762257665236E-3</v>
      </c>
      <c r="D3307">
        <f>LOG10(6.54159)</f>
        <v>0.81568332084712214</v>
      </c>
    </row>
    <row r="3308" spans="1:4">
      <c r="A3308">
        <v>1.005547</v>
      </c>
      <c r="B3308">
        <v>6.4832650000000003</v>
      </c>
      <c r="C3308">
        <f>LOG10(1.005547)</f>
        <v>2.4023746479371237E-3</v>
      </c>
      <c r="D3308">
        <f>LOG10(6.483265)</f>
        <v>0.8117937735210885</v>
      </c>
    </row>
    <row r="3309" spans="1:4">
      <c r="A3309">
        <v>1.012618</v>
      </c>
      <c r="B3309">
        <v>6.6249010000000004</v>
      </c>
      <c r="C3309">
        <f>LOG10(1.012618)</f>
        <v>5.4456430105247157E-3</v>
      </c>
      <c r="D3309">
        <f>LOG10(6.624901)</f>
        <v>0.82117939272583285</v>
      </c>
    </row>
    <row r="3310" spans="1:4">
      <c r="A3310">
        <v>1.009639</v>
      </c>
      <c r="B3310">
        <v>6.5963849999999997</v>
      </c>
      <c r="C3310">
        <f>LOG10(1.009639)</f>
        <v>4.1661180070937864E-3</v>
      </c>
      <c r="D3310">
        <f>LOG10(6.596385)</f>
        <v>0.81930599544064364</v>
      </c>
    </row>
    <row r="3311" spans="1:4">
      <c r="A3311">
        <v>1.0064519999999999</v>
      </c>
      <c r="B3311">
        <v>6.6017340000000004</v>
      </c>
      <c r="C3311">
        <f>LOG10(1.006452)</f>
        <v>2.7930672204771415E-3</v>
      </c>
      <c r="D3311">
        <f>LOG10(6.601734)</f>
        <v>0.81965802156056156</v>
      </c>
    </row>
    <row r="3312" spans="1:4">
      <c r="A3312">
        <v>1.0060180000000001</v>
      </c>
      <c r="B3312">
        <v>7.2946520000000001</v>
      </c>
      <c r="C3312">
        <f>LOG10(1.006018)</f>
        <v>2.605751327005051E-3</v>
      </c>
      <c r="D3312">
        <f>LOG10(7.294652)</f>
        <v>0.86300457819181864</v>
      </c>
    </row>
    <row r="3313" spans="1:4">
      <c r="A3313">
        <v>1.006162</v>
      </c>
      <c r="B3313">
        <v>6.3499489999999996</v>
      </c>
      <c r="C3313">
        <f>LOG10(1.006162)</f>
        <v>2.6679111790071548E-3</v>
      </c>
      <c r="D3313">
        <f>LOG10(6.349949)</f>
        <v>0.8027702372435469</v>
      </c>
    </row>
    <row r="3314" spans="1:4">
      <c r="A3314">
        <v>1.0114749999999999</v>
      </c>
      <c r="B3314">
        <v>6.8533020000000002</v>
      </c>
      <c r="C3314">
        <f>LOG10(1.011475)</f>
        <v>4.9551530522274874E-3</v>
      </c>
      <c r="D3314">
        <f>LOG10(6.853302)</f>
        <v>0.83589987001142485</v>
      </c>
    </row>
    <row r="3315" spans="1:4">
      <c r="A3315">
        <v>1.01258</v>
      </c>
      <c r="B3315">
        <v>6.6917869999999997</v>
      </c>
      <c r="C3315">
        <f>LOG10(1.01258)</f>
        <v>5.4293451568686747E-3</v>
      </c>
      <c r="D3315">
        <f>LOG10(6.691787)</f>
        <v>0.82554210888975232</v>
      </c>
    </row>
    <row r="3316" spans="1:4">
      <c r="A3316">
        <v>1.0079579999999999</v>
      </c>
      <c r="B3316">
        <v>6.7891959999999996</v>
      </c>
      <c r="C3316">
        <f>LOG10(1.007958)</f>
        <v>3.4424361290916017E-3</v>
      </c>
      <c r="D3316">
        <f>LOG10(6.789196)</f>
        <v>0.83181834667553034</v>
      </c>
    </row>
    <row r="3317" spans="1:4">
      <c r="A3317">
        <v>1.0079959999999999</v>
      </c>
      <c r="B3317">
        <v>6.879702</v>
      </c>
      <c r="C3317">
        <f>LOG10(1.007996)</f>
        <v>3.4588087152858009E-3</v>
      </c>
      <c r="D3317">
        <f>LOG10(6.879702)</f>
        <v>0.83756962681712055</v>
      </c>
    </row>
    <row r="3318" spans="1:4">
      <c r="A3318">
        <v>1.021701</v>
      </c>
      <c r="B3318">
        <v>7.094951</v>
      </c>
      <c r="C3318">
        <f>LOG10(1.021701)</f>
        <v>9.3238184512584865E-3</v>
      </c>
      <c r="D3318">
        <f>LOG10(7.094951)</f>
        <v>0.85094940042730571</v>
      </c>
    </row>
    <row r="3319" spans="1:4">
      <c r="A3319">
        <v>1.006618</v>
      </c>
      <c r="B3319">
        <v>6.3551419999999998</v>
      </c>
      <c r="C3319">
        <f>LOG10(1.006618)</f>
        <v>2.8646920364640612E-3</v>
      </c>
      <c r="D3319">
        <f>LOG10(6.355142)</f>
        <v>0.80312525892267006</v>
      </c>
    </row>
    <row r="3320" spans="1:4">
      <c r="A3320">
        <v>1.007371</v>
      </c>
      <c r="B3320">
        <v>6.6832260000000003</v>
      </c>
      <c r="C3320">
        <f>LOG10(1.007371)</f>
        <v>3.1894443167509506E-3</v>
      </c>
      <c r="D3320">
        <f>LOG10(6.683226)</f>
        <v>0.82498614747613408</v>
      </c>
    </row>
    <row r="3321" spans="1:4">
      <c r="A3321">
        <v>1.00911</v>
      </c>
      <c r="B3321">
        <v>6.5421420000000001</v>
      </c>
      <c r="C3321">
        <f>LOG10(1.00911)</f>
        <v>3.9385099328008806E-3</v>
      </c>
      <c r="D3321">
        <f>LOG10(6.542142)</f>
        <v>0.81571996643939704</v>
      </c>
    </row>
    <row r="3322" spans="1:4">
      <c r="A3322">
        <v>1.0088509999999999</v>
      </c>
      <c r="B3322">
        <v>6.2821470000000001</v>
      </c>
      <c r="C3322">
        <f>LOG10(1.008851)</f>
        <v>3.8270288175260188E-3</v>
      </c>
      <c r="D3322">
        <f>LOG10(6.282147)</f>
        <v>0.79810809451742104</v>
      </c>
    </row>
    <row r="3323" spans="1:4">
      <c r="A3323">
        <v>1.005145</v>
      </c>
      <c r="B3323">
        <v>6.5975200000000003</v>
      </c>
      <c r="C3323">
        <f>LOG10(1.005145)</f>
        <v>2.2287166395983733E-3</v>
      </c>
      <c r="D3323">
        <f>LOG10(6.59752)</f>
        <v>0.81938071543266677</v>
      </c>
    </row>
    <row r="3324" spans="1:4">
      <c r="A3324">
        <v>1.0057720000000001</v>
      </c>
      <c r="B3324">
        <v>7.6105700000000001</v>
      </c>
      <c r="C3324">
        <f>LOG10(1.005772)</f>
        <v>2.4995409938384024E-3</v>
      </c>
      <c r="D3324">
        <f>LOG10(7.61057)</f>
        <v>0.88141718483684117</v>
      </c>
    </row>
    <row r="3325" spans="1:4">
      <c r="A3325">
        <v>1.0056560000000001</v>
      </c>
      <c r="B3325">
        <v>6.9415500000000003</v>
      </c>
      <c r="C3325">
        <f>LOG10(1.005656)</f>
        <v>2.4494490591963174E-3</v>
      </c>
      <c r="D3325">
        <f>LOG10(6.94155)</f>
        <v>0.84145645623090271</v>
      </c>
    </row>
    <row r="3326" spans="1:4">
      <c r="A3326">
        <v>1.0109159999999999</v>
      </c>
      <c r="B3326">
        <v>7.1101729999999996</v>
      </c>
      <c r="C3326">
        <f>LOG10(1.010916)</f>
        <v>4.7150702773669723E-3</v>
      </c>
      <c r="D3326">
        <f>LOG10(7.110173)</f>
        <v>0.85188016782277887</v>
      </c>
    </row>
    <row r="3327" spans="1:4">
      <c r="A3327">
        <v>1.010831</v>
      </c>
      <c r="B3327">
        <v>6.6261390000000002</v>
      </c>
      <c r="C3327">
        <f>LOG10(1.010831)</f>
        <v>4.67855232434567E-3</v>
      </c>
      <c r="D3327">
        <f>LOG10(6.626139)</f>
        <v>0.82126054206507881</v>
      </c>
    </row>
    <row r="3328" spans="1:4">
      <c r="A3328">
        <v>1.0050049999999999</v>
      </c>
      <c r="B3328">
        <v>6.3811850000000003</v>
      </c>
      <c r="C3328">
        <f>LOG10(1.005005)</f>
        <v>2.1682224201970586E-3</v>
      </c>
      <c r="D3328">
        <f>LOG10(6.381185)</f>
        <v>0.8049013356448782</v>
      </c>
    </row>
    <row r="3329" spans="1:4">
      <c r="A3329">
        <v>1.005932</v>
      </c>
      <c r="B3329">
        <v>7.1105390000000002</v>
      </c>
      <c r="C3329">
        <f>LOG10(1.005932)</f>
        <v>2.568623838283721E-3</v>
      </c>
      <c r="D3329">
        <f>LOG10(7.110539)</f>
        <v>0.85190252279071743</v>
      </c>
    </row>
    <row r="3330" spans="1:4">
      <c r="A3330">
        <v>1.0070399999999999</v>
      </c>
      <c r="B3330">
        <v>8.0381250000000009</v>
      </c>
      <c r="C3330">
        <f>LOG10(1.00704)</f>
        <v>3.0467212331262454E-3</v>
      </c>
      <c r="D3330">
        <f>LOG10(8.038125)</f>
        <v>0.90515475557437042</v>
      </c>
    </row>
    <row r="3331" spans="1:4">
      <c r="A3331">
        <v>1.0071410000000001</v>
      </c>
      <c r="B3331">
        <v>7.4333650000000002</v>
      </c>
      <c r="C3331">
        <f>LOG10(1.007141)</f>
        <v>3.0902761496993327E-3</v>
      </c>
      <c r="D3331">
        <f>LOG10(7.433365)</f>
        <v>0.87118545845800044</v>
      </c>
    </row>
    <row r="3332" spans="1:4">
      <c r="A3332">
        <v>1.006691</v>
      </c>
      <c r="B3332">
        <v>7.8932399999999996</v>
      </c>
      <c r="C3332">
        <f>LOG10(1.006691)</f>
        <v>2.8961859573602838E-3</v>
      </c>
      <c r="D3332">
        <f>LOG10(7.89324)</f>
        <v>0.89725530806205278</v>
      </c>
    </row>
    <row r="3333" spans="1:4">
      <c r="A3333">
        <v>1.0111920000000001</v>
      </c>
      <c r="B3333">
        <v>7.5153800000000004</v>
      </c>
      <c r="C3333">
        <f>LOG10(1.011192)</f>
        <v>4.8336250506527973E-3</v>
      </c>
      <c r="D3333">
        <f>LOG10(7.51538)</f>
        <v>0.87595094470081125</v>
      </c>
    </row>
    <row r="3334" spans="1:4">
      <c r="A3334">
        <v>1.0080709999999999</v>
      </c>
      <c r="B3334">
        <v>6.6885219999999999</v>
      </c>
      <c r="C3334">
        <f>LOG10(1.008071)</f>
        <v>3.4911212189454414E-3</v>
      </c>
      <c r="D3334">
        <f>LOG10(6.688522)</f>
        <v>0.82533015989641334</v>
      </c>
    </row>
    <row r="3335" spans="1:4">
      <c r="A3335">
        <v>1.007762</v>
      </c>
      <c r="B3335">
        <v>7.8461049999999997</v>
      </c>
      <c r="C3335">
        <f>LOG10(1.007762)</f>
        <v>3.3579782493054736E-3</v>
      </c>
      <c r="D3335">
        <f>LOG10(7.846105)</f>
        <v>0.89465411575062548</v>
      </c>
    </row>
    <row r="3336" spans="1:4">
      <c r="A3336">
        <v>1.0060260000000001</v>
      </c>
      <c r="B3336">
        <v>7.2871949999999996</v>
      </c>
      <c r="C3336">
        <f>LOG10(1.006026)</f>
        <v>2.6092048855308565E-3</v>
      </c>
      <c r="D3336">
        <f>LOG10(7.287195)</f>
        <v>0.86256039108248117</v>
      </c>
    </row>
    <row r="3337" spans="1:4">
      <c r="A3337">
        <v>1.0098039999999999</v>
      </c>
      <c r="B3337">
        <v>7.2882290000000003</v>
      </c>
      <c r="C3337">
        <f>LOG10(1.009804)</f>
        <v>4.2370866748635463E-3</v>
      </c>
      <c r="D3337">
        <f>LOG10(7.288229)</f>
        <v>0.8626220099410532</v>
      </c>
    </row>
    <row r="3338" spans="1:4">
      <c r="A3338">
        <v>1.0067390000000001</v>
      </c>
      <c r="B3338">
        <v>7.7643129999999996</v>
      </c>
      <c r="C3338">
        <f>LOG10(1.006739)</f>
        <v>2.9168930444060976E-3</v>
      </c>
      <c r="D3338">
        <f>LOG10(7.764313)</f>
        <v>0.89010303462885298</v>
      </c>
    </row>
    <row r="3339" spans="1:4">
      <c r="A3339">
        <v>1.0064420000000001</v>
      </c>
      <c r="B3339">
        <v>7.985932</v>
      </c>
      <c r="C3339">
        <f>LOG10(1.006442)</f>
        <v>2.7887520952703496E-3</v>
      </c>
      <c r="D3339">
        <f>LOG10(7.985932)</f>
        <v>0.90232560786802307</v>
      </c>
    </row>
    <row r="3340" spans="1:4">
      <c r="A3340">
        <v>1.0065770000000001</v>
      </c>
      <c r="B3340">
        <v>7.3630509999999996</v>
      </c>
      <c r="C3340">
        <f>LOG10(1.006577)</f>
        <v>2.8470026683099811E-3</v>
      </c>
      <c r="D3340">
        <f>LOG10(7.363051)</f>
        <v>0.86705780861765902</v>
      </c>
    </row>
    <row r="3341" spans="1:4">
      <c r="A3341">
        <v>1.009711</v>
      </c>
      <c r="B3341">
        <v>7.4590620000000003</v>
      </c>
      <c r="C3341">
        <f>LOG10(1.009711)</f>
        <v>4.1970875791940325E-3</v>
      </c>
      <c r="D3341">
        <f>LOG10(7.459062)</f>
        <v>0.87268421703877397</v>
      </c>
    </row>
    <row r="3342" spans="1:4">
      <c r="A3342">
        <v>1.177503</v>
      </c>
      <c r="B3342">
        <v>7.0426739999999999</v>
      </c>
      <c r="C3342">
        <f>LOG10(1.177503)</f>
        <v>7.0962022282280685E-2</v>
      </c>
      <c r="D3342">
        <f>LOG10(7.042674)</f>
        <v>0.84773758569776003</v>
      </c>
    </row>
    <row r="3343" spans="1:4">
      <c r="A3343">
        <v>1.0055460000000001</v>
      </c>
      <c r="B3343">
        <v>8.0113500000000002</v>
      </c>
      <c r="C3343">
        <f>LOG10(1.005546)</f>
        <v>2.4019427489828066E-3</v>
      </c>
      <c r="D3343">
        <f>LOG10(8.01135)</f>
        <v>0.90370570561595087</v>
      </c>
    </row>
    <row r="3344" spans="1:4">
      <c r="A3344">
        <v>1.0083569999999999</v>
      </c>
      <c r="B3344">
        <v>7.9264570000000001</v>
      </c>
      <c r="C3344">
        <f>LOG10(1.008357)</f>
        <v>3.6143175072902169E-3</v>
      </c>
      <c r="D3344">
        <f>LOG10(7.926457)</f>
        <v>0.89907910797503809</v>
      </c>
    </row>
    <row r="3345" spans="1:4">
      <c r="A3345">
        <v>1.0092699999999999</v>
      </c>
      <c r="B3345">
        <v>7.8241870000000002</v>
      </c>
      <c r="C3345">
        <f>LOG10(1.00927)</f>
        <v>4.0073642786129134E-3</v>
      </c>
      <c r="D3345">
        <f>LOG10(7.824187)</f>
        <v>0.89343922164887046</v>
      </c>
    </row>
    <row r="3346" spans="1:4">
      <c r="A3346">
        <v>1.004753</v>
      </c>
      <c r="B3346">
        <v>7.6479249999999999</v>
      </c>
      <c r="C3346">
        <f>LOG10(1.004753)</f>
        <v>2.0593115861432653E-3</v>
      </c>
      <c r="D3346">
        <f>LOG10(7.647925)</f>
        <v>0.88354362034468426</v>
      </c>
    </row>
    <row r="3347" spans="1:4">
      <c r="A3347">
        <v>1.006524</v>
      </c>
      <c r="B3347">
        <v>7.3386480000000001</v>
      </c>
      <c r="C3347">
        <f>LOG10(1.006524)</f>
        <v>2.8241348563658956E-3</v>
      </c>
      <c r="D3347">
        <f>LOG10(7.338648)</f>
        <v>0.86561605716088574</v>
      </c>
    </row>
    <row r="3348" spans="1:4">
      <c r="A3348">
        <v>1.0073350000000001</v>
      </c>
      <c r="B3348">
        <v>7.6886840000000003</v>
      </c>
      <c r="C3348">
        <f>LOG10(1.007335)</f>
        <v>3.1739238374848457E-3</v>
      </c>
      <c r="D3348">
        <f>LOG10(7.688684)</f>
        <v>0.88585201204496244</v>
      </c>
    </row>
    <row r="3349" spans="1:4">
      <c r="A3349">
        <v>1.008067</v>
      </c>
      <c r="B3349">
        <v>7.081683</v>
      </c>
      <c r="C3349">
        <f>LOG10(1.008067)</f>
        <v>3.4893979461064106E-3</v>
      </c>
      <c r="D3349">
        <f>LOG10(7.081683)</f>
        <v>0.85013648237238393</v>
      </c>
    </row>
    <row r="3350" spans="1:4">
      <c r="A3350">
        <v>1.009665</v>
      </c>
      <c r="B3350">
        <v>7.3320239999999997</v>
      </c>
      <c r="C3350">
        <f>LOG10(1.009665)</f>
        <v>4.1773017184419973E-3</v>
      </c>
      <c r="D3350">
        <f>LOG10(7.332024)</f>
        <v>0.86522387787371791</v>
      </c>
    </row>
    <row r="3351" spans="1:4">
      <c r="A3351">
        <v>1.0074529999999999</v>
      </c>
      <c r="B3351">
        <v>7.9948629999999996</v>
      </c>
      <c r="C3351">
        <f>LOG10(1.007453)</f>
        <v>3.2247944491056299E-3</v>
      </c>
      <c r="D3351">
        <f>LOG10(7.994863)</f>
        <v>0.90281102607427355</v>
      </c>
    </row>
    <row r="3352" spans="1:4">
      <c r="A3352">
        <v>1.0099499999999999</v>
      </c>
      <c r="B3352">
        <v>7.271204</v>
      </c>
      <c r="C3352">
        <f>LOG10(1.00995)</f>
        <v>4.2998735236266187E-3</v>
      </c>
      <c r="D3352">
        <f>LOG10(7.271204)</f>
        <v>0.8616063293270555</v>
      </c>
    </row>
    <row r="3353" spans="1:4">
      <c r="A3353">
        <v>1.0059959999999999</v>
      </c>
      <c r="B3353">
        <v>7.3464910000000003</v>
      </c>
      <c r="C3353">
        <f>LOG10(1.005996)</f>
        <v>2.5962538994500398E-3</v>
      </c>
      <c r="D3353">
        <f>LOG10(7.346491)</f>
        <v>0.86607995088983514</v>
      </c>
    </row>
    <row r="3354" spans="1:4">
      <c r="A3354">
        <v>1.0105690000000001</v>
      </c>
      <c r="B3354">
        <v>9.5287520000000008</v>
      </c>
      <c r="C3354">
        <f>LOG10(1.010569)</f>
        <v>4.5659717812608523E-3</v>
      </c>
      <c r="D3354">
        <f>LOG10(9.528752)</f>
        <v>0.97903602393263345</v>
      </c>
    </row>
    <row r="3355" spans="1:4">
      <c r="A3355">
        <v>1.007131</v>
      </c>
      <c r="B3355">
        <v>7.325367</v>
      </c>
      <c r="C3355">
        <f>LOG10(1.007131)</f>
        <v>3.0859639765478454E-3</v>
      </c>
      <c r="D3355">
        <f>LOG10(7.325367)</f>
        <v>0.86482938767217854</v>
      </c>
    </row>
    <row r="3356" spans="1:4">
      <c r="A3356">
        <v>1.013752</v>
      </c>
      <c r="B3356">
        <v>7.8178999999999998</v>
      </c>
      <c r="C3356">
        <f>LOG10(1.013752)</f>
        <v>5.931724026223043E-3</v>
      </c>
      <c r="D3356">
        <f>LOG10(7.8179)</f>
        <v>0.89309011100209357</v>
      </c>
    </row>
    <row r="3357" spans="1:4">
      <c r="A3357">
        <v>1.009849</v>
      </c>
      <c r="B3357">
        <v>6.958996</v>
      </c>
      <c r="C3357">
        <f>LOG10(1.009849)</f>
        <v>4.2564397535249914E-3</v>
      </c>
      <c r="D3357">
        <f>LOG10(6.958996)</f>
        <v>0.84254658686454698</v>
      </c>
    </row>
    <row r="3358" spans="1:4">
      <c r="A3358">
        <v>1.1565160000000001</v>
      </c>
      <c r="B3358">
        <v>3.2376640000000001</v>
      </c>
      <c r="C3358">
        <f>LOG10(1.156516)</f>
        <v>6.3151645462577483E-2</v>
      </c>
      <c r="D3358">
        <f>LOG10(3.237664)</f>
        <v>0.51023177631436178</v>
      </c>
    </row>
    <row r="3359" spans="1:4">
      <c r="A3359">
        <v>1.1459649999999999</v>
      </c>
      <c r="B3359">
        <v>3.2432789999999998</v>
      </c>
      <c r="C3359">
        <f>LOG10(1.145965)</f>
        <v>5.9171353635744849E-2</v>
      </c>
      <c r="D3359">
        <f>LOG10(3.243279)</f>
        <v>0.51098431005089862</v>
      </c>
    </row>
    <row r="3360" spans="1:4">
      <c r="A3360">
        <v>1.109388</v>
      </c>
      <c r="B3360">
        <v>2.9730289999999999</v>
      </c>
      <c r="C3360">
        <f>LOG10(1.109388)</f>
        <v>4.5083463902679033E-2</v>
      </c>
      <c r="D3360">
        <f>LOG10(2.973029)</f>
        <v>0.47319914549102898</v>
      </c>
    </row>
    <row r="3361" spans="1:4">
      <c r="A3361">
        <v>1.138698</v>
      </c>
      <c r="B3361">
        <v>3.2985000000000002</v>
      </c>
      <c r="C3361">
        <f>LOG10(1.138698)</f>
        <v>5.6408557859256143E-2</v>
      </c>
      <c r="D3361">
        <f>LOG10(3.2985)</f>
        <v>0.5183164884164716</v>
      </c>
    </row>
    <row r="3362" spans="1:4">
      <c r="A3362">
        <v>1.1210720000000001</v>
      </c>
      <c r="B3362">
        <v>3.484521</v>
      </c>
      <c r="C3362">
        <f>LOG10(1.121072)</f>
        <v>4.9633505724817166E-2</v>
      </c>
      <c r="D3362">
        <f>LOG10(3.484521)</f>
        <v>0.54214308620607821</v>
      </c>
    </row>
    <row r="3363" spans="1:4">
      <c r="A3363">
        <v>1.1651260000000001</v>
      </c>
      <c r="B3363">
        <v>3.3330860000000002</v>
      </c>
      <c r="C3363">
        <f>LOG10(1.165126)</f>
        <v>6.6372893727502297E-2</v>
      </c>
      <c r="D3363">
        <f>LOG10(3.333086)</f>
        <v>0.5228465194341867</v>
      </c>
    </row>
    <row r="3364" spans="1:4">
      <c r="A3364">
        <v>1.147025</v>
      </c>
      <c r="B3364">
        <v>3.548492</v>
      </c>
      <c r="C3364">
        <f>LOG10(1.147025)</f>
        <v>5.9572883676094014E-2</v>
      </c>
      <c r="D3364">
        <f>LOG10(3.548492)</f>
        <v>0.55004383045830529</v>
      </c>
    </row>
    <row r="3365" spans="1:4">
      <c r="A3365">
        <v>1.101156</v>
      </c>
      <c r="B3365">
        <v>3.4197310000000001</v>
      </c>
      <c r="C3365">
        <f>LOG10(1.101156)</f>
        <v>4.1848849525709123E-2</v>
      </c>
      <c r="D3365">
        <f>LOG10(3.419731)</f>
        <v>0.53399194529288507</v>
      </c>
    </row>
    <row r="3366" spans="1:4">
      <c r="A3366">
        <v>1.15364</v>
      </c>
      <c r="B3366">
        <v>3.2763450000000001</v>
      </c>
      <c r="C3366">
        <f>LOG10(1.15364)</f>
        <v>6.2070305868859366E-2</v>
      </c>
      <c r="D3366">
        <f>LOG10(3.276345)</f>
        <v>0.51538962682077594</v>
      </c>
    </row>
    <row r="3367" spans="1:4">
      <c r="A3367">
        <v>1.165978</v>
      </c>
      <c r="B3367">
        <v>3.2394150000000002</v>
      </c>
      <c r="C3367">
        <f>LOG10(1.165978)</f>
        <v>6.6690356110182578E-2</v>
      </c>
      <c r="D3367">
        <f>LOG10(3.239415)</f>
        <v>0.5104665888452381</v>
      </c>
    </row>
    <row r="3368" spans="1:4">
      <c r="A3368">
        <v>1.126984</v>
      </c>
      <c r="B3368">
        <v>3.1266639999999999</v>
      </c>
      <c r="C3368">
        <f>LOG10(1.126984)</f>
        <v>5.1917750330901305E-2</v>
      </c>
      <c r="D3368">
        <f>LOG10(3.126664)</f>
        <v>0.49508121325883303</v>
      </c>
    </row>
    <row r="3369" spans="1:4">
      <c r="A3369">
        <v>1.1542030000000001</v>
      </c>
      <c r="B3369">
        <v>2.988677</v>
      </c>
      <c r="C3369">
        <f>LOG10(1.154203)</f>
        <v>6.2282198790658591E-2</v>
      </c>
      <c r="D3369">
        <f>LOG10(2.988677)</f>
        <v>0.47547898138335004</v>
      </c>
    </row>
    <row r="3370" spans="1:4">
      <c r="A3370">
        <v>1.119964</v>
      </c>
      <c r="B3370">
        <v>3.2891240000000002</v>
      </c>
      <c r="C3370">
        <f>LOG10(1.119964)</f>
        <v>4.9204062980338491E-2</v>
      </c>
      <c r="D3370">
        <f>LOG10(3.289124)</f>
        <v>0.51708024669658692</v>
      </c>
    </row>
    <row r="3371" spans="1:4">
      <c r="A3371">
        <v>1.0629200000000001</v>
      </c>
      <c r="B3371">
        <v>3.144272</v>
      </c>
      <c r="C3371">
        <f>LOG10(1.06292)</f>
        <v>2.6500578854439395E-2</v>
      </c>
      <c r="D3371">
        <f>LOG10(3.144272)</f>
        <v>0.49752010829278553</v>
      </c>
    </row>
    <row r="3372" spans="1:4">
      <c r="A3372">
        <v>1.0714090000000001</v>
      </c>
      <c r="B3372">
        <v>3.1644929999999998</v>
      </c>
      <c r="C3372">
        <f>LOG10(1.071409)</f>
        <v>2.9955290192450496E-2</v>
      </c>
      <c r="D3372">
        <f>LOG10(3.164493)</f>
        <v>0.5003041393328167</v>
      </c>
    </row>
    <row r="3373" spans="1:4">
      <c r="A3373">
        <v>1.0843160000000001</v>
      </c>
      <c r="B3373">
        <v>3.4333390000000001</v>
      </c>
      <c r="C3373">
        <f>LOG10(1.084316)</f>
        <v>3.5155866203273003E-2</v>
      </c>
      <c r="D3373">
        <f>LOG10(3.433339)</f>
        <v>0.53571668678163598</v>
      </c>
    </row>
    <row r="3374" spans="1:4">
      <c r="A3374">
        <v>1.0646659999999999</v>
      </c>
      <c r="B3374">
        <v>3.2239390000000001</v>
      </c>
      <c r="C3374">
        <f>LOG10(1.064666)</f>
        <v>2.7213385138770415E-2</v>
      </c>
      <c r="D3374">
        <f>LOG10(3.223939)</f>
        <v>0.50838681594508128</v>
      </c>
    </row>
    <row r="3375" spans="1:4">
      <c r="A3375">
        <v>1.044333</v>
      </c>
      <c r="B3375">
        <v>3.2357459999999998</v>
      </c>
      <c r="C3375">
        <f>LOG10(1.044333)</f>
        <v>1.8839001542651949E-2</v>
      </c>
      <c r="D3375">
        <f>LOG10(3.235746)</f>
        <v>0.5099744229748806</v>
      </c>
    </row>
    <row r="3376" spans="1:4">
      <c r="A3376">
        <v>1.078508</v>
      </c>
      <c r="B3376">
        <v>3.2080220000000002</v>
      </c>
      <c r="C3376">
        <f>LOG10(1.078508)</f>
        <v>3.2823370897042681E-2</v>
      </c>
      <c r="D3376">
        <f>LOG10(3.208022)</f>
        <v>0.50623733793065473</v>
      </c>
    </row>
    <row r="3377" spans="1:4">
      <c r="A3377">
        <v>1.0523530000000001</v>
      </c>
      <c r="B3377">
        <v>3.241803</v>
      </c>
      <c r="C3377">
        <f>LOG10(1.052353)</f>
        <v>2.2161443464921902E-2</v>
      </c>
      <c r="D3377">
        <f>LOG10(3.241803)</f>
        <v>0.51078661982389528</v>
      </c>
    </row>
    <row r="3378" spans="1:4">
      <c r="A3378">
        <v>1.061177</v>
      </c>
      <c r="B3378">
        <v>3.4675829999999999</v>
      </c>
      <c r="C3378">
        <f>LOG10(1.061177)</f>
        <v>2.5787828493356448E-2</v>
      </c>
      <c r="D3378">
        <f>LOG10(3.467583)</f>
        <v>0.54002686513410136</v>
      </c>
    </row>
    <row r="3379" spans="1:4">
      <c r="A3379">
        <v>1.0773900000000001</v>
      </c>
      <c r="B3379">
        <v>3.2612679999999998</v>
      </c>
      <c r="C3379">
        <f>LOG10(1.07739)</f>
        <v>3.2372940241889102E-2</v>
      </c>
      <c r="D3379">
        <f>LOG10(3.261268)</f>
        <v>0.51338648912754925</v>
      </c>
    </row>
    <row r="3380" spans="1:4">
      <c r="A3380">
        <v>1.0547800000000001</v>
      </c>
      <c r="B3380">
        <v>3.4143569999999999</v>
      </c>
      <c r="C3380">
        <f>LOG10(1.05478)</f>
        <v>2.3161886411512948E-2</v>
      </c>
      <c r="D3380">
        <f>LOG10(3.414357)</f>
        <v>0.53330892832652366</v>
      </c>
    </row>
    <row r="3381" spans="1:4">
      <c r="A3381">
        <v>1.0828439999999999</v>
      </c>
      <c r="B3381">
        <v>3.4655879999999999</v>
      </c>
      <c r="C3381">
        <f>LOG10(1.082844)</f>
        <v>3.4565894465447257E-2</v>
      </c>
      <c r="D3381">
        <f>LOG10(3.465588)</f>
        <v>0.53977693115286551</v>
      </c>
    </row>
    <row r="3382" spans="1:4">
      <c r="A3382">
        <v>1.1241380000000001</v>
      </c>
      <c r="B3382">
        <v>3.4496099999999998</v>
      </c>
      <c r="C3382">
        <f>LOG10(1.124138)</f>
        <v>5.0819628812815376E-2</v>
      </c>
      <c r="D3382">
        <f>LOG10(3.44961)</f>
        <v>0.53776999813935389</v>
      </c>
    </row>
    <row r="3383" spans="1:4">
      <c r="A3383">
        <v>1.125057</v>
      </c>
      <c r="B3383">
        <v>3.565245</v>
      </c>
      <c r="C3383">
        <f>LOG10(1.125057)</f>
        <v>5.1174526143708779E-2</v>
      </c>
      <c r="D3383">
        <f>LOG10(3.565245)</f>
        <v>0.55208937948719961</v>
      </c>
    </row>
    <row r="3384" spans="1:4">
      <c r="A3384">
        <v>1.130009</v>
      </c>
      <c r="B3384">
        <v>3.3765450000000001</v>
      </c>
      <c r="C3384">
        <f>LOG10(1.130009)</f>
        <v>5.3081902452244333E-2</v>
      </c>
      <c r="D3384">
        <f>LOG10(3.376545)</f>
        <v>0.52847254203827032</v>
      </c>
    </row>
    <row r="3385" spans="1:4">
      <c r="A3385">
        <v>1.1461779999999999</v>
      </c>
      <c r="B3385">
        <v>3.5009160000000001</v>
      </c>
      <c r="C3385">
        <f>LOG10(1.146178)</f>
        <v>5.9252068255130873E-2</v>
      </c>
      <c r="D3385">
        <f>LOG10(3.500916)</f>
        <v>0.54418169054962828</v>
      </c>
    </row>
    <row r="3386" spans="1:4">
      <c r="A3386">
        <v>1.175824</v>
      </c>
      <c r="B3386">
        <v>3.353386</v>
      </c>
      <c r="C3386">
        <f>LOG10(1.175824)</f>
        <v>7.0342320422880245E-2</v>
      </c>
      <c r="D3386">
        <f>LOG10(3.353386)</f>
        <v>0.52548354687393339</v>
      </c>
    </row>
    <row r="3387" spans="1:4">
      <c r="A3387">
        <v>1.129775</v>
      </c>
      <c r="B3387">
        <v>3.3708309999999999</v>
      </c>
      <c r="C3387">
        <f>LOG10(1.129775)</f>
        <v>5.2991960308102576E-2</v>
      </c>
      <c r="D3387">
        <f>LOG10(3.370831)</f>
        <v>0.52773697927644625</v>
      </c>
    </row>
    <row r="3388" spans="1:4">
      <c r="A3388">
        <v>1.15368</v>
      </c>
      <c r="B3388">
        <v>3.5564710000000002</v>
      </c>
      <c r="C3388">
        <f>LOG10(1.15368)</f>
        <v>6.208536384025292E-2</v>
      </c>
      <c r="D3388">
        <f>LOG10(3.556471)</f>
        <v>0.55101927174571419</v>
      </c>
    </row>
    <row r="3389" spans="1:4">
      <c r="A3389">
        <v>1.1505000000000001</v>
      </c>
      <c r="B3389">
        <v>3.5327470000000001</v>
      </c>
      <c r="C3389">
        <f>LOG10(1.1505)</f>
        <v>6.088662300466223E-2</v>
      </c>
      <c r="D3389">
        <f>LOG10(3.532747)</f>
        <v>0.54811253626352741</v>
      </c>
    </row>
    <row r="3390" spans="1:4">
      <c r="A3390">
        <v>1.135135</v>
      </c>
      <c r="B3390">
        <v>3.3754309999999998</v>
      </c>
      <c r="C3390">
        <f>LOG10(1.135135)</f>
        <v>5.5047514629178354E-2</v>
      </c>
      <c r="D3390">
        <f>LOG10(3.375431)</f>
        <v>0.5283292346398939</v>
      </c>
    </row>
    <row r="3391" spans="1:4">
      <c r="A3391">
        <v>1.1020639999999999</v>
      </c>
      <c r="B3391">
        <v>3.6429659999999999</v>
      </c>
      <c r="C3391">
        <f>LOG10(1.102064)</f>
        <v>4.2206815967456929E-2</v>
      </c>
      <c r="D3391">
        <f>LOG10(3.642966)</f>
        <v>0.56145511796678815</v>
      </c>
    </row>
    <row r="3392" spans="1:4">
      <c r="A3392">
        <v>1.1205099999999999</v>
      </c>
      <c r="B3392">
        <v>3.5173559999999999</v>
      </c>
      <c r="C3392">
        <f>LOG10(1.12051)</f>
        <v>4.9415736752775344E-2</v>
      </c>
      <c r="D3392">
        <f>LOG10(3.517356)</f>
        <v>0.5462163265231208</v>
      </c>
    </row>
    <row r="3393" spans="1:4">
      <c r="A3393">
        <v>1.1385730000000001</v>
      </c>
      <c r="B3393">
        <v>3.475902</v>
      </c>
      <c r="C3393">
        <f>LOG10(1.138573)</f>
        <v>5.6360880784114539E-2</v>
      </c>
      <c r="D3393">
        <f>LOG10(3.475902)</f>
        <v>0.54106752339826181</v>
      </c>
    </row>
    <row r="3394" spans="1:4">
      <c r="A3394">
        <v>1.1338029999999999</v>
      </c>
      <c r="B3394">
        <v>3.5507140000000001</v>
      </c>
      <c r="C3394">
        <f>LOG10(1.133803)</f>
        <v>5.4537601783300131E-2</v>
      </c>
      <c r="D3394">
        <f>LOG10(3.550714)</f>
        <v>0.55031569251451296</v>
      </c>
    </row>
    <row r="3395" spans="1:4">
      <c r="A3395">
        <v>1.1306480000000001</v>
      </c>
      <c r="B3395">
        <v>3.4500850000000001</v>
      </c>
      <c r="C3395">
        <f>LOG10(1.130648)</f>
        <v>5.332741884975805E-2</v>
      </c>
      <c r="D3395">
        <f>LOG10(3.450085)</f>
        <v>0.53782979495043903</v>
      </c>
    </row>
    <row r="3396" spans="1:4">
      <c r="A3396">
        <v>1.1210869999999999</v>
      </c>
      <c r="B3396">
        <v>3.349234</v>
      </c>
      <c r="C3396">
        <f>LOG10(1.121087)</f>
        <v>4.9639316568052275E-2</v>
      </c>
      <c r="D3396">
        <f>LOG10(3.349234)</f>
        <v>0.5249454913316205</v>
      </c>
    </row>
    <row r="3397" spans="1:4">
      <c r="A3397">
        <v>1.1103620000000001</v>
      </c>
      <c r="B3397">
        <v>3.5921460000000001</v>
      </c>
      <c r="C3397">
        <f>LOG10(1.110362)</f>
        <v>4.5464590473258064E-2</v>
      </c>
      <c r="D3397">
        <f>LOG10(3.592146)</f>
        <v>0.55535397991781021</v>
      </c>
    </row>
    <row r="3398" spans="1:4">
      <c r="A3398">
        <v>1.08006</v>
      </c>
      <c r="B3398">
        <v>3.5089709999999998</v>
      </c>
      <c r="C3398">
        <f>LOG10(1.08006)</f>
        <v>3.3447882287983843E-2</v>
      </c>
      <c r="D3398">
        <f>LOG10(3.508971)</f>
        <v>0.54517977898998038</v>
      </c>
    </row>
    <row r="3399" spans="1:4">
      <c r="A3399">
        <v>1.0829839999999999</v>
      </c>
      <c r="B3399">
        <v>3.314454</v>
      </c>
      <c r="C3399">
        <f>LOG10(1.082984)</f>
        <v>3.4622040408293274E-2</v>
      </c>
      <c r="D3399">
        <f>LOG10(3.314454)</f>
        <v>0.52041199599352583</v>
      </c>
    </row>
    <row r="3400" spans="1:4">
      <c r="A3400">
        <v>1.093242</v>
      </c>
      <c r="B3400">
        <v>3.40225</v>
      </c>
      <c r="C3400">
        <f>LOG10(1.093242)</f>
        <v>3.8716307998538979E-2</v>
      </c>
      <c r="D3400">
        <f>LOG10(3.40225)</f>
        <v>0.53176622274843166</v>
      </c>
    </row>
    <row r="3401" spans="1:4">
      <c r="A3401">
        <v>1.1187149999999999</v>
      </c>
      <c r="B3401">
        <v>3.4705089999999998</v>
      </c>
      <c r="C3401">
        <f>LOG10(1.118715)</f>
        <v>4.8719461244958975E-2</v>
      </c>
      <c r="D3401">
        <f>LOG10(3.470509)</f>
        <v>0.54039317498683481</v>
      </c>
    </row>
    <row r="3402" spans="1:4">
      <c r="A3402">
        <v>1.0942050000000001</v>
      </c>
      <c r="B3402">
        <v>3.3045979999999999</v>
      </c>
      <c r="C3402">
        <f>LOG10(1.094205)</f>
        <v>3.9098694966627073E-2</v>
      </c>
      <c r="D3402">
        <f>LOG10(3.304598)</f>
        <v>0.51911863568235606</v>
      </c>
    </row>
    <row r="3403" spans="1:4">
      <c r="A3403">
        <v>1.1078349999999999</v>
      </c>
      <c r="B3403">
        <v>3.5697390000000002</v>
      </c>
      <c r="C3403">
        <f>LOG10(1.107835)</f>
        <v>4.4475081759167472E-2</v>
      </c>
      <c r="D3403">
        <f>LOG10(3.569739)</f>
        <v>0.55263646401037902</v>
      </c>
    </row>
    <row r="3404" spans="1:4">
      <c r="A3404">
        <v>1.1258980000000001</v>
      </c>
      <c r="B3404">
        <v>3.4289749999999999</v>
      </c>
      <c r="C3404">
        <f>LOG10(1.125898)</f>
        <v>5.1499047670150247E-2</v>
      </c>
      <c r="D3404">
        <f>LOG10(3.428975)</f>
        <v>0.53516431876859627</v>
      </c>
    </row>
    <row r="3405" spans="1:4">
      <c r="A3405">
        <v>1.0911569999999999</v>
      </c>
      <c r="B3405">
        <v>3.3774799999999998</v>
      </c>
      <c r="C3405">
        <f>LOG10(1.091157)</f>
        <v>3.7887243098070948E-2</v>
      </c>
      <c r="D3405">
        <f>LOG10(3.37748)</f>
        <v>0.52859278599448123</v>
      </c>
    </row>
    <row r="3406" spans="1:4">
      <c r="A3406">
        <v>1.1198440000000001</v>
      </c>
      <c r="B3406">
        <v>3.3444199999999999</v>
      </c>
      <c r="C3406">
        <f>LOG10(1.119844)</f>
        <v>4.9157527439900907E-2</v>
      </c>
      <c r="D3406">
        <f>LOG10(3.34442)</f>
        <v>0.52432081189753554</v>
      </c>
    </row>
    <row r="3407" spans="1:4">
      <c r="A3407">
        <v>1.085771</v>
      </c>
      <c r="B3407">
        <v>3.3001429999999998</v>
      </c>
      <c r="C3407">
        <f>LOG10(1.085771)</f>
        <v>3.5738237846306538E-2</v>
      </c>
      <c r="D3407">
        <f>LOG10(3.300143)</f>
        <v>0.51853275889769412</v>
      </c>
    </row>
    <row r="3408" spans="1:4">
      <c r="A3408">
        <v>1.0837019999999999</v>
      </c>
      <c r="B3408">
        <v>3.1324320000000001</v>
      </c>
      <c r="C3408">
        <f>LOG10(1.083702)</f>
        <v>3.4909874870158723E-2</v>
      </c>
      <c r="D3408">
        <f>LOG10(3.132432)</f>
        <v>0.49588165194222489</v>
      </c>
    </row>
    <row r="3409" spans="1:4">
      <c r="A3409">
        <v>1.10287</v>
      </c>
      <c r="B3409">
        <v>3.3747050000000001</v>
      </c>
      <c r="C3409">
        <f>LOG10(1.10287)</f>
        <v>4.2524323310538556E-2</v>
      </c>
      <c r="D3409">
        <f>LOG10(3.374705)</f>
        <v>0.5282358149532157</v>
      </c>
    </row>
    <row r="3410" spans="1:4">
      <c r="A3410">
        <v>1.0542929999999999</v>
      </c>
      <c r="B3410">
        <v>3.1431650000000002</v>
      </c>
      <c r="C3410">
        <f>LOG10(1.054293)</f>
        <v>2.2961323020444086E-2</v>
      </c>
      <c r="D3410">
        <f>LOG10(3.143165)</f>
        <v>0.49736717984310574</v>
      </c>
    </row>
    <row r="3411" spans="1:4">
      <c r="A3411">
        <v>1.0866800000000001</v>
      </c>
      <c r="B3411">
        <v>3.2881</v>
      </c>
      <c r="C3411">
        <f>LOG10(1.08668)</f>
        <v>3.6101674082234171E-2</v>
      </c>
      <c r="D3411">
        <f>LOG10(3.2881)</f>
        <v>0.51694501713680241</v>
      </c>
    </row>
    <row r="3412" spans="1:4">
      <c r="A3412">
        <v>1.1024069999999999</v>
      </c>
      <c r="B3412">
        <v>3.1145960000000001</v>
      </c>
      <c r="C3412">
        <f>LOG10(1.102407)</f>
        <v>4.2341962230206497E-2</v>
      </c>
      <c r="D3412">
        <f>LOG10(3.114596)</f>
        <v>0.49340172150899547</v>
      </c>
    </row>
    <row r="3413" spans="1:4">
      <c r="A3413">
        <v>1.0905659999999999</v>
      </c>
      <c r="B3413">
        <v>3.0908699999999998</v>
      </c>
      <c r="C3413">
        <f>LOG10(1.090566)</f>
        <v>3.7651953792248991E-2</v>
      </c>
      <c r="D3413">
        <f>LOG10(3.09087)</f>
        <v>0.49008073930143808</v>
      </c>
    </row>
    <row r="3414" spans="1:4">
      <c r="A3414">
        <v>1.1217919999999999</v>
      </c>
      <c r="B3414">
        <v>3.0010129999999999</v>
      </c>
      <c r="C3414">
        <f>LOG10(1.121792)</f>
        <v>4.9912338536536031E-2</v>
      </c>
      <c r="D3414">
        <f>LOG10(3.001013)</f>
        <v>0.47726787673642751</v>
      </c>
    </row>
    <row r="3415" spans="1:4">
      <c r="A3415">
        <v>1.080878</v>
      </c>
      <c r="B3415">
        <v>3.158801</v>
      </c>
      <c r="C3415">
        <f>LOG10(1.080878)</f>
        <v>3.3776677378972254E-2</v>
      </c>
      <c r="D3415">
        <f>LOG10(3.158801)</f>
        <v>0.49952226682817663</v>
      </c>
    </row>
    <row r="3416" spans="1:4">
      <c r="A3416">
        <v>1.098452</v>
      </c>
      <c r="B3416">
        <v>3.1608990000000001</v>
      </c>
      <c r="C3416">
        <f>LOG10(1.098452)</f>
        <v>4.0781083932368477E-2</v>
      </c>
      <c r="D3416">
        <f>LOG10(3.160899)</f>
        <v>0.4998106190779687</v>
      </c>
    </row>
    <row r="3417" spans="1:4">
      <c r="A3417">
        <v>1.139807</v>
      </c>
      <c r="B3417">
        <v>3.24525</v>
      </c>
      <c r="C3417">
        <f>LOG10(1.139807)</f>
        <v>5.6831319818052346E-2</v>
      </c>
      <c r="D3417">
        <f>LOG10(3.24525)</f>
        <v>0.51124815859042427</v>
      </c>
    </row>
    <row r="3418" spans="1:4">
      <c r="A3418">
        <v>1.1147670000000001</v>
      </c>
      <c r="B3418">
        <v>3.2004299999999999</v>
      </c>
      <c r="C3418">
        <f>LOG10(1.114767)</f>
        <v>4.7184103986343075E-2</v>
      </c>
      <c r="D3418">
        <f>LOG10(3.20043)</f>
        <v>0.50520833272031318</v>
      </c>
    </row>
    <row r="3419" spans="1:4">
      <c r="A3419">
        <v>1.0829839999999999</v>
      </c>
      <c r="B3419">
        <v>3.207176</v>
      </c>
      <c r="C3419">
        <f>LOG10(1.082984)</f>
        <v>3.4622040408293274E-2</v>
      </c>
      <c r="D3419">
        <f>LOG10(3.207176)</f>
        <v>0.50612279333395793</v>
      </c>
    </row>
    <row r="3420" spans="1:4">
      <c r="A3420">
        <v>1.089161</v>
      </c>
      <c r="B3420">
        <v>3.1318329999999999</v>
      </c>
      <c r="C3420">
        <f>LOG10(1.089161)</f>
        <v>3.7092081999515233E-2</v>
      </c>
      <c r="D3420">
        <f>LOG10(3.131833)</f>
        <v>0.49579859594269327</v>
      </c>
    </row>
    <row r="3421" spans="1:4">
      <c r="A3421">
        <v>1.104085</v>
      </c>
      <c r="B3421">
        <v>3.2224409999999999</v>
      </c>
      <c r="C3421">
        <f>LOG10(1.104085)</f>
        <v>4.3002509634067564E-2</v>
      </c>
      <c r="D3421">
        <f>LOG10(3.222441)</f>
        <v>0.50818497455639444</v>
      </c>
    </row>
    <row r="3422" spans="1:4">
      <c r="A3422">
        <v>1.0865419999999999</v>
      </c>
      <c r="B3422">
        <v>3.2083550000000001</v>
      </c>
      <c r="C3422">
        <f>LOG10(1.086542)</f>
        <v>3.6046518521888019E-2</v>
      </c>
      <c r="D3422">
        <f>LOG10(3.208355)</f>
        <v>0.50628241634877247</v>
      </c>
    </row>
    <row r="3423" spans="1:4">
      <c r="A3423">
        <v>1.1052850000000001</v>
      </c>
      <c r="B3423">
        <v>3.4095119999999999</v>
      </c>
      <c r="C3423">
        <f>LOG10(1.105285)</f>
        <v>4.3474276182478309E-2</v>
      </c>
      <c r="D3423">
        <f>LOG10(3.409512)</f>
        <v>0.53269222331111443</v>
      </c>
    </row>
    <row r="3424" spans="1:4">
      <c r="A3424">
        <v>1.095272</v>
      </c>
      <c r="B3424">
        <v>3.173241</v>
      </c>
      <c r="C3424">
        <f>LOG10(1.095272)</f>
        <v>3.9521985322154583E-2</v>
      </c>
      <c r="D3424">
        <f>LOG10(3.173241)</f>
        <v>0.50150305697135833</v>
      </c>
    </row>
    <row r="3425" spans="1:4">
      <c r="A3425">
        <v>1.1160129999999999</v>
      </c>
      <c r="B3425">
        <v>3.3605390000000002</v>
      </c>
      <c r="C3425">
        <f>LOG10(1.116013)</f>
        <v>4.7669253557995027E-2</v>
      </c>
      <c r="D3425">
        <f>LOG10(3.360539)</f>
        <v>0.52640893987562021</v>
      </c>
    </row>
    <row r="3426" spans="1:4">
      <c r="A3426">
        <v>1.102444</v>
      </c>
      <c r="B3426">
        <v>3.2283979999999999</v>
      </c>
      <c r="C3426">
        <f>LOG10(1.102444)</f>
        <v>4.2356538177362978E-2</v>
      </c>
      <c r="D3426">
        <f>LOG10(3.228398)</f>
        <v>0.50898706959056927</v>
      </c>
    </row>
    <row r="3427" spans="1:4">
      <c r="A3427">
        <v>1.10368</v>
      </c>
      <c r="B3427">
        <v>3.1530480000000001</v>
      </c>
      <c r="C3427">
        <f>LOG10(1.10368)</f>
        <v>4.2843172687296698E-2</v>
      </c>
      <c r="D3427">
        <f>LOG10(3.153048)</f>
        <v>0.49873058222156669</v>
      </c>
    </row>
    <row r="3428" spans="1:4">
      <c r="A3428">
        <v>1.1089070000000001</v>
      </c>
      <c r="B3428">
        <v>3.0178989999999999</v>
      </c>
      <c r="C3428">
        <f>LOG10(1.108907)</f>
        <v>4.4895124976549461E-2</v>
      </c>
      <c r="D3428">
        <f>LOG10(3.017899)</f>
        <v>0.47970470115307073</v>
      </c>
    </row>
    <row r="3429" spans="1:4">
      <c r="A3429">
        <v>1.116134</v>
      </c>
      <c r="B3429">
        <v>3.0174629999999998</v>
      </c>
      <c r="C3429">
        <f>LOG10(1.116134)</f>
        <v>4.7716337941202572E-2</v>
      </c>
      <c r="D3429">
        <f>LOG10(3.017463)</f>
        <v>0.47964195350199723</v>
      </c>
    </row>
    <row r="3430" spans="1:4">
      <c r="A3430">
        <v>1.0489630000000001</v>
      </c>
      <c r="B3430">
        <v>3.2123759999999999</v>
      </c>
      <c r="C3430">
        <f>LOG10(1.048963)</f>
        <v>2.0760169624229375E-2</v>
      </c>
      <c r="D3430">
        <f>LOG10(3.212376)</f>
        <v>0.50682637258678587</v>
      </c>
    </row>
    <row r="3431" spans="1:4">
      <c r="A3431">
        <v>1.07731</v>
      </c>
      <c r="B3431">
        <v>3.1475309999999999</v>
      </c>
      <c r="C3431">
        <f>LOG10(1.07731)</f>
        <v>3.2340691150536928E-2</v>
      </c>
      <c r="D3431">
        <f>LOG10(3.147531)</f>
        <v>0.49797001616278808</v>
      </c>
    </row>
    <row r="3432" spans="1:4">
      <c r="A3432">
        <v>1.0853159999999999</v>
      </c>
      <c r="B3432">
        <v>3.1204499999999999</v>
      </c>
      <c r="C3432">
        <f>LOG10(1.085316)</f>
        <v>3.5556205535156427E-2</v>
      </c>
      <c r="D3432">
        <f>LOG10(3.12045)</f>
        <v>0.49421722812886598</v>
      </c>
    </row>
    <row r="3433" spans="1:4">
      <c r="A3433">
        <v>1.0940559999999999</v>
      </c>
      <c r="B3433">
        <v>3.0316740000000002</v>
      </c>
      <c r="C3433">
        <f>LOG10(1.094056)</f>
        <v>3.9039552224601634E-2</v>
      </c>
      <c r="D3433">
        <f>LOG10(3.031674)</f>
        <v>0.48168249919848166</v>
      </c>
    </row>
    <row r="3434" spans="1:4">
      <c r="A3434">
        <v>1.0875980000000001</v>
      </c>
      <c r="B3434">
        <v>3.1801360000000001</v>
      </c>
      <c r="C3434">
        <f>LOG10(1.087598)</f>
        <v>3.646840028566993E-2</v>
      </c>
      <c r="D3434">
        <f>LOG10(3.180136)</f>
        <v>0.50244569318775656</v>
      </c>
    </row>
    <row r="3435" spans="1:4">
      <c r="A3435">
        <v>1.1128960000000001</v>
      </c>
      <c r="B3435">
        <v>3.1607780000000001</v>
      </c>
      <c r="C3435">
        <f>LOG10(1.112896)</f>
        <v>4.6454581462776506E-2</v>
      </c>
      <c r="D3435">
        <f>LOG10(3.160778)</f>
        <v>0.49979399385895906</v>
      </c>
    </row>
    <row r="3436" spans="1:4">
      <c r="A3436">
        <v>1.0877030000000001</v>
      </c>
      <c r="B3436">
        <v>3.4286240000000001</v>
      </c>
      <c r="C3436">
        <f>LOG10(1.087703)</f>
        <v>3.6510326364530069E-2</v>
      </c>
      <c r="D3436">
        <f>LOG10(3.428624)</f>
        <v>0.53511986082835183</v>
      </c>
    </row>
    <row r="3437" spans="1:4">
      <c r="A3437">
        <v>1.111448</v>
      </c>
      <c r="B3437">
        <v>2.9757189999999998</v>
      </c>
      <c r="C3437">
        <f>LOG10(1.111448)</f>
        <v>4.5889148689224363E-2</v>
      </c>
      <c r="D3437">
        <f>LOG10(2.975719)</f>
        <v>0.47359191796548855</v>
      </c>
    </row>
    <row r="3438" spans="1:4">
      <c r="A3438">
        <v>1.1108359999999999</v>
      </c>
      <c r="B3438">
        <v>3.2908719999999998</v>
      </c>
      <c r="C3438">
        <f>LOG10(1.110836)</f>
        <v>4.5649945932381378E-2</v>
      </c>
      <c r="D3438">
        <f>LOG10(3.290872)</f>
        <v>0.51731099053662111</v>
      </c>
    </row>
    <row r="3439" spans="1:4">
      <c r="A3439">
        <v>1.082722</v>
      </c>
      <c r="B3439">
        <v>3.3448600000000002</v>
      </c>
      <c r="C3439">
        <f>LOG10(1.082722)</f>
        <v>3.4516961367265779E-2</v>
      </c>
      <c r="D3439">
        <f>LOG10(3.34486)</f>
        <v>0.52437794497383461</v>
      </c>
    </row>
    <row r="3440" spans="1:4">
      <c r="A3440">
        <v>1.0781620000000001</v>
      </c>
      <c r="B3440">
        <v>3.2184270000000001</v>
      </c>
      <c r="C3440">
        <f>LOG10(1.078162)</f>
        <v>3.2684020980710819E-2</v>
      </c>
      <c r="D3440">
        <f>LOG10(3.218427)</f>
        <v>0.50764366295800534</v>
      </c>
    </row>
    <row r="3441" spans="1:4">
      <c r="A3441">
        <v>1.09487</v>
      </c>
      <c r="B3441">
        <v>3.1369359999999999</v>
      </c>
      <c r="C3441">
        <f>LOG10(1.09487)</f>
        <v>3.9362556039774031E-2</v>
      </c>
      <c r="D3441">
        <f>LOG10(3.136936)</f>
        <v>0.49650565828002868</v>
      </c>
    </row>
    <row r="3442" spans="1:4">
      <c r="A3442">
        <v>1.0901890000000001</v>
      </c>
      <c r="B3442">
        <v>3.354587</v>
      </c>
      <c r="C3442">
        <f>LOG10(1.090189)</f>
        <v>3.7501795685255281E-2</v>
      </c>
      <c r="D3442">
        <f>LOG10(3.354587)</f>
        <v>0.52563905962818536</v>
      </c>
    </row>
    <row r="3443" spans="1:4">
      <c r="A3443">
        <v>1.0726850000000001</v>
      </c>
      <c r="B3443">
        <v>3.1188899999999999</v>
      </c>
      <c r="C3443">
        <f>LOG10(1.072685)</f>
        <v>3.0472207663728466E-2</v>
      </c>
      <c r="D3443">
        <f>LOG10(3.11889)</f>
        <v>0.49400005791346285</v>
      </c>
    </row>
    <row r="3444" spans="1:4">
      <c r="A3444">
        <v>1.1035379999999999</v>
      </c>
      <c r="B3444">
        <v>3.1741600000000001</v>
      </c>
      <c r="C3444">
        <f>LOG10(1.103538)</f>
        <v>4.2787292555370102E-2</v>
      </c>
      <c r="D3444">
        <f>LOG10(3.17416)</f>
        <v>0.5016288144685318</v>
      </c>
    </row>
    <row r="3445" spans="1:4">
      <c r="A3445">
        <v>1.103156</v>
      </c>
      <c r="B3445">
        <v>3.278492</v>
      </c>
      <c r="C3445">
        <f>LOG10(1.103156)</f>
        <v>4.2636931432582646E-2</v>
      </c>
      <c r="D3445">
        <f>LOG10(3.278492)</f>
        <v>0.51567412826177028</v>
      </c>
    </row>
    <row r="3446" spans="1:4">
      <c r="A3446">
        <v>1.092989</v>
      </c>
      <c r="B3446">
        <v>3.1801330000000001</v>
      </c>
      <c r="C3446">
        <f>LOG10(1.092989)</f>
        <v>3.8615791168970612E-2</v>
      </c>
      <c r="D3446">
        <f>LOG10(3.180133)</f>
        <v>0.50244528349330952</v>
      </c>
    </row>
    <row r="3447" spans="1:4">
      <c r="A3447">
        <v>1.112762</v>
      </c>
      <c r="B3447">
        <v>3.3429280000000001</v>
      </c>
      <c r="C3447">
        <f>LOG10(1.112762)</f>
        <v>4.6402286401589762E-2</v>
      </c>
      <c r="D3447">
        <f>LOG10(3.342928)</f>
        <v>0.52412702285657309</v>
      </c>
    </row>
    <row r="3448" spans="1:4">
      <c r="A3448">
        <v>1.0576650000000001</v>
      </c>
      <c r="B3448">
        <v>3.3915929999999999</v>
      </c>
      <c r="C3448">
        <f>LOG10(1.057665)</f>
        <v>2.434813302080013E-2</v>
      </c>
      <c r="D3448">
        <f>LOG10(3.391593)</f>
        <v>0.53040373024168919</v>
      </c>
    </row>
    <row r="3449" spans="1:4">
      <c r="A3449">
        <v>1.0624549999999999</v>
      </c>
      <c r="B3449">
        <v>3.2232099999999999</v>
      </c>
      <c r="C3449">
        <f>LOG10(1.062455)</f>
        <v>2.6310544684180245E-2</v>
      </c>
      <c r="D3449">
        <f>LOG10(3.22321)</f>
        <v>0.5082886017798256</v>
      </c>
    </row>
    <row r="3450" spans="1:4">
      <c r="A3450">
        <v>1.0984160000000001</v>
      </c>
      <c r="B3450">
        <v>3.0570680000000001</v>
      </c>
      <c r="C3450">
        <f>LOG10(1.098416)</f>
        <v>4.0766850395032701E-2</v>
      </c>
      <c r="D3450">
        <f>LOG10(3.057068)</f>
        <v>0.48530509907817215</v>
      </c>
    </row>
    <row r="3451" spans="1:4">
      <c r="A3451">
        <v>1.119102</v>
      </c>
      <c r="B3451">
        <v>3.0767250000000002</v>
      </c>
      <c r="C3451">
        <f>LOG10(1.119102)</f>
        <v>4.8869671888789219E-2</v>
      </c>
      <c r="D3451">
        <f>LOG10(3.076725)</f>
        <v>0.48808868041392578</v>
      </c>
    </row>
    <row r="3452" spans="1:4">
      <c r="A3452">
        <v>1.1218939999999999</v>
      </c>
      <c r="B3452">
        <v>3.1303269999999999</v>
      </c>
      <c r="C3452">
        <f>LOG10(1.121894)</f>
        <v>4.9951825378442317E-2</v>
      </c>
      <c r="D3452">
        <f>LOG10(3.130327)</f>
        <v>0.49558970715596296</v>
      </c>
    </row>
    <row r="3453" spans="1:4">
      <c r="A3453">
        <v>1.1203540000000001</v>
      </c>
      <c r="B3453">
        <v>3.2278380000000002</v>
      </c>
      <c r="C3453">
        <f>LOG10(1.120354)</f>
        <v>4.935526905880884E-2</v>
      </c>
      <c r="D3453">
        <f>LOG10(3.227838)</f>
        <v>0.50891173005512613</v>
      </c>
    </row>
    <row r="3454" spans="1:4">
      <c r="A3454">
        <v>1.1355</v>
      </c>
      <c r="B3454">
        <v>3.3312949999999999</v>
      </c>
      <c r="C3454">
        <f>LOG10(1.1355)</f>
        <v>5.5187138555753981E-2</v>
      </c>
      <c r="D3454">
        <f>LOG10(3.331295)</f>
        <v>0.52261309297318026</v>
      </c>
    </row>
    <row r="3455" spans="1:4">
      <c r="A3455">
        <v>1.1079909999999999</v>
      </c>
      <c r="B3455">
        <v>3.1828069999999999</v>
      </c>
      <c r="C3455">
        <f>LOG10(1.107991)</f>
        <v>4.4536232715324552E-2</v>
      </c>
      <c r="D3455">
        <f>LOG10(3.182807)</f>
        <v>0.50281030454111875</v>
      </c>
    </row>
    <row r="3456" spans="1:4">
      <c r="A3456">
        <v>1.120619</v>
      </c>
      <c r="B3456">
        <v>3.2197330000000002</v>
      </c>
      <c r="C3456">
        <f>LOG10(1.120619)</f>
        <v>4.945798162004076E-2</v>
      </c>
      <c r="D3456">
        <f>LOG10(3.219733)</f>
        <v>0.50781985882798852</v>
      </c>
    </row>
    <row r="3457" spans="1:4">
      <c r="A3457">
        <v>1.1205989999999999</v>
      </c>
      <c r="B3457">
        <v>3.2180369999999998</v>
      </c>
      <c r="C3457">
        <f>LOG10(1.120599)</f>
        <v>4.9450230576065249E-2</v>
      </c>
      <c r="D3457">
        <f>LOG10(3.218037)</f>
        <v>0.50759103317614074</v>
      </c>
    </row>
    <row r="3458" spans="1:4">
      <c r="A3458">
        <v>1.0962430000000001</v>
      </c>
      <c r="B3458">
        <v>3.1708340000000002</v>
      </c>
      <c r="C3458">
        <f>LOG10(1.096243)</f>
        <v>3.9906833219178491E-2</v>
      </c>
      <c r="D3458">
        <f>LOG10(3.170834)</f>
        <v>0.50117350636922942</v>
      </c>
    </row>
    <row r="3459" spans="1:4">
      <c r="A3459">
        <v>1.0897559999999999</v>
      </c>
      <c r="B3459">
        <v>3.0621260000000001</v>
      </c>
      <c r="C3459">
        <f>LOG10(1.089756)</f>
        <v>3.7329268843397136E-2</v>
      </c>
      <c r="D3459">
        <f>LOG10(3.062126)</f>
        <v>0.48602305702810622</v>
      </c>
    </row>
    <row r="3460" spans="1:4">
      <c r="A3460">
        <v>1.13391</v>
      </c>
      <c r="B3460">
        <v>3.2308119999999998</v>
      </c>
      <c r="C3460">
        <f>LOG10(1.13391)</f>
        <v>5.4578585373020849E-2</v>
      </c>
      <c r="D3460">
        <f>LOG10(3.230812)</f>
        <v>0.50931168728472243</v>
      </c>
    </row>
    <row r="3461" spans="1:4">
      <c r="A3461">
        <v>1.1265700000000001</v>
      </c>
      <c r="B3461">
        <v>3.1673840000000002</v>
      </c>
      <c r="C3461">
        <f>LOG10(1.12657)</f>
        <v>5.1758182006795835E-2</v>
      </c>
      <c r="D3461">
        <f>LOG10(3.167384)</f>
        <v>0.5007007185570902</v>
      </c>
    </row>
    <row r="3462" spans="1:4">
      <c r="A3462">
        <v>1.060627</v>
      </c>
      <c r="B3462">
        <v>3.033795</v>
      </c>
      <c r="C3462">
        <f>LOG10(1.060627)</f>
        <v>2.5562678601663672E-2</v>
      </c>
      <c r="D3462">
        <f>LOG10(3.033795)</f>
        <v>0.48198623123755796</v>
      </c>
    </row>
    <row r="3463" spans="1:4">
      <c r="A3463">
        <v>1.116136</v>
      </c>
      <c r="B3463">
        <v>3.2475969999999998</v>
      </c>
      <c r="C3463">
        <f>LOG10(1.116136)</f>
        <v>4.7717116152587245E-2</v>
      </c>
      <c r="D3463">
        <f>LOG10(3.247597)</f>
        <v>0.51156213154971986</v>
      </c>
    </row>
    <row r="3464" spans="1:4">
      <c r="A3464">
        <v>1.1317900000000001</v>
      </c>
      <c r="B3464">
        <v>3.2215069999999999</v>
      </c>
      <c r="C3464">
        <f>LOG10(1.13179)</f>
        <v>5.3765852380714844E-2</v>
      </c>
      <c r="D3464">
        <f>LOG10(3.221507)</f>
        <v>0.5080590793601768</v>
      </c>
    </row>
    <row r="3465" spans="1:4">
      <c r="A3465">
        <v>1.0702469999999999</v>
      </c>
      <c r="B3465">
        <v>3.0857060000000001</v>
      </c>
      <c r="C3465">
        <f>LOG10(1.070247)</f>
        <v>2.9484019140991448E-2</v>
      </c>
      <c r="D3465">
        <f>LOG10(3.085706)</f>
        <v>0.48935454497399961</v>
      </c>
    </row>
    <row r="3466" spans="1:4">
      <c r="A3466">
        <v>1.113248</v>
      </c>
      <c r="B3466">
        <v>3.271808</v>
      </c>
      <c r="C3466">
        <f>LOG10(1.113248)</f>
        <v>4.6591923574431413E-2</v>
      </c>
      <c r="D3466">
        <f>LOG10(3.271808)</f>
        <v>0.5147878099787746</v>
      </c>
    </row>
    <row r="3467" spans="1:4">
      <c r="A3467">
        <v>1.1420269999999999</v>
      </c>
      <c r="B3467">
        <v>3.4524249999999999</v>
      </c>
      <c r="C3467">
        <f>LOG10(1.142027)</f>
        <v>5.7676371696516439E-2</v>
      </c>
      <c r="D3467">
        <f>LOG10(3.452425)</f>
        <v>0.53812425280028919</v>
      </c>
    </row>
    <row r="3468" spans="1:4">
      <c r="A3468">
        <v>1.138614</v>
      </c>
      <c r="B3468">
        <v>3.043472</v>
      </c>
      <c r="C3468">
        <f>LOG10(1.138614)</f>
        <v>5.6376519441598473E-2</v>
      </c>
      <c r="D3468">
        <f>LOG10(3.043472)</f>
        <v>0.48336931058995369</v>
      </c>
    </row>
    <row r="3469" spans="1:4">
      <c r="A3469">
        <v>1.145246</v>
      </c>
      <c r="B3469">
        <v>3.2431990000000002</v>
      </c>
      <c r="C3469">
        <f>LOG10(1.145246)</f>
        <v>5.889878359070029E-2</v>
      </c>
      <c r="D3469">
        <f>LOG10(3.243199)</f>
        <v>0.5109735974396622</v>
      </c>
    </row>
    <row r="3470" spans="1:4">
      <c r="A3470">
        <v>1.1169880000000001</v>
      </c>
      <c r="B3470">
        <v>3.1713399999999998</v>
      </c>
      <c r="C3470">
        <f>LOG10(1.116988)</f>
        <v>4.8048507438100629E-2</v>
      </c>
      <c r="D3470">
        <f>LOG10(3.17134)</f>
        <v>0.50124280532202037</v>
      </c>
    </row>
    <row r="3471" spans="1:4">
      <c r="A3471">
        <v>1.1609259999999999</v>
      </c>
      <c r="B3471">
        <v>3.446018</v>
      </c>
      <c r="C3471">
        <f>LOG10(1.160926)</f>
        <v>6.4804537726596056E-2</v>
      </c>
      <c r="D3471">
        <f>LOG10(3.446018)</f>
        <v>0.53731754162050005</v>
      </c>
    </row>
    <row r="3472" spans="1:4">
      <c r="A3472">
        <v>1.1242989999999999</v>
      </c>
      <c r="B3472">
        <v>3.4212530000000001</v>
      </c>
      <c r="C3472">
        <f>LOG10(1.124299)</f>
        <v>5.0881824383966233E-2</v>
      </c>
      <c r="D3472">
        <f>LOG10(3.421253)</f>
        <v>0.53418519123889607</v>
      </c>
    </row>
    <row r="3473" spans="1:4">
      <c r="A3473">
        <v>1.1460920000000001</v>
      </c>
      <c r="B3473">
        <v>3.2707060000000001</v>
      </c>
      <c r="C3473">
        <f>LOG10(1.146092)</f>
        <v>5.9219481059502851E-2</v>
      </c>
      <c r="D3473">
        <f>LOG10(3.270706)</f>
        <v>0.5146415076480243</v>
      </c>
    </row>
    <row r="3474" spans="1:4">
      <c r="A3474">
        <v>1.114633</v>
      </c>
      <c r="B3474">
        <v>3.135834</v>
      </c>
      <c r="C3474">
        <f>LOG10(1.114633)</f>
        <v>4.7131896701293155E-2</v>
      </c>
      <c r="D3474">
        <f>LOG10(3.135834)</f>
        <v>0.49635306460164386</v>
      </c>
    </row>
    <row r="3475" spans="1:4">
      <c r="A3475">
        <v>1.184544</v>
      </c>
      <c r="B3475">
        <v>3.103326</v>
      </c>
      <c r="C3475">
        <f>LOG10(1.184544)</f>
        <v>7.3551197268405963E-2</v>
      </c>
      <c r="D3475">
        <f>LOG10(3.103326)</f>
        <v>0.49182740000068226</v>
      </c>
    </row>
    <row r="3476" spans="1:4">
      <c r="A3476">
        <v>1.106001</v>
      </c>
      <c r="B3476">
        <v>3.162658</v>
      </c>
      <c r="C3476">
        <f>LOG10(1.106001)</f>
        <v>4.3755519639823735E-2</v>
      </c>
      <c r="D3476">
        <f>LOG10(3.162658)</f>
        <v>0.5000522312001876</v>
      </c>
    </row>
    <row r="3477" spans="1:4">
      <c r="A3477">
        <v>1.1344829999999999</v>
      </c>
      <c r="B3477">
        <v>3.1524860000000001</v>
      </c>
      <c r="C3477">
        <f>LOG10(1.134483)</f>
        <v>5.4797992454089596E-2</v>
      </c>
      <c r="D3477">
        <f>LOG10(3.152486)</f>
        <v>0.49865316657382747</v>
      </c>
    </row>
    <row r="3478" spans="1:4">
      <c r="A3478">
        <v>1.1211819999999999</v>
      </c>
      <c r="B3478">
        <v>3.3359580000000002</v>
      </c>
      <c r="C3478">
        <f>LOG10(1.121182)</f>
        <v>4.9676116769817071E-2</v>
      </c>
      <c r="D3478">
        <f>LOG10(3.335958)</f>
        <v>0.52322057419499868</v>
      </c>
    </row>
    <row r="3479" spans="1:4">
      <c r="A3479">
        <v>1.1150329999999999</v>
      </c>
      <c r="B3479">
        <v>3.1757360000000001</v>
      </c>
      <c r="C3479">
        <f>LOG10(1.115033)</f>
        <v>4.7287720752630824E-2</v>
      </c>
      <c r="D3479">
        <f>LOG10(3.175736)</f>
        <v>0.50184439220950061</v>
      </c>
    </row>
    <row r="3480" spans="1:4">
      <c r="A3480">
        <v>1.113604</v>
      </c>
      <c r="B3480">
        <v>3.1874899999999999</v>
      </c>
      <c r="C3480">
        <f>LOG10(1.113604)</f>
        <v>4.6730782229496684E-2</v>
      </c>
      <c r="D3480">
        <f>LOG10(3.18749)</f>
        <v>0.50344883094738213</v>
      </c>
    </row>
    <row r="3481" spans="1:4">
      <c r="A3481">
        <v>1.100746</v>
      </c>
      <c r="B3481">
        <v>3.2923789999999999</v>
      </c>
      <c r="C3481">
        <f>LOG10(1.100746)</f>
        <v>4.1687115952063959E-2</v>
      </c>
      <c r="D3481">
        <f>LOG10(3.292379)</f>
        <v>0.51750982293589021</v>
      </c>
    </row>
    <row r="3482" spans="1:4">
      <c r="A3482">
        <v>1.1157840000000001</v>
      </c>
      <c r="B3482">
        <v>3.2065199999999998</v>
      </c>
      <c r="C3482">
        <f>LOG10(1.115784)</f>
        <v>4.7580129469464764E-2</v>
      </c>
      <c r="D3482">
        <f>LOG10(3.20652)</f>
        <v>0.50603395308299437</v>
      </c>
    </row>
    <row r="3483" spans="1:4">
      <c r="A3483">
        <v>1.1552009999999999</v>
      </c>
      <c r="B3483">
        <v>3.09232</v>
      </c>
      <c r="C3483">
        <f>LOG10(1.155201)</f>
        <v>6.2657556172840467E-2</v>
      </c>
      <c r="D3483">
        <f>LOG10(3.09232)</f>
        <v>0.49028442930944477</v>
      </c>
    </row>
    <row r="3484" spans="1:4">
      <c r="A3484">
        <v>1.104223</v>
      </c>
      <c r="B3484">
        <v>3.1455989999999998</v>
      </c>
      <c r="C3484">
        <f>LOG10(1.104223)</f>
        <v>4.3056788872815652E-2</v>
      </c>
      <c r="D3484">
        <f>LOG10(3.145599)</f>
        <v>0.49770335808790406</v>
      </c>
    </row>
    <row r="3485" spans="1:4">
      <c r="A3485">
        <v>1.146142</v>
      </c>
      <c r="B3485">
        <v>3.2164540000000001</v>
      </c>
      <c r="C3485">
        <f>LOG10(1.146142)</f>
        <v>5.9238427401018208E-2</v>
      </c>
      <c r="D3485">
        <f>LOG10(3.216454)</f>
        <v>0.50737734473404872</v>
      </c>
    </row>
    <row r="3486" spans="1:4">
      <c r="A3486">
        <v>1.084865</v>
      </c>
      <c r="B3486">
        <v>3.0394239999999999</v>
      </c>
      <c r="C3486">
        <f>LOG10(1.084865)</f>
        <v>3.5375698181937462E-2</v>
      </c>
      <c r="D3486">
        <f>LOG10(3.039424)</f>
        <v>0.48279128843660424</v>
      </c>
    </row>
    <row r="3487" spans="1:4">
      <c r="A3487">
        <v>1.1105929999999999</v>
      </c>
      <c r="B3487">
        <v>3.4748869999999998</v>
      </c>
      <c r="C3487">
        <f>LOG10(1.110593)</f>
        <v>4.555493181352057E-2</v>
      </c>
      <c r="D3487">
        <f>LOG10(3.474887)</f>
        <v>0.5409406863147983</v>
      </c>
    </row>
    <row r="3488" spans="1:4">
      <c r="A3488">
        <v>1.109853</v>
      </c>
      <c r="B3488">
        <v>3.2886660000000001</v>
      </c>
      <c r="C3488">
        <f>LOG10(1.109853)</f>
        <v>4.5265460303286591E-2</v>
      </c>
      <c r="D3488">
        <f>LOG10(3.288666)</f>
        <v>0.51701976836783725</v>
      </c>
    </row>
    <row r="3489" spans="1:4">
      <c r="A3489">
        <v>1.1517280000000001</v>
      </c>
      <c r="B3489">
        <v>3.3337020000000002</v>
      </c>
      <c r="C3489">
        <f>LOG10(1.151728)</f>
        <v>6.1349925226992237E-2</v>
      </c>
      <c r="D3489">
        <f>LOG10(3.333702)</f>
        <v>0.52292677559400869</v>
      </c>
    </row>
    <row r="3490" spans="1:4">
      <c r="A3490">
        <v>1.131678</v>
      </c>
      <c r="B3490">
        <v>3.0718320000000001</v>
      </c>
      <c r="C3490">
        <f>LOG10(1.131678)</f>
        <v>5.3722873215988051E-2</v>
      </c>
      <c r="D3490">
        <f>LOG10(3.071832)</f>
        <v>0.48739746023054448</v>
      </c>
    </row>
    <row r="3491" spans="1:4">
      <c r="A3491">
        <v>1.1147279999999999</v>
      </c>
      <c r="B3491">
        <v>3.1644860000000001</v>
      </c>
      <c r="C3491">
        <f>LOG10(1.114728)</f>
        <v>4.7168909976223292E-2</v>
      </c>
      <c r="D3491">
        <f>LOG10(3.164486)</f>
        <v>0.50030317865294294</v>
      </c>
    </row>
    <row r="3492" spans="1:4">
      <c r="A3492">
        <v>1.1488320000000001</v>
      </c>
      <c r="B3492">
        <v>3.0815299999999999</v>
      </c>
      <c r="C3492">
        <f>LOG10(1.148832)</f>
        <v>6.0256524069070443E-2</v>
      </c>
      <c r="D3492">
        <f>LOG10(3.08153)</f>
        <v>0.48876640012803968</v>
      </c>
    </row>
    <row r="3493" spans="1:4">
      <c r="A3493">
        <v>1.1108929999999999</v>
      </c>
      <c r="B3493">
        <v>3.2543099999999998</v>
      </c>
      <c r="C3493">
        <f>LOG10(1.110893)</f>
        <v>4.5672230185297827E-2</v>
      </c>
      <c r="D3493">
        <f>LOG10(3.25431)</f>
        <v>0.51245892072032773</v>
      </c>
    </row>
    <row r="3494" spans="1:4">
      <c r="A3494">
        <v>1.145211</v>
      </c>
      <c r="B3494">
        <v>3.4172129999999998</v>
      </c>
      <c r="C3494">
        <f>LOG10(1.145211)</f>
        <v>5.8885510862272901E-2</v>
      </c>
      <c r="D3494">
        <f>LOG10(3.417213)</f>
        <v>0.53367204986742145</v>
      </c>
    </row>
    <row r="3495" spans="1:4">
      <c r="A3495">
        <v>1.144658</v>
      </c>
      <c r="B3495">
        <v>3.128349</v>
      </c>
      <c r="C3495">
        <f>LOG10(1.144658)</f>
        <v>5.8675747899272455E-2</v>
      </c>
      <c r="D3495">
        <f>LOG10(3.128349)</f>
        <v>0.49531519717532002</v>
      </c>
    </row>
    <row r="3496" spans="1:4">
      <c r="A3496">
        <v>1.1162460000000001</v>
      </c>
      <c r="B3496">
        <v>3.3983850000000002</v>
      </c>
      <c r="C3496">
        <f>LOG10(1.116246)</f>
        <v>4.7759915631393333E-2</v>
      </c>
      <c r="D3496">
        <f>LOG10(3.398385)</f>
        <v>0.53127257815398465</v>
      </c>
    </row>
    <row r="3497" spans="1:4">
      <c r="A3497">
        <v>1.145535</v>
      </c>
      <c r="B3497">
        <v>3.0985499999999999</v>
      </c>
      <c r="C3497">
        <f>LOG10(1.145535)</f>
        <v>5.9008362905297276E-2</v>
      </c>
      <c r="D3497">
        <f>LOG10(3.09855)</f>
        <v>0.49115850856989757</v>
      </c>
    </row>
    <row r="3498" spans="1:4">
      <c r="A3498">
        <v>1.132339</v>
      </c>
      <c r="B3498">
        <v>3.0455969999999999</v>
      </c>
      <c r="C3498">
        <f>LOG10(1.132339)</f>
        <v>5.3976465535033928E-2</v>
      </c>
      <c r="D3498">
        <f>LOG10(3.045597)</f>
        <v>0.48367243601405724</v>
      </c>
    </row>
    <row r="3499" spans="1:4">
      <c r="A3499">
        <v>1.1398079999999999</v>
      </c>
      <c r="B3499">
        <v>3.4119069999999998</v>
      </c>
      <c r="C3499">
        <f>LOG10(1.139808)</f>
        <v>5.6831700842463806E-2</v>
      </c>
      <c r="D3499">
        <f>LOG10(3.411907)</f>
        <v>0.53299718488198344</v>
      </c>
    </row>
    <row r="3500" spans="1:4">
      <c r="A3500">
        <v>1.1280429999999999</v>
      </c>
      <c r="B3500">
        <v>3.2304179999999998</v>
      </c>
      <c r="C3500">
        <f>LOG10(1.128043)</f>
        <v>5.2325654883836323E-2</v>
      </c>
      <c r="D3500">
        <f>LOG10(3.230418)</f>
        <v>0.5092587215100689</v>
      </c>
    </row>
    <row r="3501" spans="1:4">
      <c r="A3501">
        <v>1.1275230000000001</v>
      </c>
      <c r="B3501">
        <v>3.3370280000000001</v>
      </c>
      <c r="C3501">
        <f>LOG10(1.127523)</f>
        <v>5.2125409681886503E-2</v>
      </c>
      <c r="D3501">
        <f>LOG10(3.337028)</f>
        <v>0.52335985070468094</v>
      </c>
    </row>
    <row r="3502" spans="1:4">
      <c r="A3502">
        <v>1</v>
      </c>
      <c r="B3502">
        <v>1.4424459999999999</v>
      </c>
      <c r="C3502">
        <f>LOG10(1)</f>
        <v>0</v>
      </c>
      <c r="D3502">
        <f>LOG10(1.442446)</f>
        <v>0.1590995637057622</v>
      </c>
    </row>
    <row r="3503" spans="1:4">
      <c r="A3503">
        <v>1.0055510000000001</v>
      </c>
      <c r="B3503">
        <v>7.3074909999999997</v>
      </c>
      <c r="C3503">
        <f>LOG10(1.005551)</f>
        <v>2.4041022394594319E-3</v>
      </c>
      <c r="D3503">
        <f>LOG10(7.307491)</f>
        <v>0.86376828914712789</v>
      </c>
    </row>
    <row r="3504" spans="1:4">
      <c r="A3504">
        <v>1.0120400000000001</v>
      </c>
      <c r="B3504">
        <v>8.0590379999999993</v>
      </c>
      <c r="C3504">
        <f>LOG10(1.01204)</f>
        <v>5.1976779543429609E-3</v>
      </c>
      <c r="D3504">
        <f>LOG10(8.059038)</f>
        <v>0.90628320356361647</v>
      </c>
    </row>
    <row r="3505" spans="1:4">
      <c r="A3505">
        <v>1.0055320000000001</v>
      </c>
      <c r="B3505">
        <v>7.8900309999999996</v>
      </c>
      <c r="C3505">
        <f>LOG10(1.005532)</f>
        <v>2.3958961185222018E-3</v>
      </c>
      <c r="D3505">
        <f>LOG10(7.890031)</f>
        <v>0.89707870955954583</v>
      </c>
    </row>
    <row r="3506" spans="1:4">
      <c r="A3506">
        <v>1.007997</v>
      </c>
      <c r="B3506">
        <v>8.4539749999999998</v>
      </c>
      <c r="C3506">
        <f>LOG10(1.007997)</f>
        <v>3.4592395644821661E-3</v>
      </c>
      <c r="D3506">
        <f>LOG10(8.453975)</f>
        <v>0.92706095920413079</v>
      </c>
    </row>
    <row r="3507" spans="1:4">
      <c r="A3507">
        <v>1.0070859999999999</v>
      </c>
      <c r="B3507">
        <v>8.2753029999999992</v>
      </c>
      <c r="C3507">
        <f>LOG10(1.007086)</f>
        <v>3.0665586674982945E-3</v>
      </c>
      <c r="D3507">
        <f>LOG10(8.275303)</f>
        <v>0.91778390441982671</v>
      </c>
    </row>
    <row r="3508" spans="1:4">
      <c r="A3508">
        <v>1.0098739999999999</v>
      </c>
      <c r="B3508">
        <v>7.9536879999999996</v>
      </c>
      <c r="C3508">
        <f>LOG10(1.009874)</f>
        <v>4.267191091256067E-3</v>
      </c>
      <c r="D3508">
        <f>LOG10(7.953688)</f>
        <v>0.90056855087727461</v>
      </c>
    </row>
    <row r="3509" spans="1:4">
      <c r="A3509">
        <v>1.0097210000000001</v>
      </c>
      <c r="B3509">
        <v>6.8436409999999999</v>
      </c>
      <c r="C3509">
        <f>LOG10(1.009721)</f>
        <v>4.201388733993101E-3</v>
      </c>
      <c r="D3509">
        <f>LOG10(6.843641)</f>
        <v>0.83528721948269535</v>
      </c>
    </row>
    <row r="3510" spans="1:4">
      <c r="A3510">
        <v>1.0078100000000001</v>
      </c>
      <c r="B3510">
        <v>6.6919399999999998</v>
      </c>
      <c r="C3510">
        <f>LOG10(1.00781)</f>
        <v>3.3786633303993941E-3</v>
      </c>
      <c r="D3510">
        <f>LOG10(6.69194)</f>
        <v>0.82555203841920766</v>
      </c>
    </row>
    <row r="3511" spans="1:4">
      <c r="A3511">
        <v>1.0077100000000001</v>
      </c>
      <c r="B3511">
        <v>6.2986240000000002</v>
      </c>
      <c r="C3511">
        <f>LOG10(1.00771)</f>
        <v>3.335568299612345E-3</v>
      </c>
      <c r="D3511">
        <f>LOG10(6.298624)</f>
        <v>0.79924568366355975</v>
      </c>
    </row>
    <row r="3512" spans="1:4">
      <c r="A3512">
        <v>1.0137929999999999</v>
      </c>
      <c r="B3512">
        <v>7.5908730000000002</v>
      </c>
      <c r="C3512">
        <f>LOG10(1.013793)</f>
        <v>5.9492881974354626E-3</v>
      </c>
      <c r="D3512">
        <f>LOG10(7.590873)</f>
        <v>0.880291725471255</v>
      </c>
    </row>
    <row r="3513" spans="1:4">
      <c r="A3513">
        <v>1.0090479999999999</v>
      </c>
      <c r="B3513">
        <v>8.5558049999999994</v>
      </c>
      <c r="C3513">
        <f>LOG10(1.009048)</f>
        <v>3.9118259388950761E-3</v>
      </c>
      <c r="D3513">
        <f>LOG10(8.555805)</f>
        <v>0.9322608777708038</v>
      </c>
    </row>
    <row r="3514" spans="1:4">
      <c r="A3514">
        <v>1.007212</v>
      </c>
      <c r="B3514">
        <v>7.7233280000000004</v>
      </c>
      <c r="C3514">
        <f>LOG10(1.007212)</f>
        <v>3.1208913479569083E-3</v>
      </c>
      <c r="D3514">
        <f>LOG10(7.723328)</f>
        <v>0.88780447916897054</v>
      </c>
    </row>
    <row r="3515" spans="1:4">
      <c r="A3515">
        <v>1.0059610000000001</v>
      </c>
      <c r="B3515">
        <v>8.4182989999999993</v>
      </c>
      <c r="C3515">
        <f>LOG10(1.005961)</f>
        <v>2.5811439275489965E-3</v>
      </c>
      <c r="D3515">
        <f>LOG10(8.418299)</f>
        <v>0.92522434689834143</v>
      </c>
    </row>
    <row r="3516" spans="1:4">
      <c r="A3516">
        <v>1.010975</v>
      </c>
      <c r="B3516">
        <v>8.2527089999999994</v>
      </c>
      <c r="C3516">
        <f>LOG10(1.010975)</f>
        <v>4.7404162277071031E-3</v>
      </c>
      <c r="D3516">
        <f>LOG10(8.252709)</f>
        <v>0.91659653165698263</v>
      </c>
    </row>
    <row r="3517" spans="1:4">
      <c r="A3517">
        <v>1.0043599999999999</v>
      </c>
      <c r="B3517">
        <v>8.6547190000000001</v>
      </c>
      <c r="C3517">
        <f>LOG10(1.00436)</f>
        <v>1.8894080181857799E-3</v>
      </c>
      <c r="D3517">
        <f>LOG10(8.654719)</f>
        <v>0.93725297183815703</v>
      </c>
    </row>
    <row r="3518" spans="1:4">
      <c r="A3518">
        <v>1.006038</v>
      </c>
      <c r="B3518">
        <v>8.3460850000000004</v>
      </c>
      <c r="C3518">
        <f>LOG10(1.006038)</f>
        <v>2.6143851718267771E-3</v>
      </c>
      <c r="D3518">
        <f>LOG10(8.346085)</f>
        <v>0.92148280343379962</v>
      </c>
    </row>
    <row r="3519" spans="1:4">
      <c r="A3519">
        <v>1.007226</v>
      </c>
      <c r="B3519">
        <v>8.8965730000000001</v>
      </c>
      <c r="C3519">
        <f>LOG10(1.007226)</f>
        <v>3.126927892885792E-3</v>
      </c>
      <c r="D3519">
        <f>LOG10(8.896573)</f>
        <v>0.94922274666650241</v>
      </c>
    </row>
    <row r="3520" spans="1:4">
      <c r="A3520">
        <v>1.0063839999999999</v>
      </c>
      <c r="B3520">
        <v>8.1326959999999993</v>
      </c>
      <c r="C3520">
        <f>LOG10(1.006384)</f>
        <v>2.7637235235434248E-3</v>
      </c>
      <c r="D3520">
        <f>LOG10(8.132696)</f>
        <v>0.91023453868524284</v>
      </c>
    </row>
    <row r="3521" spans="1:4">
      <c r="A3521">
        <v>1.006775</v>
      </c>
      <c r="B3521">
        <v>7.9432219999999996</v>
      </c>
      <c r="C3521">
        <f>LOG10(1.006775)</f>
        <v>2.9324227117937095E-3</v>
      </c>
      <c r="D3521">
        <f>LOG10(7.943222)</f>
        <v>0.89999670053600467</v>
      </c>
    </row>
    <row r="3522" spans="1:4">
      <c r="A3522">
        <v>1.007061</v>
      </c>
      <c r="B3522">
        <v>7.9535999999999998</v>
      </c>
      <c r="C3522">
        <f>LOG10(1.007061)</f>
        <v>3.0557775655746379E-3</v>
      </c>
      <c r="D3522">
        <f>LOG10(7.9536)</f>
        <v>0.90056374579492393</v>
      </c>
    </row>
    <row r="3523" spans="1:4">
      <c r="A3523">
        <v>1.006065</v>
      </c>
      <c r="B3523">
        <v>8.3900129999999997</v>
      </c>
      <c r="C3523">
        <f>LOG10(1.006065)</f>
        <v>2.6260405900753372E-3</v>
      </c>
      <c r="D3523">
        <f>LOG10(8.390013)</f>
        <v>0.92376263375169076</v>
      </c>
    </row>
    <row r="3524" spans="1:4">
      <c r="A3524">
        <v>1.0102420000000001</v>
      </c>
      <c r="B3524">
        <v>8.9959810000000004</v>
      </c>
      <c r="C3524">
        <f>LOG10(1.010242)</f>
        <v>4.425419996040094E-3</v>
      </c>
      <c r="D3524">
        <f>LOG10(8.995981)</f>
        <v>0.95404852951105235</v>
      </c>
    </row>
    <row r="3525" spans="1:4">
      <c r="A3525">
        <v>1.0069699999999999</v>
      </c>
      <c r="B3525">
        <v>8.4077160000000006</v>
      </c>
      <c r="C3525">
        <f>LOG10(1.00697)</f>
        <v>3.0165320942982599E-3</v>
      </c>
      <c r="D3525">
        <f>LOG10(8.407716)</f>
        <v>0.92467803345358845</v>
      </c>
    </row>
    <row r="3526" spans="1:4">
      <c r="A3526">
        <v>1.00837</v>
      </c>
      <c r="B3526">
        <v>8.6168099999999992</v>
      </c>
      <c r="C3526">
        <f>LOG10(1.00837)</f>
        <v>3.6199165083100255E-3</v>
      </c>
      <c r="D3526">
        <f>LOG10(8.61681)</f>
        <v>0.93534651689111215</v>
      </c>
    </row>
    <row r="3527" spans="1:4">
      <c r="A3527">
        <v>1.0082120000000001</v>
      </c>
      <c r="B3527">
        <v>8.5398259999999997</v>
      </c>
      <c r="C3527">
        <f>LOG10(1.008212)</f>
        <v>3.5518622181486799E-3</v>
      </c>
      <c r="D3527">
        <f>LOG10(8.539826)</f>
        <v>0.93144902197592638</v>
      </c>
    </row>
    <row r="3528" spans="1:4">
      <c r="A3528">
        <v>1.0094959999999999</v>
      </c>
      <c r="B3528">
        <v>7.7853870000000001</v>
      </c>
      <c r="C3528">
        <f>LOG10(1.009496)</f>
        <v>4.1046024462065732E-3</v>
      </c>
      <c r="D3528">
        <f>LOG10(7.785387)</f>
        <v>0.89128020557300536</v>
      </c>
    </row>
    <row r="3529" spans="1:4">
      <c r="A3529">
        <v>1.00596</v>
      </c>
      <c r="B3529">
        <v>8.0294380000000007</v>
      </c>
      <c r="C3529">
        <f>LOG10(1.00596)</f>
        <v>2.580712206341291E-3</v>
      </c>
      <c r="D3529">
        <f>LOG10(8.029438)</f>
        <v>0.90468514900965469</v>
      </c>
    </row>
    <row r="3530" spans="1:4">
      <c r="A3530">
        <v>1.0250220000000001</v>
      </c>
      <c r="B3530">
        <v>8.7757109999999994</v>
      </c>
      <c r="C3530">
        <f>LOG10(1.025022)</f>
        <v>1.0733186734277997E-2</v>
      </c>
      <c r="D3530">
        <f>LOG10(8.775711)</f>
        <v>0.94328231270112362</v>
      </c>
    </row>
    <row r="3531" spans="1:4">
      <c r="A3531">
        <v>1.0107219999999999</v>
      </c>
      <c r="B3531">
        <v>9.4398099999999996</v>
      </c>
      <c r="C3531">
        <f>LOG10(1.010722)</f>
        <v>4.6317189258907312E-3</v>
      </c>
      <c r="D3531">
        <f>LOG10(9.43981)</f>
        <v>0.97496325311353749</v>
      </c>
    </row>
    <row r="3532" spans="1:4">
      <c r="A3532">
        <v>1.007552</v>
      </c>
      <c r="B3532">
        <v>8.2068969999999997</v>
      </c>
      <c r="C3532">
        <f>LOG10(1.007552)</f>
        <v>3.2674694337761871E-3</v>
      </c>
      <c r="D3532">
        <f>LOG10(8.206897)</f>
        <v>0.91417898287952271</v>
      </c>
    </row>
    <row r="3533" spans="1:4">
      <c r="A3533">
        <v>1.006213</v>
      </c>
      <c r="B3533">
        <v>8.4910929999999993</v>
      </c>
      <c r="C3533">
        <f>LOG10(1.006213)</f>
        <v>2.6899239933005324E-3</v>
      </c>
      <c r="D3533">
        <f>LOG10(8.491093)</f>
        <v>0.92896359758388369</v>
      </c>
    </row>
    <row r="3534" spans="1:4">
      <c r="A3534">
        <v>1.0131349999999999</v>
      </c>
      <c r="B3534">
        <v>8.2366849999999996</v>
      </c>
      <c r="C3534">
        <f>LOG10(1.013135)</f>
        <v>5.6673188535507736E-3</v>
      </c>
      <c r="D3534">
        <f>LOG10(8.236685)</f>
        <v>0.91575245734247046</v>
      </c>
    </row>
    <row r="3535" spans="1:4">
      <c r="A3535">
        <v>1.0081709999999999</v>
      </c>
      <c r="B3535">
        <v>7.9477830000000003</v>
      </c>
      <c r="C3535">
        <f>LOG10(1.008171)</f>
        <v>3.5342008177494848E-3</v>
      </c>
      <c r="D3535">
        <f>LOG10(7.947783)</f>
        <v>0.90024600096556884</v>
      </c>
    </row>
    <row r="3536" spans="1:4">
      <c r="A3536">
        <v>1.0083089999999999</v>
      </c>
      <c r="B3536">
        <v>8.249072</v>
      </c>
      <c r="C3536">
        <f>LOG10(1.008309)</f>
        <v>3.5936436474291256E-3</v>
      </c>
      <c r="D3536">
        <f>LOG10(8.249072)</f>
        <v>0.91640509425319483</v>
      </c>
    </row>
    <row r="3537" spans="1:4">
      <c r="A3537">
        <v>1.010054</v>
      </c>
      <c r="B3537">
        <v>7.5240960000000001</v>
      </c>
      <c r="C3537">
        <f>LOG10(1.010054)</f>
        <v>4.3445928669129602E-3</v>
      </c>
      <c r="D3537">
        <f>LOG10(7.524096)</f>
        <v>0.87645432808039947</v>
      </c>
    </row>
    <row r="3538" spans="1:4">
      <c r="A3538">
        <v>1.01796</v>
      </c>
      <c r="B3538">
        <v>8.105575</v>
      </c>
      <c r="C3538">
        <f>LOG10(1.01796)</f>
        <v>7.7307130492886601E-3</v>
      </c>
      <c r="D3538">
        <f>LOG10(8.105575)</f>
        <v>0.90878382861938711</v>
      </c>
    </row>
    <row r="3539" spans="1:4">
      <c r="A3539">
        <v>1.0074160000000001</v>
      </c>
      <c r="B3539">
        <v>7.3146519999999997</v>
      </c>
      <c r="C3539">
        <f>LOG10(1.007416)</f>
        <v>3.2088441358771687E-3</v>
      </c>
      <c r="D3539">
        <f>LOG10(7.314652)</f>
        <v>0.86419366907037776</v>
      </c>
    </row>
    <row r="3540" spans="1:4">
      <c r="A3540">
        <v>1.0070730000000001</v>
      </c>
      <c r="B3540">
        <v>8.2183159999999997</v>
      </c>
      <c r="C3540">
        <f>LOG10(1.007073)</f>
        <v>3.0609525278988466E-3</v>
      </c>
      <c r="D3540">
        <f>LOG10(8.218316)</f>
        <v>0.91478283617357914</v>
      </c>
    </row>
    <row r="3541" spans="1:4">
      <c r="A3541">
        <v>1.0041869999999999</v>
      </c>
      <c r="B3541">
        <v>8.0795919999999999</v>
      </c>
      <c r="C3541">
        <f>LOG10(1.004187)</f>
        <v>1.8145947869743124E-3</v>
      </c>
      <c r="D3541">
        <f>LOG10(8.079592)</f>
        <v>0.90738943049953291</v>
      </c>
    </row>
    <row r="3542" spans="1:4">
      <c r="A3542">
        <v>1.009361</v>
      </c>
      <c r="B3542">
        <v>7.5906159999999998</v>
      </c>
      <c r="C3542">
        <f>LOG10(1.009361)</f>
        <v>4.0465203184042323E-3</v>
      </c>
      <c r="D3542">
        <f>LOG10(7.590616)</f>
        <v>0.88027702155362741</v>
      </c>
    </row>
    <row r="3543" spans="1:4">
      <c r="A3543">
        <v>1.005803</v>
      </c>
      <c r="B3543">
        <v>8.1947200000000002</v>
      </c>
      <c r="C3543">
        <f>LOG10(1.005803)</f>
        <v>2.5129266532744362E-3</v>
      </c>
      <c r="D3543">
        <f>LOG10(8.19472)</f>
        <v>0.91353411903740422</v>
      </c>
    </row>
    <row r="3544" spans="1:4">
      <c r="A3544">
        <v>1.0074590000000001</v>
      </c>
      <c r="B3544">
        <v>7.9063220000000003</v>
      </c>
      <c r="C3544">
        <f>LOG10(1.007459)</f>
        <v>3.2273809311867351E-3</v>
      </c>
      <c r="D3544">
        <f>LOG10(7.906322)</f>
        <v>0.89797449783587313</v>
      </c>
    </row>
    <row r="3545" spans="1:4">
      <c r="A3545">
        <v>1.007223</v>
      </c>
      <c r="B3545">
        <v>7.183681</v>
      </c>
      <c r="C3545">
        <f>LOG10(1.007223)</f>
        <v>3.1256343546073842E-3</v>
      </c>
      <c r="D3545">
        <f>LOG10(7.183681)</f>
        <v>0.85634703871831008</v>
      </c>
    </row>
    <row r="3546" spans="1:4">
      <c r="A3546">
        <v>1.00725</v>
      </c>
      <c r="B3546">
        <v>7.7128050000000004</v>
      </c>
      <c r="C3546">
        <f>LOG10(1.00725)</f>
        <v>3.1372760604153941E-3</v>
      </c>
      <c r="D3546">
        <f>LOG10(7.712805)</f>
        <v>0.88721235139434951</v>
      </c>
    </row>
    <row r="3547" spans="1:4">
      <c r="A3547">
        <v>1.00661</v>
      </c>
      <c r="B3547">
        <v>7.6359899999999996</v>
      </c>
      <c r="C3547">
        <f>LOG10(1.00661)</f>
        <v>2.8612405090113857E-3</v>
      </c>
      <c r="D3547">
        <f>LOG10(7.63599)</f>
        <v>0.88286535097520924</v>
      </c>
    </row>
    <row r="3548" spans="1:4">
      <c r="A3548">
        <v>1.0076799999999999</v>
      </c>
      <c r="B3548">
        <v>7.3150630000000003</v>
      </c>
      <c r="C3548">
        <f>LOG10(1.00768)</f>
        <v>3.3226389564498353E-3</v>
      </c>
      <c r="D3548">
        <f>LOG10(7.315063)</f>
        <v>0.86421807078047386</v>
      </c>
    </row>
    <row r="3549" spans="1:4">
      <c r="A3549">
        <v>1.0135209999999999</v>
      </c>
      <c r="B3549">
        <v>7.614242</v>
      </c>
      <c r="C3549">
        <f>LOG10(1.013521)</f>
        <v>5.8327516374486891E-3</v>
      </c>
      <c r="D3549">
        <f>LOG10(7.614242)</f>
        <v>0.88162667568224151</v>
      </c>
    </row>
    <row r="3550" spans="1:4">
      <c r="A3550">
        <v>1.0077700000000001</v>
      </c>
      <c r="B3550">
        <v>7.6068579999999999</v>
      </c>
      <c r="C3550">
        <f>LOG10(1.00777)</f>
        <v>3.3614258312394223E-3</v>
      </c>
      <c r="D3550">
        <f>LOG10(7.606858)</f>
        <v>0.88120530919677897</v>
      </c>
    </row>
    <row r="3551" spans="1:4">
      <c r="A3551">
        <v>1.0075460000000001</v>
      </c>
      <c r="B3551">
        <v>6.6983670000000002</v>
      </c>
      <c r="C3551">
        <f>LOG10(1.007546)</f>
        <v>3.2648831904357584E-3</v>
      </c>
      <c r="D3551">
        <f>LOG10(6.698367)</f>
        <v>0.82596893862165022</v>
      </c>
    </row>
    <row r="3552" spans="1:4">
      <c r="A3552">
        <v>1.0056700000000001</v>
      </c>
      <c r="B3552">
        <v>7.140466</v>
      </c>
      <c r="C3552">
        <f>LOG10(1.00567)</f>
        <v>2.4554949440968514E-3</v>
      </c>
      <c r="D3552">
        <f>LOG10(7.140466)</f>
        <v>0.85372655556112353</v>
      </c>
    </row>
    <row r="3553" spans="1:4">
      <c r="A3553">
        <v>1.005403</v>
      </c>
      <c r="B3553">
        <v>6.8780549999999998</v>
      </c>
      <c r="C3553">
        <f>LOG10(1.005403)</f>
        <v>2.3401767757862228E-3</v>
      </c>
      <c r="D3553">
        <f>LOG10(6.878055)</f>
        <v>0.83746564431254333</v>
      </c>
    </row>
    <row r="3554" spans="1:4">
      <c r="A3554">
        <v>1.004945</v>
      </c>
      <c r="B3554">
        <v>6.562589</v>
      </c>
      <c r="C3554">
        <f>LOG10(1.004945)</f>
        <v>2.142293746427151E-3</v>
      </c>
      <c r="D3554">
        <f>LOG10(6.562589)</f>
        <v>0.81707520623447694</v>
      </c>
    </row>
    <row r="3555" spans="1:4">
      <c r="A3555">
        <v>1.0082420000000001</v>
      </c>
      <c r="B3555">
        <v>6.2877239999999999</v>
      </c>
      <c r="C3555">
        <f>LOG10(1.008242)</f>
        <v>3.5647847390274582E-3</v>
      </c>
      <c r="D3555">
        <f>LOG10(6.287724)</f>
        <v>0.7984934700689289</v>
      </c>
    </row>
    <row r="3556" spans="1:4">
      <c r="A3556">
        <v>1.007989</v>
      </c>
      <c r="B3556">
        <v>6.7814649999999999</v>
      </c>
      <c r="C3556">
        <f>LOG10(1.007989)</f>
        <v>3.4557927589435886E-3</v>
      </c>
      <c r="D3556">
        <f>LOG10(6.781465)</f>
        <v>0.83132352464691839</v>
      </c>
    </row>
    <row r="3557" spans="1:4">
      <c r="A3557">
        <v>1.0086010000000001</v>
      </c>
      <c r="B3557">
        <v>6.3324389999999999</v>
      </c>
      <c r="C3557">
        <f>LOG10(1.008601)</f>
        <v>3.7193944142970949E-3</v>
      </c>
      <c r="D3557">
        <f>LOG10(6.332439)</f>
        <v>0.80157101495038763</v>
      </c>
    </row>
    <row r="3558" spans="1:4">
      <c r="A3558">
        <v>1.0075149999999999</v>
      </c>
      <c r="B3558">
        <v>6.9015279999999999</v>
      </c>
      <c r="C3558">
        <f>LOG10(1.007515)</f>
        <v>3.2515206878215817E-3</v>
      </c>
      <c r="D3558">
        <f>LOG10(6.901528)</f>
        <v>0.83894525428828526</v>
      </c>
    </row>
    <row r="3559" spans="1:4">
      <c r="A3559">
        <v>1.0069969999999999</v>
      </c>
      <c r="B3559">
        <v>6.3180690000000004</v>
      </c>
      <c r="C3559">
        <f>LOG10(1.006997)</f>
        <v>3.0281767250316233E-3</v>
      </c>
      <c r="D3559">
        <f>LOG10(6.318069)</f>
        <v>0.80058436455039306</v>
      </c>
    </row>
    <row r="3560" spans="1:4">
      <c r="A3560">
        <v>1.0099590000000001</v>
      </c>
      <c r="B3560">
        <v>7.0161889999999998</v>
      </c>
      <c r="C3560">
        <f>LOG10(1.009959)</f>
        <v>4.3037436488027724E-3</v>
      </c>
      <c r="D3560">
        <f>LOG10(7.016189)</f>
        <v>0.84610127941036783</v>
      </c>
    </row>
    <row r="3561" spans="1:4">
      <c r="A3561">
        <v>1.0065980000000001</v>
      </c>
      <c r="B3561">
        <v>6.5771509999999997</v>
      </c>
      <c r="C3561">
        <f>LOG10(1.006598)</f>
        <v>2.8560631663991391E-3</v>
      </c>
      <c r="D3561">
        <f>LOG10(6.577151)</f>
        <v>0.81803781262312691</v>
      </c>
    </row>
    <row r="3562" spans="1:4">
      <c r="A3562">
        <v>1.0091760000000001</v>
      </c>
      <c r="B3562">
        <v>6.193079</v>
      </c>
      <c r="C3562">
        <f>LOG10(1.009176)</f>
        <v>3.9669136732181304E-3</v>
      </c>
      <c r="D3562">
        <f>LOG10(6.193079)</f>
        <v>0.79190661998135259</v>
      </c>
    </row>
    <row r="3563" spans="1:4">
      <c r="A3563">
        <v>1.0051479999999999</v>
      </c>
      <c r="B3563">
        <v>6.2724229999999999</v>
      </c>
      <c r="C3563">
        <f>LOG10(1.005148)</f>
        <v>2.2300128520865029E-3</v>
      </c>
      <c r="D3563">
        <f>LOG10(6.272423)</f>
        <v>0.79743533863864269</v>
      </c>
    </row>
    <row r="3564" spans="1:4">
      <c r="A3564">
        <v>1.009382</v>
      </c>
      <c r="B3564">
        <v>6.1366829999999997</v>
      </c>
      <c r="C3564">
        <f>LOG10(1.009382)</f>
        <v>4.0555558262626553E-3</v>
      </c>
      <c r="D3564">
        <f>LOG10(6.136683)</f>
        <v>0.78793368969968591</v>
      </c>
    </row>
    <row r="3565" spans="1:4">
      <c r="A3565">
        <v>1.0060990000000001</v>
      </c>
      <c r="B3565">
        <v>6.877974</v>
      </c>
      <c r="C3565">
        <f>LOG10(1.006099)</f>
        <v>2.6407173384777089E-3</v>
      </c>
      <c r="D3565">
        <f>LOG10(6.877974)</f>
        <v>0.83746052977650476</v>
      </c>
    </row>
    <row r="3566" spans="1:4">
      <c r="A3566">
        <v>1.0058149999999999</v>
      </c>
      <c r="B3566">
        <v>6.9631290000000003</v>
      </c>
      <c r="C3566">
        <f>LOG10(1.005815)</f>
        <v>2.5181080881023785E-3</v>
      </c>
      <c r="D3566">
        <f>LOG10(6.963129)</f>
        <v>0.84280444105655217</v>
      </c>
    </row>
    <row r="3567" spans="1:4">
      <c r="A3567">
        <v>1.0062759999999999</v>
      </c>
      <c r="B3567">
        <v>6.2983580000000003</v>
      </c>
      <c r="C3567">
        <f>LOG10(1.006276)</f>
        <v>2.7171147529705822E-3</v>
      </c>
      <c r="D3567">
        <f>LOG10(6.298358)</f>
        <v>0.79922734239226101</v>
      </c>
    </row>
    <row r="3568" spans="1:4">
      <c r="A3568">
        <v>1.012702</v>
      </c>
      <c r="B3568">
        <v>6.5840579999999997</v>
      </c>
      <c r="C3568">
        <f>LOG10(1.012702)</f>
        <v>5.4816676747760727E-3</v>
      </c>
      <c r="D3568">
        <f>LOG10(6.584058)</f>
        <v>0.81849364798929891</v>
      </c>
    </row>
    <row r="3569" spans="1:4">
      <c r="A3569">
        <v>1.004837</v>
      </c>
      <c r="B3569">
        <v>6.551336</v>
      </c>
      <c r="C3569">
        <f>LOG10(1.004837)</f>
        <v>2.0956182322761658E-3</v>
      </c>
      <c r="D3569">
        <f>LOG10(6.551336)</f>
        <v>0.8163298737723248</v>
      </c>
    </row>
    <row r="3570" spans="1:4">
      <c r="A3570">
        <v>1.0064029999999999</v>
      </c>
      <c r="B3570">
        <v>6.2067329999999998</v>
      </c>
      <c r="C3570">
        <f>LOG10(1.006403)</f>
        <v>2.7719226972825269E-3</v>
      </c>
      <c r="D3570">
        <f>LOG10(6.206733)</f>
        <v>0.79286306339397894</v>
      </c>
    </row>
    <row r="3571" spans="1:4">
      <c r="A3571">
        <v>1.010745</v>
      </c>
      <c r="B3571">
        <v>5.8651759999999999</v>
      </c>
      <c r="C3571">
        <f>LOG10(1.010745)</f>
        <v>4.6416016230450769E-3</v>
      </c>
      <c r="D3571">
        <f>LOG10(5.865176)</f>
        <v>0.76828104879289072</v>
      </c>
    </row>
    <row r="3572" spans="1:4">
      <c r="A3572">
        <v>1.0083519999999999</v>
      </c>
      <c r="B3572">
        <v>5.968623</v>
      </c>
      <c r="C3572">
        <f>LOG10(1.008352)</f>
        <v>3.6121640261389601E-3</v>
      </c>
      <c r="D3572">
        <f>LOG10(5.968623)</f>
        <v>0.77587414813435662</v>
      </c>
    </row>
    <row r="3573" spans="1:4">
      <c r="A3573">
        <v>1.004869</v>
      </c>
      <c r="B3573">
        <v>6.2378939999999998</v>
      </c>
      <c r="C3573">
        <f>LOG10(1.004869)</f>
        <v>2.1094485372283255E-3</v>
      </c>
      <c r="D3573">
        <f>LOG10(6.237894)</f>
        <v>0.79503799055478708</v>
      </c>
    </row>
    <row r="3574" spans="1:4">
      <c r="A3574">
        <v>1.0066280000000001</v>
      </c>
      <c r="B3574">
        <v>6.1608450000000001</v>
      </c>
      <c r="C3574">
        <f>LOG10(1.006628)</f>
        <v>2.869006407205736E-3</v>
      </c>
      <c r="D3574">
        <f>LOG10(6.160845)</f>
        <v>0.78964028256528407</v>
      </c>
    </row>
    <row r="3575" spans="1:4">
      <c r="A3575">
        <v>1.005026</v>
      </c>
      <c r="B3575">
        <v>6.0847189999999998</v>
      </c>
      <c r="C3575">
        <f>LOG10(1.005026)</f>
        <v>2.1772970903094313E-3</v>
      </c>
      <c r="D3575">
        <f>LOG10(6.084719)</f>
        <v>0.7842405267620941</v>
      </c>
    </row>
    <row r="3576" spans="1:4">
      <c r="A3576">
        <v>1.0091349999999999</v>
      </c>
      <c r="B3576">
        <v>5.7581860000000002</v>
      </c>
      <c r="C3576">
        <f>LOG10(1.009135)</f>
        <v>3.9492691439453271E-3</v>
      </c>
      <c r="D3576">
        <f>LOG10(5.758186)</f>
        <v>0.76028568927929285</v>
      </c>
    </row>
    <row r="3577" spans="1:4">
      <c r="A3577">
        <v>1.005593</v>
      </c>
      <c r="B3577">
        <v>6.1786659999999998</v>
      </c>
      <c r="C3577">
        <f>LOG10(1.005593)</f>
        <v>2.4222415355441818E-3</v>
      </c>
      <c r="D3577">
        <f>LOG10(6.178666)</f>
        <v>0.79089471920268561</v>
      </c>
    </row>
    <row r="3578" spans="1:4">
      <c r="A3578">
        <v>1.00736</v>
      </c>
      <c r="B3578">
        <v>6.5708320000000002</v>
      </c>
      <c r="C3578">
        <f>LOG10(1.00736)</f>
        <v>3.1847020069329392E-3</v>
      </c>
      <c r="D3578">
        <f>LOG10(6.570832)</f>
        <v>0.81762036349158451</v>
      </c>
    </row>
    <row r="3579" spans="1:4">
      <c r="A3579">
        <v>1.012786</v>
      </c>
      <c r="B3579">
        <v>6.4079519999999999</v>
      </c>
      <c r="C3579">
        <f>LOG10(1.012786)</f>
        <v>5.5176893510346095E-3</v>
      </c>
      <c r="D3579">
        <f>LOG10(6.407952)</f>
        <v>0.80671924992181054</v>
      </c>
    </row>
    <row r="3580" spans="1:4">
      <c r="A3580">
        <v>1.0074110000000001</v>
      </c>
      <c r="B3580">
        <v>6.3750159999999996</v>
      </c>
      <c r="C3580">
        <f>LOG10(1.007411)</f>
        <v>3.2066886432125033E-3</v>
      </c>
      <c r="D3580">
        <f>LOG10(6.375016)</f>
        <v>0.80448127909861866</v>
      </c>
    </row>
    <row r="3581" spans="1:4">
      <c r="A3581">
        <v>1.007414</v>
      </c>
      <c r="B3581">
        <v>6.8745289999999999</v>
      </c>
      <c r="C3581">
        <f>LOG10(1.007414)</f>
        <v>3.2079819400950612E-3</v>
      </c>
      <c r="D3581">
        <f>LOG10(6.874529)</f>
        <v>0.83724294836293212</v>
      </c>
    </row>
    <row r="3582" spans="1:4">
      <c r="A3582">
        <v>1.006794</v>
      </c>
      <c r="B3582">
        <v>7.1676339999999996</v>
      </c>
      <c r="C3582">
        <f>LOG10(1.006794)</f>
        <v>2.9406187012595815E-3</v>
      </c>
      <c r="D3582">
        <f>LOG10(7.167634)</f>
        <v>0.85537582089533903</v>
      </c>
    </row>
    <row r="3583" spans="1:4">
      <c r="A3583">
        <v>1.0097130000000001</v>
      </c>
      <c r="B3583">
        <v>6.9907360000000001</v>
      </c>
      <c r="C3583">
        <f>LOG10(1.009713)</f>
        <v>4.1979478135616855E-3</v>
      </c>
      <c r="D3583">
        <f>LOG10(6.990736)</f>
        <v>0.84452290162720522</v>
      </c>
    </row>
    <row r="3584" spans="1:4">
      <c r="A3584">
        <v>1.0089939999999999</v>
      </c>
      <c r="B3584">
        <v>7.3387099999999998</v>
      </c>
      <c r="C3584">
        <f>LOG10(1.008994)</f>
        <v>3.888583705058147E-3</v>
      </c>
      <c r="D3584">
        <f>LOG10(7.33871)</f>
        <v>0.86561972624872541</v>
      </c>
    </row>
    <row r="3585" spans="1:4">
      <c r="A3585">
        <v>1.0079320000000001</v>
      </c>
      <c r="B3585">
        <v>7.2148500000000002</v>
      </c>
      <c r="C3585">
        <f>LOG10(1.007932)</f>
        <v>3.4312334776274347E-3</v>
      </c>
      <c r="D3585">
        <f>LOG10(7.21485)</f>
        <v>0.85822730634434752</v>
      </c>
    </row>
    <row r="3586" spans="1:4">
      <c r="A3586">
        <v>1.006362</v>
      </c>
      <c r="B3586">
        <v>6.4073840000000004</v>
      </c>
      <c r="C3586">
        <f>LOG10(1.006362)</f>
        <v>2.7542295500343605E-3</v>
      </c>
      <c r="D3586">
        <f>LOG10(6.407384)</f>
        <v>0.80668075241134618</v>
      </c>
    </row>
    <row r="3587" spans="1:4">
      <c r="A3587">
        <v>1.0082169999999999</v>
      </c>
      <c r="B3587">
        <v>6.9038130000000004</v>
      </c>
      <c r="C3587">
        <f>LOG10(1.008217)</f>
        <v>3.5540159983308123E-3</v>
      </c>
      <c r="D3587">
        <f>LOG10(6.903813)</f>
        <v>0.83908901935721203</v>
      </c>
    </row>
    <row r="3588" spans="1:4">
      <c r="A3588">
        <v>1.006275</v>
      </c>
      <c r="B3588">
        <v>6.7419070000000003</v>
      </c>
      <c r="C3588">
        <f>LOG10(1.006275)</f>
        <v>2.716683166907056E-3</v>
      </c>
      <c r="D3588">
        <f>LOG10(6.741907)</f>
        <v>0.82878275743066843</v>
      </c>
    </row>
    <row r="3589" spans="1:4">
      <c r="A3589">
        <v>1.0061610000000001</v>
      </c>
      <c r="B3589">
        <v>6.6634200000000003</v>
      </c>
      <c r="C3589">
        <f>LOG10(1.006161)</f>
        <v>2.6674795440441118E-3</v>
      </c>
      <c r="D3589">
        <f>LOG10(6.66342)</f>
        <v>0.82369718801431124</v>
      </c>
    </row>
    <row r="3590" spans="1:4">
      <c r="A3590">
        <v>1.008643</v>
      </c>
      <c r="B3590">
        <v>6.4007800000000001</v>
      </c>
      <c r="C3590">
        <f>LOG10(1.008643)</f>
        <v>3.7374788584620231E-3</v>
      </c>
      <c r="D3590">
        <f>LOG10(6.40078)</f>
        <v>0.80623290039873119</v>
      </c>
    </row>
    <row r="3591" spans="1:4">
      <c r="A3591">
        <v>1.007388</v>
      </c>
      <c r="B3591">
        <v>6.0728140000000002</v>
      </c>
      <c r="C3591">
        <f>LOG10(1.007388)</f>
        <v>3.1967732391605308E-3</v>
      </c>
      <c r="D3591">
        <f>LOG10(6.072814)</f>
        <v>0.78338997962236923</v>
      </c>
    </row>
    <row r="3592" spans="1:4">
      <c r="A3592">
        <v>1.004632</v>
      </c>
      <c r="B3592">
        <v>6.1786079999999997</v>
      </c>
      <c r="C3592">
        <f>LOG10(1.004632)</f>
        <v>2.0070073912041896E-3</v>
      </c>
      <c r="D3592">
        <f>LOG10(6.178608)</f>
        <v>0.79089064240064155</v>
      </c>
    </row>
    <row r="3593" spans="1:4">
      <c r="A3593">
        <v>1.0039849999999999</v>
      </c>
      <c r="B3593">
        <v>6.3258260000000002</v>
      </c>
      <c r="C3593">
        <f>LOG10(1.003985)</f>
        <v>1.7272242971553605E-3</v>
      </c>
      <c r="D3593">
        <f>LOG10(6.325826)</f>
        <v>0.80111724191433431</v>
      </c>
    </row>
    <row r="3594" spans="1:4">
      <c r="A3594">
        <v>1.0036430000000001</v>
      </c>
      <c r="B3594">
        <v>6.3689830000000001</v>
      </c>
      <c r="C3594">
        <f>LOG10(1.003643)</f>
        <v>1.5792599190458973E-3</v>
      </c>
      <c r="D3594">
        <f>LOG10(6.368983)</f>
        <v>0.80407008967447491</v>
      </c>
    </row>
    <row r="3595" spans="1:4">
      <c r="A3595">
        <v>1.0066059999999999</v>
      </c>
      <c r="B3595">
        <v>6.2759410000000004</v>
      </c>
      <c r="C3595">
        <f>LOG10(1.006606)</f>
        <v>2.8595147349983981E-3</v>
      </c>
      <c r="D3595">
        <f>LOG10(6.275941)</f>
        <v>0.79767885214006251</v>
      </c>
    </row>
    <row r="3596" spans="1:4">
      <c r="A3596">
        <v>1.009989</v>
      </c>
      <c r="B3596">
        <v>6.6770990000000001</v>
      </c>
      <c r="C3596">
        <f>LOG10(1.009989)</f>
        <v>4.3166438169833831E-3</v>
      </c>
      <c r="D3596">
        <f>LOG10(6.677099)</f>
        <v>0.82458781547789872</v>
      </c>
    </row>
    <row r="3597" spans="1:4">
      <c r="A3597">
        <v>1.007565</v>
      </c>
      <c r="B3597">
        <v>6.9960769999999997</v>
      </c>
      <c r="C3597">
        <f>LOG10(1.007565)</f>
        <v>3.273072908179746E-3</v>
      </c>
      <c r="D3597">
        <f>LOG10(6.996077)</f>
        <v>0.84485458075104702</v>
      </c>
    </row>
    <row r="3598" spans="1:4">
      <c r="A3598">
        <v>1.008</v>
      </c>
      <c r="B3598">
        <v>6.1927110000000001</v>
      </c>
      <c r="C3598">
        <f>LOG10(1.008)</f>
        <v>3.4605321095064891E-3</v>
      </c>
      <c r="D3598">
        <f>LOG10(6.192711)</f>
        <v>0.79188081292836898</v>
      </c>
    </row>
    <row r="3599" spans="1:4">
      <c r="A3599">
        <v>1.0092540000000001</v>
      </c>
      <c r="B3599">
        <v>6.6685470000000002</v>
      </c>
      <c r="C3599">
        <f>LOG10(1.009254)</f>
        <v>4.0004793352478524E-3</v>
      </c>
      <c r="D3599">
        <f>LOG10(6.668547)</f>
        <v>0.82403121643164579</v>
      </c>
    </row>
    <row r="3600" spans="1:4">
      <c r="A3600">
        <v>1.0052970000000001</v>
      </c>
      <c r="B3600">
        <v>6.7890129999999997</v>
      </c>
      <c r="C3600">
        <f>LOG10(1.005297)</f>
        <v>2.2943865384317044E-3</v>
      </c>
      <c r="D3600">
        <f>LOG10(6.789013)</f>
        <v>0.83180664028771534</v>
      </c>
    </row>
    <row r="3601" spans="1:4">
      <c r="A3601">
        <v>1.0089539999999999</v>
      </c>
      <c r="B3601">
        <v>6.3958659999999998</v>
      </c>
      <c r="C3601">
        <f>LOG10(1.008954)</f>
        <v>3.8713664335740228E-3</v>
      </c>
      <c r="D3601">
        <f>LOG10(6.395866)</f>
        <v>0.80589935625146436</v>
      </c>
    </row>
    <row r="3602" spans="1:4">
      <c r="A3602">
        <v>1.011511</v>
      </c>
      <c r="B3602">
        <v>6.161778</v>
      </c>
      <c r="C3602">
        <f>LOG10(1.011511)</f>
        <v>4.97061000679883E-3</v>
      </c>
      <c r="D3602">
        <f>LOG10(6.161778)</f>
        <v>0.78970604725716664</v>
      </c>
    </row>
    <row r="3603" spans="1:4">
      <c r="A3603">
        <v>1.0071559999999999</v>
      </c>
      <c r="B3603">
        <v>6.5950439999999997</v>
      </c>
      <c r="C3603">
        <f>LOG10(1.007156)</f>
        <v>3.0967443291471655E-3</v>
      </c>
      <c r="D3603">
        <f>LOG10(6.595044)</f>
        <v>0.81921769736433392</v>
      </c>
    </row>
    <row r="3604" spans="1:4">
      <c r="A3604">
        <v>1.009226</v>
      </c>
      <c r="B3604">
        <v>5.8388799999999996</v>
      </c>
      <c r="C3604">
        <f>LOG10(1.009226)</f>
        <v>3.9884304217147667E-3</v>
      </c>
      <c r="D3604">
        <f>LOG10(5.83888)</f>
        <v>0.76632954977203416</v>
      </c>
    </row>
    <row r="3605" spans="1:4">
      <c r="A3605">
        <v>1.005155</v>
      </c>
      <c r="B3605">
        <v>6.611383</v>
      </c>
      <c r="C3605">
        <f>LOG10(1.005155)</f>
        <v>2.2330373328472383E-3</v>
      </c>
      <c r="D3605">
        <f>LOG10(6.611383)</f>
        <v>0.82029231673872227</v>
      </c>
    </row>
    <row r="3606" spans="1:4">
      <c r="A3606">
        <v>1.010432</v>
      </c>
      <c r="B3606">
        <v>6.617712</v>
      </c>
      <c r="C3606">
        <f>LOG10(1.010432)</f>
        <v>4.507091707364891E-3</v>
      </c>
      <c r="D3606">
        <f>LOG10(6.617712)</f>
        <v>0.82070786292471165</v>
      </c>
    </row>
    <row r="3607" spans="1:4">
      <c r="A3607">
        <v>1.009733</v>
      </c>
      <c r="B3607">
        <v>7.1033179999999998</v>
      </c>
      <c r="C3607">
        <f>LOG10(1.009733)</f>
        <v>4.2065500635236151E-3</v>
      </c>
      <c r="D3607">
        <f>LOG10(7.103318)</f>
        <v>0.85146125752069013</v>
      </c>
    </row>
    <row r="3608" spans="1:4">
      <c r="A3608">
        <v>1.00552</v>
      </c>
      <c r="B3608">
        <v>6.9368090000000002</v>
      </c>
      <c r="C3608">
        <f>LOG10(1.00552)</f>
        <v>2.3907132254066044E-3</v>
      </c>
      <c r="D3608">
        <f>LOG10(6.936809)</f>
        <v>0.84115973668087562</v>
      </c>
    </row>
    <row r="3609" spans="1:4">
      <c r="A3609">
        <v>1.0069650000000001</v>
      </c>
      <c r="B3609">
        <v>6.8890840000000004</v>
      </c>
      <c r="C3609">
        <f>LOG10(1.006965)</f>
        <v>3.0143756469358193E-3</v>
      </c>
      <c r="D3609">
        <f>LOG10(6.889084)</f>
        <v>0.83816148022523107</v>
      </c>
    </row>
    <row r="3610" spans="1:4">
      <c r="A3610">
        <v>1.011879</v>
      </c>
      <c r="B3610">
        <v>6.953576</v>
      </c>
      <c r="C3610">
        <f>LOG10(1.011879)</f>
        <v>5.1285828850897502E-3</v>
      </c>
      <c r="D3610">
        <f>LOG10(6.953576)</f>
        <v>0.84220820569232402</v>
      </c>
    </row>
    <row r="3611" spans="1:4">
      <c r="A3611">
        <v>1.0064139999999999</v>
      </c>
      <c r="B3611">
        <v>6.9484079999999997</v>
      </c>
      <c r="C3611">
        <f>LOG10(1.006414)</f>
        <v>2.7766695165919583E-3</v>
      </c>
      <c r="D3611">
        <f>LOG10(6.948408)</f>
        <v>0.84188531163837232</v>
      </c>
    </row>
    <row r="3612" spans="1:4">
      <c r="A3612">
        <v>1.0134650000000001</v>
      </c>
      <c r="B3612">
        <v>7.5718529999999999</v>
      </c>
      <c r="C3612">
        <f>LOG10(1.013465)</f>
        <v>5.8087549339759488E-3</v>
      </c>
      <c r="D3612">
        <f>LOG10(7.571853)</f>
        <v>0.87920217397789979</v>
      </c>
    </row>
    <row r="3613" spans="1:4">
      <c r="A3613">
        <v>1.005879</v>
      </c>
      <c r="B3613">
        <v>7.6329609999999999</v>
      </c>
      <c r="C3613">
        <f>LOG10(1.005879)</f>
        <v>2.5457413631941304E-3</v>
      </c>
      <c r="D3613">
        <f>LOG10(7.632961)</f>
        <v>0.88269304339455867</v>
      </c>
    </row>
    <row r="3614" spans="1:4">
      <c r="A3614">
        <v>1.011566</v>
      </c>
      <c r="B3614">
        <v>7.4139280000000003</v>
      </c>
      <c r="C3614">
        <f>LOG10(1.011566)</f>
        <v>4.9942237362916048E-3</v>
      </c>
      <c r="D3614">
        <f>LOG10(7.413928)</f>
        <v>0.87004836408435537</v>
      </c>
    </row>
    <row r="3615" spans="1:4">
      <c r="A3615">
        <v>1.0069650000000001</v>
      </c>
      <c r="B3615">
        <v>7.747655</v>
      </c>
      <c r="C3615">
        <f>LOG10(1.006965)</f>
        <v>3.0143756469358193E-3</v>
      </c>
      <c r="D3615">
        <f>LOG10(7.747655)</f>
        <v>0.88917027351684885</v>
      </c>
    </row>
    <row r="3616" spans="1:4">
      <c r="A3616">
        <v>1.0078640000000001</v>
      </c>
      <c r="B3616">
        <v>7.1757049999999998</v>
      </c>
      <c r="C3616">
        <f>LOG10(1.007864)</f>
        <v>3.4019328690533487E-3</v>
      </c>
      <c r="D3616">
        <f>LOG10(7.175705)</f>
        <v>0.8558645761472915</v>
      </c>
    </row>
    <row r="3617" spans="1:4">
      <c r="A3617">
        <v>1.0058050000000001</v>
      </c>
      <c r="B3617">
        <v>7.4201410000000001</v>
      </c>
      <c r="C3617">
        <f>LOG10(1.005805)</f>
        <v>2.5137902300387282E-3</v>
      </c>
      <c r="D3617">
        <f>LOG10(7.420141)</f>
        <v>0.87041215796637694</v>
      </c>
    </row>
    <row r="3618" spans="1:4">
      <c r="A3618">
        <v>1.0127809999999999</v>
      </c>
      <c r="B3618">
        <v>7.369726</v>
      </c>
      <c r="C3618">
        <f>LOG10(1.012781)</f>
        <v>5.515545287264282E-3</v>
      </c>
      <c r="D3618">
        <f>LOG10(7.369726)</f>
        <v>0.86745134146826308</v>
      </c>
    </row>
    <row r="3619" spans="1:4">
      <c r="A3619">
        <v>1.0094959999999999</v>
      </c>
      <c r="B3619">
        <v>7.5578709999999996</v>
      </c>
      <c r="C3619">
        <f>LOG10(1.009496)</f>
        <v>4.1046024462065732E-3</v>
      </c>
      <c r="D3619">
        <f>LOG10(7.557871)</f>
        <v>0.87839947497630133</v>
      </c>
    </row>
    <row r="3620" spans="1:4">
      <c r="A3620">
        <v>1.006926</v>
      </c>
      <c r="B3620">
        <v>7.4085989999999997</v>
      </c>
      <c r="C3620">
        <f>LOG10(1.006926)</f>
        <v>2.9975549900120857E-3</v>
      </c>
      <c r="D3620">
        <f>LOG10(7.408599)</f>
        <v>0.86973608866818963</v>
      </c>
    </row>
    <row r="3621" spans="1:4">
      <c r="A3621">
        <v>1.008613</v>
      </c>
      <c r="B3621">
        <v>7.7357040000000001</v>
      </c>
      <c r="C3621">
        <f>LOG10(1.008613)</f>
        <v>3.7245614751868742E-3</v>
      </c>
      <c r="D3621">
        <f>LOG10(7.735704)</f>
        <v>0.88849984349143163</v>
      </c>
    </row>
    <row r="3622" spans="1:4">
      <c r="A3622">
        <v>1.0110539999999999</v>
      </c>
      <c r="B3622">
        <v>7.0371819999999996</v>
      </c>
      <c r="C3622">
        <f>LOG10(1.011054)</f>
        <v>4.7743517094314377E-3</v>
      </c>
      <c r="D3622">
        <f>LOG10(7.037182)</f>
        <v>0.84739878316802153</v>
      </c>
    </row>
    <row r="3623" spans="1:4">
      <c r="A3623">
        <v>1.0053380000000001</v>
      </c>
      <c r="B3623">
        <v>7.6384720000000002</v>
      </c>
      <c r="C3623">
        <f>LOG10(1.005338)</f>
        <v>2.312098429212958E-3</v>
      </c>
      <c r="D3623">
        <f>LOG10(7.638472)</f>
        <v>0.88300649099226136</v>
      </c>
    </row>
    <row r="3624" spans="1:4">
      <c r="A3624">
        <v>1.005287</v>
      </c>
      <c r="B3624">
        <v>7.5295550000000002</v>
      </c>
      <c r="C3624">
        <f>LOG10(1.005287)</f>
        <v>2.2900664554915272E-3</v>
      </c>
      <c r="D3624">
        <f>LOG10(7.529555)</f>
        <v>0.87676930996494484</v>
      </c>
    </row>
    <row r="3625" spans="1:4">
      <c r="A3625">
        <v>1.010297</v>
      </c>
      <c r="B3625">
        <v>7.6200570000000001</v>
      </c>
      <c r="C3625">
        <f>LOG10(1.010297)</f>
        <v>4.449063386749743E-3</v>
      </c>
      <c r="D3625">
        <f>LOG10(7.620057)</f>
        <v>0.88195821998696033</v>
      </c>
    </row>
    <row r="3626" spans="1:4">
      <c r="A3626">
        <v>1.0067870000000001</v>
      </c>
      <c r="B3626">
        <v>7.3924289999999999</v>
      </c>
      <c r="C3626">
        <f>LOG10(1.006787)</f>
        <v>2.9375991441885942E-3</v>
      </c>
      <c r="D3626">
        <f>LOG10(7.392429)</f>
        <v>0.86878716207116302</v>
      </c>
    </row>
    <row r="3627" spans="1:4">
      <c r="A3627">
        <v>1.010516</v>
      </c>
      <c r="B3627">
        <v>7.5732489999999997</v>
      </c>
      <c r="C3627">
        <f>LOG10(1.010516)</f>
        <v>4.543194305255455E-3</v>
      </c>
      <c r="D3627">
        <f>LOG10(7.573249)</f>
        <v>0.87928223617866319</v>
      </c>
    </row>
    <row r="3628" spans="1:4">
      <c r="A3628">
        <v>1.006497</v>
      </c>
      <c r="B3628">
        <v>6.855448</v>
      </c>
      <c r="C3628">
        <f>LOG10(1.006497)</f>
        <v>2.8124847533494931E-3</v>
      </c>
      <c r="D3628">
        <f>LOG10(6.855448)</f>
        <v>0.83603584097387984</v>
      </c>
    </row>
    <row r="3629" spans="1:4">
      <c r="A3629">
        <v>1.0094860000000001</v>
      </c>
      <c r="B3629">
        <v>7.4360160000000004</v>
      </c>
      <c r="C3629">
        <f>LOG10(1.009486)</f>
        <v>4.1003003327464236E-3</v>
      </c>
      <c r="D3629">
        <f>LOG10(7.436016)</f>
        <v>0.87134031556788605</v>
      </c>
    </row>
    <row r="3630" spans="1:4">
      <c r="A3630">
        <v>1.005315</v>
      </c>
      <c r="B3630">
        <v>8.0928059999999995</v>
      </c>
      <c r="C3630">
        <f>LOG10(1.005315)</f>
        <v>2.302162579432557E-3</v>
      </c>
      <c r="D3630">
        <f>LOG10(8.092806)</f>
        <v>0.90809912965001716</v>
      </c>
    </row>
    <row r="3631" spans="1:4">
      <c r="A3631">
        <v>1.00684</v>
      </c>
      <c r="B3631">
        <v>7.297612</v>
      </c>
      <c r="C3631">
        <f>LOG10(1.00684)</f>
        <v>2.9604609825987132E-3</v>
      </c>
      <c r="D3631">
        <f>LOG10(7.297612)</f>
        <v>0.86318076903980023</v>
      </c>
    </row>
    <row r="3632" spans="1:4">
      <c r="A3632">
        <v>1.0086580000000001</v>
      </c>
      <c r="B3632">
        <v>7.9784009999999999</v>
      </c>
      <c r="C3632">
        <f>LOG10(1.008658)</f>
        <v>3.743937406025041E-3</v>
      </c>
      <c r="D3632">
        <f>LOG10(7.978401)</f>
        <v>0.90191586046600769</v>
      </c>
    </row>
    <row r="3633" spans="1:4">
      <c r="A3633">
        <v>1.011881</v>
      </c>
      <c r="B3633">
        <v>7.0572619999999997</v>
      </c>
      <c r="C3633">
        <f>LOG10(1.011881)</f>
        <v>5.1294412763652287E-3</v>
      </c>
      <c r="D3633">
        <f>LOG10(7.057262)</f>
        <v>0.84863624086365108</v>
      </c>
    </row>
    <row r="3634" spans="1:4">
      <c r="A3634">
        <v>1.0084010000000001</v>
      </c>
      <c r="B3634">
        <v>6.7013790000000002</v>
      </c>
      <c r="C3634">
        <f>LOG10(1.008401)</f>
        <v>3.633267680991615E-3</v>
      </c>
      <c r="D3634">
        <f>LOG10(6.701379)</f>
        <v>0.82616418038243045</v>
      </c>
    </row>
    <row r="3635" spans="1:4">
      <c r="A3635">
        <v>1.006419</v>
      </c>
      <c r="B3635">
        <v>7.6906179999999997</v>
      </c>
      <c r="C3635">
        <f>LOG10(1.006419)</f>
        <v>2.7788271445814985E-3</v>
      </c>
      <c r="D3635">
        <f>LOG10(7.690618)</f>
        <v>0.88596124008826749</v>
      </c>
    </row>
    <row r="3636" spans="1:4">
      <c r="A3636">
        <v>1.0095000000000001</v>
      </c>
      <c r="B3636">
        <v>7.7493189999999998</v>
      </c>
      <c r="C3636">
        <f>LOG10(1.0095)</f>
        <v>4.1063232796581164E-3</v>
      </c>
      <c r="D3636">
        <f>LOG10(7.749319)</f>
        <v>0.8892635389531417</v>
      </c>
    </row>
    <row r="3637" spans="1:4">
      <c r="A3637">
        <v>1.0112540000000001</v>
      </c>
      <c r="B3637">
        <v>7.9610099999999999</v>
      </c>
      <c r="C3637">
        <f>LOG10(1.011254)</f>
        <v>4.8602524690228698E-3</v>
      </c>
      <c r="D3637">
        <f>LOG10(7.96101)</f>
        <v>0.90096816944633085</v>
      </c>
    </row>
    <row r="3638" spans="1:4">
      <c r="A3638">
        <v>1.0078959999999999</v>
      </c>
      <c r="B3638">
        <v>7.4965010000000003</v>
      </c>
      <c r="C3638">
        <f>LOG10(1.007896)</f>
        <v>3.4157216369840437E-3</v>
      </c>
      <c r="D3638">
        <f>LOG10(7.496501)</f>
        <v>0.87485860326187981</v>
      </c>
    </row>
    <row r="3639" spans="1:4">
      <c r="A3639">
        <v>1.0080549999999999</v>
      </c>
      <c r="B3639">
        <v>7.5560619999999998</v>
      </c>
      <c r="C3639">
        <f>LOG10(1.008055)</f>
        <v>3.4842280865612506E-3</v>
      </c>
      <c r="D3639">
        <f>LOG10(7.556062)</f>
        <v>0.87829551279497975</v>
      </c>
    </row>
    <row r="3640" spans="1:4">
      <c r="A3640">
        <v>1.0125789999999999</v>
      </c>
      <c r="B3640">
        <v>7.3589779999999996</v>
      </c>
      <c r="C3640">
        <f>LOG10(1.012579)</f>
        <v>5.4289162577235072E-3</v>
      </c>
      <c r="D3640">
        <f>LOG10(7.358978)</f>
        <v>0.86681750458484907</v>
      </c>
    </row>
    <row r="3641" spans="1:4">
      <c r="A3641">
        <v>1.0054270000000001</v>
      </c>
      <c r="B3641">
        <v>7.2544500000000003</v>
      </c>
      <c r="C3641">
        <f>LOG10(1.005427)</f>
        <v>2.3505437064230083E-3</v>
      </c>
      <c r="D3641">
        <f>LOG10(7.25445)</f>
        <v>0.86060449175383169</v>
      </c>
    </row>
    <row r="3642" spans="1:4">
      <c r="A3642">
        <v>1.006694</v>
      </c>
      <c r="B3642">
        <v>7.9340130000000002</v>
      </c>
      <c r="C3642">
        <f>LOG10(1.006694)</f>
        <v>2.8974801792261465E-3</v>
      </c>
      <c r="D3642">
        <f>LOG10(7.934013)</f>
        <v>0.89949290773677548</v>
      </c>
    </row>
    <row r="3643" spans="1:4">
      <c r="A3643">
        <v>1.0057720000000001</v>
      </c>
      <c r="B3643">
        <v>7.878768</v>
      </c>
      <c r="C3643">
        <f>LOG10(1.005772)</f>
        <v>2.4995409938384024E-3</v>
      </c>
      <c r="D3643">
        <f>LOG10(7.878768)</f>
        <v>0.89645831233316309</v>
      </c>
    </row>
    <row r="3644" spans="1:4">
      <c r="A3644">
        <v>1.0114479999999999</v>
      </c>
      <c r="B3644">
        <v>7.8986640000000001</v>
      </c>
      <c r="C3644">
        <f>LOG10(1.011448)</f>
        <v>4.9435599752669862E-3</v>
      </c>
      <c r="D3644">
        <f>LOG10(7.898664)</f>
        <v>0.89755363983540626</v>
      </c>
    </row>
    <row r="3645" spans="1:4">
      <c r="A3645">
        <v>1.0077929999999999</v>
      </c>
      <c r="B3645">
        <v>7.8435319999999997</v>
      </c>
      <c r="C3645">
        <f>LOG10(1.007793)</f>
        <v>3.3713374768532364E-3</v>
      </c>
      <c r="D3645">
        <f>LOG10(7.843532)</f>
        <v>0.89451167272126109</v>
      </c>
    </row>
    <row r="3646" spans="1:4">
      <c r="A3646">
        <v>1.133195</v>
      </c>
      <c r="B3646">
        <v>3.2018629999999999</v>
      </c>
      <c r="C3646">
        <f>LOG10(1.133195)</f>
        <v>5.4304649613665983E-2</v>
      </c>
      <c r="D3646">
        <f>LOG10(3.201863)</f>
        <v>0.50540274556676068</v>
      </c>
    </row>
    <row r="3647" spans="1:4">
      <c r="A3647">
        <v>1.1280110000000001</v>
      </c>
      <c r="B3647">
        <v>3.211827</v>
      </c>
      <c r="C3647">
        <f>LOG10(1.128011)</f>
        <v>5.2313334767897825E-2</v>
      </c>
      <c r="D3647">
        <f>LOG10(3.211827)</f>
        <v>0.50675214464873808</v>
      </c>
    </row>
    <row r="3648" spans="1:4">
      <c r="A3648">
        <v>1.1138999999999999</v>
      </c>
      <c r="B3648">
        <v>2.9873690000000002</v>
      </c>
      <c r="C3648">
        <f>LOG10(1.1139)</f>
        <v>4.6846203945821285E-2</v>
      </c>
      <c r="D3648">
        <f>LOG10(2.987369)</f>
        <v>0.47528886999819658</v>
      </c>
    </row>
    <row r="3649" spans="1:4">
      <c r="A3649">
        <v>1.116695</v>
      </c>
      <c r="B3649">
        <v>3.3271790000000001</v>
      </c>
      <c r="C3649">
        <f>LOG10(1.116695)</f>
        <v>4.7934571589614047E-2</v>
      </c>
      <c r="D3649">
        <f>LOG10(3.327179)</f>
        <v>0.52207616624936892</v>
      </c>
    </row>
    <row r="3650" spans="1:4">
      <c r="A3650">
        <v>1.132258</v>
      </c>
      <c r="B3650">
        <v>3.3400439999999998</v>
      </c>
      <c r="C3650">
        <f>LOG10(1.132258)</f>
        <v>5.3945397885426363E-2</v>
      </c>
      <c r="D3650">
        <f>LOG10(3.340044)</f>
        <v>0.52375218801855172</v>
      </c>
    </row>
    <row r="3651" spans="1:4">
      <c r="A3651">
        <v>1.121739</v>
      </c>
      <c r="B3651">
        <v>3.2219069999999999</v>
      </c>
      <c r="C3651">
        <f>LOG10(1.121739)</f>
        <v>4.9891819446275999E-2</v>
      </c>
      <c r="D3651">
        <f>LOG10(3.221907)</f>
        <v>0.50811300040047758</v>
      </c>
    </row>
    <row r="3652" spans="1:4">
      <c r="A3652">
        <v>1.138058</v>
      </c>
      <c r="B3652">
        <v>3.474656</v>
      </c>
      <c r="C3652">
        <f>LOG10(1.138058)</f>
        <v>5.616439601166328E-2</v>
      </c>
      <c r="D3652">
        <f>LOG10(3.474656)</f>
        <v>0.54091181476875372</v>
      </c>
    </row>
    <row r="3653" spans="1:4">
      <c r="A3653">
        <v>1.121888</v>
      </c>
      <c r="B3653">
        <v>3.2498179999999999</v>
      </c>
      <c r="C3653">
        <f>LOG10(1.121888)</f>
        <v>4.994950272241655E-2</v>
      </c>
      <c r="D3653">
        <f>LOG10(3.249818)</f>
        <v>0.51185903980688863</v>
      </c>
    </row>
    <row r="3654" spans="1:4">
      <c r="A3654">
        <v>1.1094189999999999</v>
      </c>
      <c r="B3654">
        <v>2.902523</v>
      </c>
      <c r="C3654">
        <f>LOG10(1.109419)</f>
        <v>4.5095599369116474E-2</v>
      </c>
      <c r="D3654">
        <f>LOG10(2.902523)</f>
        <v>0.46277566983473117</v>
      </c>
    </row>
    <row r="3655" spans="1:4">
      <c r="A3655">
        <v>1.1140620000000001</v>
      </c>
      <c r="B3655">
        <v>3.061639</v>
      </c>
      <c r="C3655">
        <f>LOG10(1.114062)</f>
        <v>4.6909360953160201E-2</v>
      </c>
      <c r="D3655">
        <f>LOG10(3.061639)</f>
        <v>0.48595398141428603</v>
      </c>
    </row>
    <row r="3656" spans="1:4">
      <c r="A3656">
        <v>1.0648120000000001</v>
      </c>
      <c r="B3656">
        <v>2.885999</v>
      </c>
      <c r="C3656">
        <f>LOG10(1.064812)</f>
        <v>2.727293681712287E-2</v>
      </c>
      <c r="D3656">
        <f>LOG10(2.885999)</f>
        <v>0.46029617627426084</v>
      </c>
    </row>
    <row r="3657" spans="1:4">
      <c r="A3657">
        <v>1.08534</v>
      </c>
      <c r="B3657">
        <v>2.9268369999999999</v>
      </c>
      <c r="C3657">
        <f>LOG10(1.08534)</f>
        <v>3.5565809145830907E-2</v>
      </c>
      <c r="D3657">
        <f>LOG10(2.926837)</f>
        <v>0.46639853658763036</v>
      </c>
    </row>
    <row r="3658" spans="1:4">
      <c r="A3658">
        <v>1.119556</v>
      </c>
      <c r="B3658">
        <v>3.0552069999999998</v>
      </c>
      <c r="C3658">
        <f>LOG10(1.119556)</f>
        <v>4.9045821794212123E-2</v>
      </c>
      <c r="D3658">
        <f>LOG10(3.055207)</f>
        <v>0.48504064040908523</v>
      </c>
    </row>
    <row r="3659" spans="1:4">
      <c r="A3659">
        <v>1.110249</v>
      </c>
      <c r="B3659">
        <v>3.0069490000000001</v>
      </c>
      <c r="C3659">
        <f>LOG10(1.110249)</f>
        <v>4.5420390677348349E-2</v>
      </c>
      <c r="D3659">
        <f>LOG10(3.006949)</f>
        <v>0.47812606221877241</v>
      </c>
    </row>
    <row r="3660" spans="1:4">
      <c r="A3660">
        <v>1.1307400000000001</v>
      </c>
      <c r="B3660">
        <v>2.9643410000000001</v>
      </c>
      <c r="C3660">
        <f>LOG10(1.13074)</f>
        <v>5.3362755636153961E-2</v>
      </c>
      <c r="D3660">
        <f>LOG10(2.964341)</f>
        <v>0.47192816081203276</v>
      </c>
    </row>
    <row r="3661" spans="1:4">
      <c r="A3661">
        <v>1.1097509999999999</v>
      </c>
      <c r="B3661">
        <v>3.0327090000000001</v>
      </c>
      <c r="C3661">
        <f>LOG10(1.109751)</f>
        <v>4.5225545041658544E-2</v>
      </c>
      <c r="D3661">
        <f>LOG10(3.032709)</f>
        <v>0.48183074009722898</v>
      </c>
    </row>
    <row r="3662" spans="1:4">
      <c r="A3662">
        <v>1.113216</v>
      </c>
      <c r="B3662">
        <v>2.9666260000000002</v>
      </c>
      <c r="C3662">
        <f>LOG10(1.113216)</f>
        <v>4.6579439722528239E-2</v>
      </c>
      <c r="D3662">
        <f>LOG10(2.966626)</f>
        <v>0.47226279863424547</v>
      </c>
    </row>
    <row r="3663" spans="1:4">
      <c r="A3663">
        <v>1.0926279999999999</v>
      </c>
      <c r="B3663">
        <v>3.1779000000000002</v>
      </c>
      <c r="C3663">
        <f>LOG10(1.092628)</f>
        <v>3.847232567671572E-2</v>
      </c>
      <c r="D3663">
        <f>LOG10(3.1779)</f>
        <v>0.502140227002422</v>
      </c>
    </row>
    <row r="3664" spans="1:4">
      <c r="A3664">
        <v>1.1066149999999999</v>
      </c>
      <c r="B3664">
        <v>3.3354680000000001</v>
      </c>
      <c r="C3664">
        <f>LOG10(1.106615)</f>
        <v>4.3996552714458716E-2</v>
      </c>
      <c r="D3664">
        <f>LOG10(3.335468)</f>
        <v>0.52315677844982655</v>
      </c>
    </row>
    <row r="3665" spans="1:4">
      <c r="A3665">
        <v>1.090123</v>
      </c>
      <c r="B3665">
        <v>3.262197</v>
      </c>
      <c r="C3665">
        <f>LOG10(1.090123)</f>
        <v>3.747550271818046E-2</v>
      </c>
      <c r="D3665">
        <f>LOG10(3.262197)</f>
        <v>0.51351018399719772</v>
      </c>
    </row>
    <row r="3666" spans="1:4">
      <c r="A3666">
        <v>1.0786039999999999</v>
      </c>
      <c r="B3666">
        <v>3.036654</v>
      </c>
      <c r="C3666">
        <f>LOG10(1.078604)</f>
        <v>3.2862026535034755E-2</v>
      </c>
      <c r="D3666">
        <f>LOG10(3.036654)</f>
        <v>0.48239531070287128</v>
      </c>
    </row>
    <row r="3667" spans="1:4">
      <c r="A3667">
        <v>1.091963</v>
      </c>
      <c r="B3667">
        <v>3.2217820000000001</v>
      </c>
      <c r="C3667">
        <f>LOG10(1.091963)</f>
        <v>3.8207923013346613E-2</v>
      </c>
      <c r="D3667">
        <f>LOG10(3.221782)</f>
        <v>0.50809615079453152</v>
      </c>
    </row>
    <row r="3668" spans="1:4">
      <c r="A3668">
        <v>1.1229180000000001</v>
      </c>
      <c r="B3668">
        <v>3.2158950000000002</v>
      </c>
      <c r="C3668">
        <f>LOG10(1.122918)</f>
        <v>5.0348043485183805E-2</v>
      </c>
      <c r="D3668">
        <f>LOG10(3.215895)</f>
        <v>0.50730186045420156</v>
      </c>
    </row>
    <row r="3669" spans="1:4">
      <c r="A3669">
        <v>1.1026860000000001</v>
      </c>
      <c r="B3669">
        <v>3.1651189999999998</v>
      </c>
      <c r="C3669">
        <f>LOG10(1.102686)</f>
        <v>4.2451860688999525E-2</v>
      </c>
      <c r="D3669">
        <f>LOG10(3.165119)</f>
        <v>0.50039004297005629</v>
      </c>
    </row>
    <row r="3670" spans="1:4">
      <c r="A3670">
        <v>1.105575</v>
      </c>
      <c r="B3670">
        <v>3.5008900000000001</v>
      </c>
      <c r="C3670">
        <f>LOG10(1.105575)</f>
        <v>4.3588209584389082E-2</v>
      </c>
      <c r="D3670">
        <f>LOG10(3.50089)</f>
        <v>0.54417846519419011</v>
      </c>
    </row>
    <row r="3671" spans="1:4">
      <c r="A3671">
        <v>1.0850930000000001</v>
      </c>
      <c r="B3671">
        <v>3.405519</v>
      </c>
      <c r="C3671">
        <f>LOG10(1.085093)</f>
        <v>3.5466961830578014E-2</v>
      </c>
      <c r="D3671">
        <f>LOG10(3.405519)</f>
        <v>0.5321833076320287</v>
      </c>
    </row>
    <row r="3672" spans="1:4">
      <c r="A3672">
        <v>1.0859890000000001</v>
      </c>
      <c r="B3672">
        <v>3.257927</v>
      </c>
      <c r="C3672">
        <f>LOG10(1.085989)</f>
        <v>3.5825426299333503E-2</v>
      </c>
      <c r="D3672">
        <f>LOG10(3.257927)</f>
        <v>0.51294134889441678</v>
      </c>
    </row>
    <row r="3673" spans="1:4">
      <c r="A3673">
        <v>1.0777300000000001</v>
      </c>
      <c r="B3673">
        <v>3.2652730000000001</v>
      </c>
      <c r="C3673">
        <f>LOG10(1.07773)</f>
        <v>3.2509972170572575E-2</v>
      </c>
      <c r="D3673">
        <f>LOG10(3.265273)</f>
        <v>0.51391949723041663</v>
      </c>
    </row>
    <row r="3674" spans="1:4">
      <c r="A3674">
        <v>1.088438</v>
      </c>
      <c r="B3674">
        <v>3.3427530000000001</v>
      </c>
      <c r="C3674">
        <f>LOG10(1.088438)</f>
        <v>3.680369564192245E-2</v>
      </c>
      <c r="D3674">
        <f>LOG10(3.342753)</f>
        <v>0.52410428724165203</v>
      </c>
    </row>
    <row r="3675" spans="1:4">
      <c r="A3675">
        <v>1.077477</v>
      </c>
      <c r="B3675">
        <v>3.4111769999999999</v>
      </c>
      <c r="C3675">
        <f>LOG10(1.077477)</f>
        <v>3.2408008410779419E-2</v>
      </c>
      <c r="D3675">
        <f>LOG10(3.411177)</f>
        <v>0.53290425477208037</v>
      </c>
    </row>
    <row r="3676" spans="1:4">
      <c r="A3676">
        <v>1.086768</v>
      </c>
      <c r="B3676">
        <v>3.362733</v>
      </c>
      <c r="C3676">
        <f>LOG10(1.086768)</f>
        <v>3.6136842086647719E-2</v>
      </c>
      <c r="D3676">
        <f>LOG10(3.362733)</f>
        <v>0.52669238583083922</v>
      </c>
    </row>
    <row r="3677" spans="1:4">
      <c r="A3677">
        <v>1.106209</v>
      </c>
      <c r="B3677">
        <v>3.1921949999999999</v>
      </c>
      <c r="C3677">
        <f>LOG10(1.106209)</f>
        <v>4.3837187521717468E-2</v>
      </c>
      <c r="D3677">
        <f>LOG10(3.192195)</f>
        <v>0.50408941301618848</v>
      </c>
    </row>
    <row r="3678" spans="1:4">
      <c r="A3678">
        <v>1.097351</v>
      </c>
      <c r="B3678">
        <v>2.953786</v>
      </c>
      <c r="C3678">
        <f>LOG10(1.097351)</f>
        <v>4.0345563747135792E-2</v>
      </c>
      <c r="D3678">
        <f>LOG10(2.953786)</f>
        <v>0.47037902774447038</v>
      </c>
    </row>
    <row r="3679" spans="1:4">
      <c r="A3679">
        <v>1.102495</v>
      </c>
      <c r="B3679">
        <v>3.0563709999999999</v>
      </c>
      <c r="C3679">
        <f>LOG10(1.102495)</f>
        <v>4.2376628545922855E-2</v>
      </c>
      <c r="D3679">
        <f>LOG10(3.056371)</f>
        <v>0.48520607028105872</v>
      </c>
    </row>
    <row r="3680" spans="1:4">
      <c r="A3680">
        <v>1.108894</v>
      </c>
      <c r="B3680">
        <v>3.2830680000000001</v>
      </c>
      <c r="C3680">
        <f>LOG10(1.108894)</f>
        <v>4.4890033601566015E-2</v>
      </c>
      <c r="D3680">
        <f>LOG10(3.283068)</f>
        <v>0.51627987807473419</v>
      </c>
    </row>
    <row r="3681" spans="1:4">
      <c r="A3681">
        <v>1.0613840000000001</v>
      </c>
      <c r="B3681">
        <v>3.2772039999999998</v>
      </c>
      <c r="C3681">
        <f>LOG10(1.061384)</f>
        <v>2.5872536502256082E-2</v>
      </c>
      <c r="D3681">
        <f>LOG10(3.277204)</f>
        <v>0.5155034762669588</v>
      </c>
    </row>
    <row r="3682" spans="1:4">
      <c r="A3682">
        <v>1.103475</v>
      </c>
      <c r="B3682">
        <v>3.269612</v>
      </c>
      <c r="C3682">
        <f>LOG10(1.103475)</f>
        <v>4.2762498363068287E-2</v>
      </c>
      <c r="D3682">
        <f>LOG10(3.269612)</f>
        <v>0.51449621863680695</v>
      </c>
    </row>
    <row r="3683" spans="1:4">
      <c r="A3683">
        <v>1.11246</v>
      </c>
      <c r="B3683">
        <v>3.2165119999999998</v>
      </c>
      <c r="C3683">
        <f>LOG10(1.11246)</f>
        <v>4.6284404289746492E-2</v>
      </c>
      <c r="D3683">
        <f>LOG10(3.216512)</f>
        <v>0.50738517598325816</v>
      </c>
    </row>
    <row r="3684" spans="1:4">
      <c r="A3684">
        <v>1.088827</v>
      </c>
      <c r="B3684">
        <v>3.0319729999999998</v>
      </c>
      <c r="C3684">
        <f>LOG10(1.088827)</f>
        <v>3.6958881671420869E-2</v>
      </c>
      <c r="D3684">
        <f>LOG10(3.031973)</f>
        <v>0.48172532954470537</v>
      </c>
    </row>
    <row r="3685" spans="1:4">
      <c r="A3685">
        <v>1.0927150000000001</v>
      </c>
      <c r="B3685">
        <v>3.021528</v>
      </c>
      <c r="C3685">
        <f>LOG10(1.092715)</f>
        <v>3.85069047976552E-2</v>
      </c>
      <c r="D3685">
        <f>LOG10(3.021528)</f>
        <v>0.48022662313822323</v>
      </c>
    </row>
    <row r="3686" spans="1:4">
      <c r="A3686">
        <v>1.1120620000000001</v>
      </c>
      <c r="B3686">
        <v>3.2227749999999999</v>
      </c>
      <c r="C3686">
        <f>LOG10(1.112062)</f>
        <v>4.6129000831707609E-2</v>
      </c>
      <c r="D3686">
        <f>LOG10(3.222775)</f>
        <v>0.50822998603687408</v>
      </c>
    </row>
    <row r="3687" spans="1:4">
      <c r="A3687">
        <v>1.104868</v>
      </c>
      <c r="B3687">
        <v>3.0906380000000002</v>
      </c>
      <c r="C3687">
        <f>LOG10(1.104868)</f>
        <v>4.3310395400376206E-2</v>
      </c>
      <c r="D3687">
        <f>LOG10(3.090638)</f>
        <v>0.49004814003282965</v>
      </c>
    </row>
    <row r="3688" spans="1:4">
      <c r="A3688">
        <v>1.0905020000000001</v>
      </c>
      <c r="B3688">
        <v>3.2428509999999999</v>
      </c>
      <c r="C3688">
        <f>LOG10(1.090502)</f>
        <v>3.762646641922833E-2</v>
      </c>
      <c r="D3688">
        <f>LOG10(3.242851)</f>
        <v>0.5109269945057201</v>
      </c>
    </row>
    <row r="3689" spans="1:4">
      <c r="A3689">
        <v>1.1010899999999999</v>
      </c>
      <c r="B3689">
        <v>3.2489439999999998</v>
      </c>
      <c r="C3689">
        <f>LOG10(1.10109)</f>
        <v>4.1822818432167119E-2</v>
      </c>
      <c r="D3689">
        <f>LOG10(3.248944)</f>
        <v>0.51174222574923522</v>
      </c>
    </row>
    <row r="3690" spans="1:4">
      <c r="A3690">
        <v>1.0918600000000001</v>
      </c>
      <c r="B3690">
        <v>3.128215</v>
      </c>
      <c r="C3690">
        <f>LOG10(1.09186)</f>
        <v>3.816695601952963E-2</v>
      </c>
      <c r="D3690">
        <f>LOG10(3.128215)</f>
        <v>0.4952965941655581</v>
      </c>
    </row>
    <row r="3691" spans="1:4">
      <c r="A3691">
        <v>1.1184270000000001</v>
      </c>
      <c r="B3691">
        <v>3.1045880000000001</v>
      </c>
      <c r="C3691">
        <f>LOG10(1.118427)</f>
        <v>4.8607642852135431E-2</v>
      </c>
      <c r="D3691">
        <f>LOG10(3.104588)</f>
        <v>0.4920039744969501</v>
      </c>
    </row>
    <row r="3692" spans="1:4">
      <c r="A3692">
        <v>1.103748</v>
      </c>
      <c r="B3692">
        <v>3.3187890000000002</v>
      </c>
      <c r="C3692">
        <f>LOG10(1.103748)</f>
        <v>4.2869929641343438E-2</v>
      </c>
      <c r="D3692">
        <f>LOG10(3.318789)</f>
        <v>0.52097964196913005</v>
      </c>
    </row>
    <row r="3693" spans="1:4">
      <c r="A3693">
        <v>1.0876699999999999</v>
      </c>
      <c r="B3693">
        <v>3.0560930000000002</v>
      </c>
      <c r="C3693">
        <f>LOG10(1.08767)</f>
        <v>3.6497150033019121E-2</v>
      </c>
      <c r="D3693">
        <f>LOG10(3.056093)</f>
        <v>0.48516656612494352</v>
      </c>
    </row>
    <row r="3694" spans="1:4">
      <c r="A3694">
        <v>1.1270450000000001</v>
      </c>
      <c r="B3694">
        <v>3.2314949999999998</v>
      </c>
      <c r="C3694">
        <f>LOG10(1.127045)</f>
        <v>5.1941256650831179E-2</v>
      </c>
      <c r="D3694">
        <f>LOG10(3.231495)</f>
        <v>0.5094034882877525</v>
      </c>
    </row>
    <row r="3695" spans="1:4">
      <c r="A3695">
        <v>1.082999</v>
      </c>
      <c r="B3695">
        <v>3.0906389999999999</v>
      </c>
      <c r="C3695">
        <f>LOG10(1.082999)</f>
        <v>3.4628055614533297E-2</v>
      </c>
      <c r="D3695">
        <f>LOG10(3.090639)</f>
        <v>0.49004828055216954</v>
      </c>
    </row>
    <row r="3696" spans="1:4">
      <c r="A3696">
        <v>1.0523690000000001</v>
      </c>
      <c r="B3696">
        <v>3.0125090000000001</v>
      </c>
      <c r="C3696">
        <f>LOG10(1.052369)</f>
        <v>2.2168046438341284E-2</v>
      </c>
      <c r="D3696">
        <f>LOG10(3.012509)</f>
        <v>0.47892835305827702</v>
      </c>
    </row>
    <row r="3697" spans="1:4">
      <c r="A3697">
        <v>1.074743</v>
      </c>
      <c r="B3697">
        <v>3.0765189999999998</v>
      </c>
      <c r="C3697">
        <f>LOG10(1.074743)</f>
        <v>3.1304625157945624E-2</v>
      </c>
      <c r="D3697">
        <f>LOG10(3.076519)</f>
        <v>0.48805960155298489</v>
      </c>
    </row>
    <row r="3698" spans="1:4">
      <c r="A3698">
        <v>1.091156</v>
      </c>
      <c r="B3698">
        <v>2.9615999999999998</v>
      </c>
      <c r="C3698">
        <f>LOG10(1.091156)</f>
        <v>3.7886845085061939E-2</v>
      </c>
      <c r="D3698">
        <f>LOG10(2.9616)</f>
        <v>0.47152640140882884</v>
      </c>
    </row>
    <row r="3699" spans="1:4">
      <c r="A3699">
        <v>1.0788709999999999</v>
      </c>
      <c r="B3699">
        <v>3.2476859999999999</v>
      </c>
      <c r="C3699">
        <f>LOG10(1.078871)</f>
        <v>3.2969519439712817E-2</v>
      </c>
      <c r="D3699">
        <f>LOG10(3.247686)</f>
        <v>0.51157403317398842</v>
      </c>
    </row>
    <row r="3700" spans="1:4">
      <c r="A3700">
        <v>1.085556</v>
      </c>
      <c r="B3700">
        <v>3.134331</v>
      </c>
      <c r="C3700">
        <f>LOG10(1.085556)</f>
        <v>3.5652232086773872E-2</v>
      </c>
      <c r="D3700">
        <f>LOG10(3.134331)</f>
        <v>0.49614485808114472</v>
      </c>
    </row>
    <row r="3701" spans="1:4">
      <c r="A3701">
        <v>1.087504</v>
      </c>
      <c r="B3701">
        <v>3.0629620000000002</v>
      </c>
      <c r="C3701">
        <f>LOG10(1.087504)</f>
        <v>3.6430863028728111E-2</v>
      </c>
      <c r="D3701">
        <f>LOG10(3.062962)</f>
        <v>0.48614160885597407</v>
      </c>
    </row>
    <row r="3702" spans="1:4">
      <c r="A3702">
        <v>1.0677049999999999</v>
      </c>
      <c r="B3702">
        <v>2.767334</v>
      </c>
      <c r="C3702">
        <f>LOG10(1.067705)</f>
        <v>2.8451276503900801E-2</v>
      </c>
      <c r="D3702">
        <f>LOG10(2.767334)</f>
        <v>0.44206157894688769</v>
      </c>
    </row>
    <row r="3703" spans="1:4">
      <c r="A3703">
        <v>1.0556950000000001</v>
      </c>
      <c r="B3703">
        <v>2.8491520000000001</v>
      </c>
      <c r="C3703">
        <f>LOG10(1.055695)</f>
        <v>2.3538464647066142E-2</v>
      </c>
      <c r="D3703">
        <f>LOG10(2.849152)</f>
        <v>0.45471561912377095</v>
      </c>
    </row>
    <row r="3704" spans="1:4">
      <c r="A3704">
        <v>1.0926370000000001</v>
      </c>
      <c r="B3704">
        <v>3.0134280000000002</v>
      </c>
      <c r="C3704">
        <f>LOG10(1.092637)</f>
        <v>3.847590295483734E-2</v>
      </c>
      <c r="D3704">
        <f>LOG10(3.013428)</f>
        <v>0.47906081930608657</v>
      </c>
    </row>
    <row r="3705" spans="1:4">
      <c r="A3705">
        <v>1.071769</v>
      </c>
      <c r="B3705">
        <v>2.9626739999999998</v>
      </c>
      <c r="C3705">
        <f>LOG10(1.071769)</f>
        <v>3.0101191293484191E-2</v>
      </c>
      <c r="D3705">
        <f>LOG10(2.962674)</f>
        <v>0.47168386619815966</v>
      </c>
    </row>
    <row r="3706" spans="1:4">
      <c r="A3706">
        <v>1.093226</v>
      </c>
      <c r="B3706">
        <v>3.0512299999999999</v>
      </c>
      <c r="C3706">
        <f>LOG10(1.093226)</f>
        <v>3.870995189205987E-2</v>
      </c>
      <c r="D3706">
        <f>LOG10(3.05123)</f>
        <v>0.48447494574991362</v>
      </c>
    </row>
    <row r="3707" spans="1:4">
      <c r="A3707">
        <v>1.0752660000000001</v>
      </c>
      <c r="B3707">
        <v>2.8897840000000001</v>
      </c>
      <c r="C3707">
        <f>LOG10(1.075266)</f>
        <v>3.1515913593031727E-2</v>
      </c>
      <c r="D3707">
        <f>LOG10(2.889784)</f>
        <v>0.4608653821635102</v>
      </c>
    </row>
    <row r="3708" spans="1:4">
      <c r="A3708">
        <v>1.052449</v>
      </c>
      <c r="B3708">
        <v>2.8348089999999999</v>
      </c>
      <c r="C3708">
        <f>LOG10(1.052449)</f>
        <v>2.2201059799657016E-2</v>
      </c>
      <c r="D3708">
        <f>LOG10(2.834809)</f>
        <v>0.45252380289720173</v>
      </c>
    </row>
    <row r="3709" spans="1:4">
      <c r="A3709">
        <v>1.071855</v>
      </c>
      <c r="B3709">
        <v>3.0118070000000001</v>
      </c>
      <c r="C3709">
        <f>LOG10(1.071855)</f>
        <v>3.0136038193373099E-2</v>
      </c>
      <c r="D3709">
        <f>LOG10(3.011807)</f>
        <v>0.47882713833857238</v>
      </c>
    </row>
    <row r="3710" spans="1:4">
      <c r="A3710">
        <v>1.057137</v>
      </c>
      <c r="B3710">
        <v>2.9180790000000001</v>
      </c>
      <c r="C3710">
        <f>LOG10(1.057137)</f>
        <v>2.4131273483869918E-2</v>
      </c>
      <c r="D3710">
        <f>LOG10(2.918079)</f>
        <v>0.46509704519953204</v>
      </c>
    </row>
    <row r="3711" spans="1:4">
      <c r="A3711">
        <v>1.0504180000000001</v>
      </c>
      <c r="B3711">
        <v>2.9970889999999999</v>
      </c>
      <c r="C3711">
        <f>LOG10(1.050418)</f>
        <v>2.1362155230789968E-2</v>
      </c>
      <c r="D3711">
        <f>LOG10(2.997089)</f>
        <v>0.47669963972074841</v>
      </c>
    </row>
    <row r="3712" spans="1:4">
      <c r="A3712">
        <v>1.069744</v>
      </c>
      <c r="B3712">
        <v>3.0079750000000001</v>
      </c>
      <c r="C3712">
        <f>LOG10(1.069744)</f>
        <v>2.9279859283851638E-2</v>
      </c>
      <c r="D3712">
        <f>LOG10(3.007975)</f>
        <v>0.47827422240924344</v>
      </c>
    </row>
    <row r="3713" spans="1:4">
      <c r="A3713">
        <v>1.0578110000000001</v>
      </c>
      <c r="B3713">
        <v>3.0603910000000001</v>
      </c>
      <c r="C3713">
        <f>LOG10(1.057811)</f>
        <v>2.4408078862264215E-2</v>
      </c>
      <c r="D3713">
        <f>LOG10(3.060391)</f>
        <v>0.4857769161202829</v>
      </c>
    </row>
    <row r="3714" spans="1:4">
      <c r="A3714">
        <v>1.0658589999999999</v>
      </c>
      <c r="B3714">
        <v>2.8267920000000002</v>
      </c>
      <c r="C3714">
        <f>LOG10(1.065859)</f>
        <v>2.7699756686686696E-2</v>
      </c>
      <c r="D3714">
        <f>LOG10(2.826792)</f>
        <v>0.45129385356359497</v>
      </c>
    </row>
    <row r="3715" spans="1:4">
      <c r="A3715">
        <v>1.0665500000000001</v>
      </c>
      <c r="B3715">
        <v>2.8447279999999999</v>
      </c>
      <c r="C3715">
        <f>LOG10(1.06655)</f>
        <v>2.7981220043387291E-2</v>
      </c>
      <c r="D3715">
        <f>LOG10(2.844728)</f>
        <v>0.45404074744591089</v>
      </c>
    </row>
    <row r="3716" spans="1:4">
      <c r="A3716">
        <v>1.0620499999999999</v>
      </c>
      <c r="B3716">
        <v>3.0166789999999999</v>
      </c>
      <c r="C3716">
        <f>LOG10(1.06205)</f>
        <v>2.6144963273638529E-2</v>
      </c>
      <c r="D3716">
        <f>LOG10(3.016679)</f>
        <v>0.4795291000505113</v>
      </c>
    </row>
    <row r="3717" spans="1:4">
      <c r="A3717">
        <v>1.0874999999999999</v>
      </c>
      <c r="B3717">
        <v>3.0718220000000001</v>
      </c>
      <c r="C3717">
        <f>LOG10(1.0875)</f>
        <v>3.6429265626674902E-2</v>
      </c>
      <c r="D3717">
        <f>LOG10(3.071822)</f>
        <v>0.48739604643190965</v>
      </c>
    </row>
    <row r="3718" spans="1:4">
      <c r="A3718">
        <v>1.081931</v>
      </c>
      <c r="B3718">
        <v>3.058989</v>
      </c>
      <c r="C3718">
        <f>LOG10(1.081931)</f>
        <v>3.419956458313847E-2</v>
      </c>
      <c r="D3718">
        <f>LOG10(3.058989)</f>
        <v>0.48557791528219735</v>
      </c>
    </row>
    <row r="3719" spans="1:4">
      <c r="A3719">
        <v>1.0471349999999999</v>
      </c>
      <c r="B3719">
        <v>2.983492</v>
      </c>
      <c r="C3719">
        <f>LOG10(1.047135)</f>
        <v>2.000267592480845E-2</v>
      </c>
      <c r="D3719">
        <f>LOG10(2.983492)</f>
        <v>0.47472487765505789</v>
      </c>
    </row>
    <row r="3720" spans="1:4">
      <c r="A3720">
        <v>1.0381469999999999</v>
      </c>
      <c r="B3720">
        <v>2.8548290000000001</v>
      </c>
      <c r="C3720">
        <f>LOG10(1.038147)</f>
        <v>1.6258853289619016E-2</v>
      </c>
      <c r="D3720">
        <f>LOG10(2.854829)</f>
        <v>0.45558009976907415</v>
      </c>
    </row>
    <row r="3721" spans="1:4">
      <c r="A3721">
        <v>1.0461339999999999</v>
      </c>
      <c r="B3721">
        <v>2.9269889999999998</v>
      </c>
      <c r="C3721">
        <f>LOG10(1.046134)</f>
        <v>1.9587317163443019E-2</v>
      </c>
      <c r="D3721">
        <f>LOG10(2.926989)</f>
        <v>0.46642109030250473</v>
      </c>
    </row>
    <row r="3722" spans="1:4">
      <c r="A3722">
        <v>1.038537</v>
      </c>
      <c r="B3722">
        <v>2.7980670000000001</v>
      </c>
      <c r="C3722">
        <f>LOG10(1.038537)</f>
        <v>1.6421973773942604E-2</v>
      </c>
      <c r="D3722">
        <f>LOG10(2.798067)</f>
        <v>0.44685810950602711</v>
      </c>
    </row>
    <row r="3723" spans="1:4">
      <c r="A3723">
        <v>1.037021</v>
      </c>
      <c r="B3723">
        <v>2.927816</v>
      </c>
      <c r="C3723">
        <f>LOG10(1.037021)</f>
        <v>1.5787551077349582E-2</v>
      </c>
      <c r="D3723">
        <f>LOG10(2.927816)</f>
        <v>0.4665437797990542</v>
      </c>
    </row>
    <row r="3724" spans="1:4">
      <c r="A3724">
        <v>1.047099</v>
      </c>
      <c r="B3724">
        <v>2.9996510000000001</v>
      </c>
      <c r="C3724">
        <f>LOG10(1.047099)</f>
        <v>1.9987744831769159E-2</v>
      </c>
      <c r="D3724">
        <f>LOG10(2.999651)</f>
        <v>0.47707072885595631</v>
      </c>
    </row>
    <row r="3725" spans="1:4">
      <c r="A3725">
        <v>1.0351490000000001</v>
      </c>
      <c r="B3725">
        <v>2.8184589999999998</v>
      </c>
      <c r="C3725">
        <f>LOG10(1.035149)</f>
        <v>1.5002866914086166E-2</v>
      </c>
      <c r="D3725">
        <f>LOG10(2.818459)</f>
        <v>0.45001172153929375</v>
      </c>
    </row>
    <row r="3726" spans="1:4">
      <c r="A3726">
        <v>1.0531790000000001</v>
      </c>
      <c r="B3726">
        <v>2.918129</v>
      </c>
      <c r="C3726">
        <f>LOG10(1.053179)</f>
        <v>2.2502190848912931E-2</v>
      </c>
      <c r="D3726">
        <f>LOG10(2.918129)</f>
        <v>0.46510448658068082</v>
      </c>
    </row>
    <row r="3727" spans="1:4">
      <c r="A3727">
        <v>1.0641149999999999</v>
      </c>
      <c r="B3727">
        <v>2.8310590000000002</v>
      </c>
      <c r="C3727">
        <f>LOG10(1.064115)</f>
        <v>2.6988565145663987E-2</v>
      </c>
      <c r="D3727">
        <f>LOG10(2.831059)</f>
        <v>0.45194892026846989</v>
      </c>
    </row>
    <row r="3728" spans="1:4">
      <c r="A3728">
        <v>1.099278</v>
      </c>
      <c r="B3728">
        <v>2.8040720000000001</v>
      </c>
      <c r="C3728">
        <f>LOG10(1.099278)</f>
        <v>4.1107536461972252E-2</v>
      </c>
      <c r="D3728">
        <f>LOG10(2.804072)</f>
        <v>0.44778916079292519</v>
      </c>
    </row>
    <row r="3729" spans="1:4">
      <c r="A3729">
        <v>1.0808819999999999</v>
      </c>
      <c r="B3729">
        <v>2.9776639999999999</v>
      </c>
      <c r="C3729">
        <f>LOG10(1.080882)</f>
        <v>3.3778284567492323E-2</v>
      </c>
      <c r="D3729">
        <f>LOG10(2.977664)</f>
        <v>0.47387569033402432</v>
      </c>
    </row>
    <row r="3730" spans="1:4">
      <c r="A3730">
        <v>1.091364</v>
      </c>
      <c r="B3730">
        <v>2.9209540000000001</v>
      </c>
      <c r="C3730">
        <f>LOG10(1.091364)</f>
        <v>3.7969623939330725E-2</v>
      </c>
      <c r="D3730">
        <f>LOG10(2.920954)</f>
        <v>0.46552471763651698</v>
      </c>
    </row>
    <row r="3731" spans="1:4">
      <c r="A3731">
        <v>1.0786389999999999</v>
      </c>
      <c r="B3731">
        <v>2.8510230000000001</v>
      </c>
      <c r="C3731">
        <f>LOG10(1.078639)</f>
        <v>3.2876118880559066E-2</v>
      </c>
      <c r="D3731">
        <f>LOG10(2.851023)</f>
        <v>0.45500072089865418</v>
      </c>
    </row>
    <row r="3732" spans="1:4">
      <c r="A3732">
        <v>1.1046640000000001</v>
      </c>
      <c r="B3732">
        <v>2.985811</v>
      </c>
      <c r="C3732">
        <f>LOG10(1.104664)</f>
        <v>4.3230200974986623E-2</v>
      </c>
      <c r="D3732">
        <f>LOG10(2.985811)</f>
        <v>0.47506231368542851</v>
      </c>
    </row>
    <row r="3733" spans="1:4">
      <c r="A3733">
        <v>1.0820099999999999</v>
      </c>
      <c r="B3733">
        <v>2.8544369999999999</v>
      </c>
      <c r="C3733">
        <f>LOG10(1.08201)</f>
        <v>3.4231274564219816E-2</v>
      </c>
      <c r="D3733">
        <f>LOG10(2.854437)</f>
        <v>0.45552046217742098</v>
      </c>
    </row>
    <row r="3734" spans="1:4">
      <c r="A3734">
        <v>1.0921540000000001</v>
      </c>
      <c r="B3734">
        <v>2.9302009999999998</v>
      </c>
      <c r="C3734">
        <f>LOG10(1.092154)</f>
        <v>3.8283880708154167E-2</v>
      </c>
      <c r="D3734">
        <f>LOG10(2.930201)</f>
        <v>0.46689741223015491</v>
      </c>
    </row>
    <row r="3735" spans="1:4">
      <c r="A3735">
        <v>1.084454</v>
      </c>
      <c r="B3735">
        <v>2.9962740000000001</v>
      </c>
      <c r="C3735">
        <f>LOG10(1.084454)</f>
        <v>3.5211134985655201E-2</v>
      </c>
      <c r="D3735">
        <f>LOG10(2.996274)</f>
        <v>0.47658152573201362</v>
      </c>
    </row>
    <row r="3736" spans="1:4">
      <c r="A3736">
        <v>1.107955</v>
      </c>
      <c r="B3736">
        <v>3.2066629999999998</v>
      </c>
      <c r="C3736">
        <f>LOG10(1.107955)</f>
        <v>4.4522121720426792E-2</v>
      </c>
      <c r="D3736">
        <f>LOG10(3.206663)</f>
        <v>0.50605332072334464</v>
      </c>
    </row>
    <row r="3737" spans="1:4">
      <c r="A3737">
        <v>1.091655</v>
      </c>
      <c r="B3737">
        <v>3.0414430000000001</v>
      </c>
      <c r="C3737">
        <f>LOG10(1.091655)</f>
        <v>3.8085408268264578E-2</v>
      </c>
      <c r="D3737">
        <f>LOG10(3.041443)</f>
        <v>0.48307968171709664</v>
      </c>
    </row>
    <row r="3738" spans="1:4">
      <c r="A3738">
        <v>1.0646329999999999</v>
      </c>
      <c r="B3738">
        <v>2.9372829999999999</v>
      </c>
      <c r="C3738">
        <f>LOG10(1.064633)</f>
        <v>2.7199923696385919E-2</v>
      </c>
      <c r="D3738">
        <f>LOG10(2.937283)</f>
        <v>0.46794579174492307</v>
      </c>
    </row>
    <row r="3739" spans="1:4">
      <c r="A3739">
        <v>1.077914</v>
      </c>
      <c r="B3739">
        <v>2.8998050000000002</v>
      </c>
      <c r="C3739">
        <f>LOG10(1.077914)</f>
        <v>3.2584112599014614E-2</v>
      </c>
      <c r="D3739">
        <f>LOG10(2.899805)</f>
        <v>0.46236879435711187</v>
      </c>
    </row>
    <row r="3740" spans="1:4">
      <c r="A3740">
        <v>1.0849420000000001</v>
      </c>
      <c r="B3740">
        <v>2.8476210000000002</v>
      </c>
      <c r="C3740">
        <f>LOG10(1.084942)</f>
        <v>3.5406521822123553E-2</v>
      </c>
      <c r="D3740">
        <f>LOG10(2.847621)</f>
        <v>0.45448218701482024</v>
      </c>
    </row>
    <row r="3741" spans="1:4">
      <c r="A3741">
        <v>1.096762</v>
      </c>
      <c r="B3741">
        <v>3.1429170000000002</v>
      </c>
      <c r="C3741">
        <f>LOG10(1.096762)</f>
        <v>4.0112394848373006E-2</v>
      </c>
      <c r="D3741">
        <f>LOG10(3.142917)</f>
        <v>0.49733291206499919</v>
      </c>
    </row>
    <row r="3742" spans="1:4">
      <c r="A3742">
        <v>1.103863</v>
      </c>
      <c r="B3742">
        <v>3.0705819999999999</v>
      </c>
      <c r="C3742">
        <f>LOG10(1.103863)</f>
        <v>4.2915176621417452E-2</v>
      </c>
      <c r="D3742">
        <f>LOG10(3.070582)</f>
        <v>0.48722069972242071</v>
      </c>
    </row>
    <row r="3743" spans="1:4">
      <c r="A3743">
        <v>1.080978</v>
      </c>
      <c r="B3743">
        <v>3.000343</v>
      </c>
      <c r="C3743">
        <f>LOG10(1.080978)</f>
        <v>3.3816855307771669E-2</v>
      </c>
      <c r="D3743">
        <f>LOG10(3.000343)</f>
        <v>0.4771709062170702</v>
      </c>
    </row>
    <row r="3744" spans="1:4">
      <c r="A3744">
        <v>1.0916589999999999</v>
      </c>
      <c r="B3744">
        <v>3.072349</v>
      </c>
      <c r="C3744">
        <f>LOG10(1.091659)</f>
        <v>3.8086999590380928E-2</v>
      </c>
      <c r="D3744">
        <f>LOG10(3.072349)</f>
        <v>0.4874705473507559</v>
      </c>
    </row>
    <row r="3745" spans="1:4">
      <c r="A3745">
        <v>1.067075</v>
      </c>
      <c r="B3745">
        <v>3.0163950000000002</v>
      </c>
      <c r="C3745">
        <f>LOG10(1.067075)</f>
        <v>2.8194945142784526E-2</v>
      </c>
      <c r="D3745">
        <f>LOG10(3.016395)</f>
        <v>0.47948821222684079</v>
      </c>
    </row>
    <row r="3746" spans="1:4">
      <c r="A3746">
        <v>1.1109739999999999</v>
      </c>
      <c r="B3746">
        <v>3.124898</v>
      </c>
      <c r="C3746">
        <f>LOG10(1.110974)</f>
        <v>4.5703895314713534E-2</v>
      </c>
      <c r="D3746">
        <f>LOG10(3.124898)</f>
        <v>0.4948358460768576</v>
      </c>
    </row>
    <row r="3747" spans="1:4">
      <c r="A3747">
        <v>1.129764</v>
      </c>
      <c r="B3747">
        <v>3.020651</v>
      </c>
      <c r="C3747">
        <f>LOG10(1.129764)</f>
        <v>5.298773180016271E-2</v>
      </c>
      <c r="D3747">
        <f>LOG10(3.020651)</f>
        <v>0.48010055065235219</v>
      </c>
    </row>
    <row r="3748" spans="1:4">
      <c r="A3748">
        <v>1.093583</v>
      </c>
      <c r="B3748">
        <v>3.1399530000000002</v>
      </c>
      <c r="C3748">
        <f>LOG10(1.093583)</f>
        <v>3.88517504043367E-2</v>
      </c>
      <c r="D3748">
        <f>LOG10(3.139953)</f>
        <v>0.49692314743836952</v>
      </c>
    </row>
    <row r="3749" spans="1:4">
      <c r="A3749">
        <v>1.0987469999999999</v>
      </c>
      <c r="B3749">
        <v>3.1868110000000001</v>
      </c>
      <c r="C3749">
        <f>LOG10(1.098747)</f>
        <v>4.0897702293228144E-2</v>
      </c>
      <c r="D3749">
        <f>LOG10(3.186811)</f>
        <v>0.50335630756189165</v>
      </c>
    </row>
    <row r="3750" spans="1:4">
      <c r="A3750">
        <v>1.086913</v>
      </c>
      <c r="B3750">
        <v>3.0344540000000002</v>
      </c>
      <c r="C3750">
        <f>LOG10(1.086913)</f>
        <v>3.6194783155249231E-2</v>
      </c>
      <c r="D3750">
        <f>LOG10(3.034454)</f>
        <v>0.48208055830445962</v>
      </c>
    </row>
    <row r="3751" spans="1:4">
      <c r="A3751">
        <v>1.10311</v>
      </c>
      <c r="B3751">
        <v>3.0672259999999998</v>
      </c>
      <c r="C3751">
        <f>LOG10(1.10311)</f>
        <v>4.2618821607048975E-2</v>
      </c>
      <c r="D3751">
        <f>LOG10(3.067226)</f>
        <v>0.48674577694004867</v>
      </c>
    </row>
    <row r="3752" spans="1:4">
      <c r="A3752">
        <v>1.091002</v>
      </c>
      <c r="B3752">
        <v>3.1354890000000002</v>
      </c>
      <c r="C3752">
        <f>LOG10(1.091002)</f>
        <v>3.7825546727817294E-2</v>
      </c>
      <c r="D3752">
        <f>LOG10(3.135489)</f>
        <v>0.49630528151140668</v>
      </c>
    </row>
    <row r="3753" spans="1:4">
      <c r="A3753">
        <v>1.096222</v>
      </c>
      <c r="B3753">
        <v>3.1321469999999998</v>
      </c>
      <c r="C3753">
        <f>LOG10(1.096222)</f>
        <v>3.989851364817483E-2</v>
      </c>
      <c r="D3753">
        <f>LOG10(3.132147)</f>
        <v>0.49584213646084047</v>
      </c>
    </row>
    <row r="3754" spans="1:4">
      <c r="A3754">
        <v>1.0806150000000001</v>
      </c>
      <c r="B3754">
        <v>3.2757459999999998</v>
      </c>
      <c r="C3754">
        <f>LOG10(1.080615)</f>
        <v>3.3670991679963118E-2</v>
      </c>
      <c r="D3754">
        <f>LOG10(3.275746)</f>
        <v>0.51531021937805732</v>
      </c>
    </row>
    <row r="3755" spans="1:4">
      <c r="A3755">
        <v>1.1098060000000001</v>
      </c>
      <c r="B3755">
        <v>3.171414</v>
      </c>
      <c r="C3755">
        <f>LOG10(1.109806)</f>
        <v>4.5247068432596127E-2</v>
      </c>
      <c r="D3755">
        <f>LOG10(3.171414)</f>
        <v>0.50125293902471868</v>
      </c>
    </row>
    <row r="3756" spans="1:4">
      <c r="A3756">
        <v>1.109137</v>
      </c>
      <c r="B3756">
        <v>3.0197039999999999</v>
      </c>
      <c r="C3756">
        <f>LOG10(1.109137)</f>
        <v>4.4985193281051758E-2</v>
      </c>
      <c r="D3756">
        <f>LOG10(3.019704)</f>
        <v>0.47996437425949712</v>
      </c>
    </row>
    <row r="3757" spans="1:4">
      <c r="A3757">
        <v>1.085596</v>
      </c>
      <c r="B3757">
        <v>2.904363</v>
      </c>
      <c r="C3757">
        <f>LOG10(1.085596)</f>
        <v>3.5668234447988667E-2</v>
      </c>
      <c r="D3757">
        <f>LOG10(2.904363)</f>
        <v>0.46305089544565109</v>
      </c>
    </row>
    <row r="3758" spans="1:4">
      <c r="A3758">
        <v>1.093637</v>
      </c>
      <c r="B3758">
        <v>3.0277810000000001</v>
      </c>
      <c r="C3758">
        <f>LOG10(1.093637)</f>
        <v>3.8873194888227242E-2</v>
      </c>
      <c r="D3758">
        <f>LOG10(3.027781)</f>
        <v>0.48112445935804365</v>
      </c>
    </row>
    <row r="3759" spans="1:4">
      <c r="A3759">
        <v>1.098474</v>
      </c>
      <c r="B3759">
        <v>3.2347139999999999</v>
      </c>
      <c r="C3759">
        <f>LOG10(1.098474)</f>
        <v>4.0789781975545329E-2</v>
      </c>
      <c r="D3759">
        <f>LOG10(3.234714)</f>
        <v>0.50983588818473446</v>
      </c>
    </row>
    <row r="3760" spans="1:4">
      <c r="A3760">
        <v>1.093696</v>
      </c>
      <c r="B3760">
        <v>2.9708809999999999</v>
      </c>
      <c r="C3760">
        <f>LOG10(1.093696)</f>
        <v>3.8896623762055341E-2</v>
      </c>
      <c r="D3760">
        <f>LOG10(2.970881)</f>
        <v>0.47288525628754602</v>
      </c>
    </row>
    <row r="3761" spans="1:4">
      <c r="A3761">
        <v>1.108778</v>
      </c>
      <c r="B3761">
        <v>3.1373799999999998</v>
      </c>
      <c r="C3761">
        <f>LOG10(1.108778)</f>
        <v>4.4844600228238739E-2</v>
      </c>
      <c r="D3761">
        <f>LOG10(3.13738)</f>
        <v>0.49656712370519596</v>
      </c>
    </row>
    <row r="3762" spans="1:4">
      <c r="A3762">
        <v>1.1197649999999999</v>
      </c>
      <c r="B3762">
        <v>3.0378379999999998</v>
      </c>
      <c r="C3762">
        <f>LOG10(1.119765)</f>
        <v>4.9126888820316274E-2</v>
      </c>
      <c r="D3762">
        <f>LOG10(3.037838)</f>
        <v>0.48256461034902609</v>
      </c>
    </row>
    <row r="3763" spans="1:4">
      <c r="A3763">
        <v>1.0896159999999999</v>
      </c>
      <c r="B3763">
        <v>3.2985920000000002</v>
      </c>
      <c r="C3763">
        <f>LOG10(1.089616)</f>
        <v>3.7273471827054719E-2</v>
      </c>
      <c r="D3763">
        <f>LOG10(3.298592)</f>
        <v>0.51832860135724546</v>
      </c>
    </row>
    <row r="3764" spans="1:4">
      <c r="A3764">
        <v>1.0855509999999999</v>
      </c>
      <c r="B3764">
        <v>3.2334670000000001</v>
      </c>
      <c r="C3764">
        <f>LOG10(1.085551)</f>
        <v>3.565023175016261E-2</v>
      </c>
      <c r="D3764">
        <f>LOG10(3.233467)</f>
        <v>0.5096684329989124</v>
      </c>
    </row>
    <row r="3765" spans="1:4">
      <c r="A3765">
        <v>1.102554</v>
      </c>
      <c r="B3765">
        <v>3.1181869999999998</v>
      </c>
      <c r="C3765">
        <f>LOG10(1.102554)</f>
        <v>4.2399869185417417E-2</v>
      </c>
      <c r="D3765">
        <f>LOG10(3.118187)</f>
        <v>0.49390215659780778</v>
      </c>
    </row>
    <row r="3766" spans="1:4">
      <c r="A3766">
        <v>1.0949610000000001</v>
      </c>
      <c r="B3766">
        <v>3.301158</v>
      </c>
      <c r="C3766">
        <f>LOG10(1.094961)</f>
        <v>3.9398650878029566E-2</v>
      </c>
      <c r="D3766">
        <f>LOG10(3.301158)</f>
        <v>0.5186663110270715</v>
      </c>
    </row>
    <row r="3767" spans="1:4">
      <c r="A3767">
        <v>1.102913</v>
      </c>
      <c r="B3767">
        <v>3.1430090000000002</v>
      </c>
      <c r="C3767">
        <f>LOG10(1.102913)</f>
        <v>4.2541255767379695E-2</v>
      </c>
      <c r="D3767">
        <f>LOG10(3.143009)</f>
        <v>0.49734562462074289</v>
      </c>
    </row>
    <row r="3768" spans="1:4">
      <c r="A3768">
        <v>1.100698</v>
      </c>
      <c r="B3768">
        <v>2.8758349999999999</v>
      </c>
      <c r="C3768">
        <f>LOG10(1.100698)</f>
        <v>4.1668177350732576E-2</v>
      </c>
      <c r="D3768">
        <f>LOG10(2.875835)</f>
        <v>0.45876396493575194</v>
      </c>
    </row>
    <row r="3769" spans="1:4">
      <c r="A3769">
        <v>1.082697</v>
      </c>
      <c r="B3769">
        <v>3.2926479999999998</v>
      </c>
      <c r="C3769">
        <f>LOG10(1.082697)</f>
        <v>3.450693341235448E-2</v>
      </c>
      <c r="D3769">
        <f>LOG10(3.292648)</f>
        <v>0.51754530501233331</v>
      </c>
    </row>
    <row r="3770" spans="1:4">
      <c r="A3770">
        <v>1.0857889999999999</v>
      </c>
      <c r="B3770">
        <v>2.9700160000000002</v>
      </c>
      <c r="C3770">
        <f>LOG10(1.085789)</f>
        <v>3.5745437555892622E-2</v>
      </c>
      <c r="D3770">
        <f>LOG10(2.970016)</f>
        <v>0.47275878894448292</v>
      </c>
    </row>
    <row r="3771" spans="1:4">
      <c r="A3771">
        <v>1.0903799999999999</v>
      </c>
      <c r="B3771">
        <v>3.217311</v>
      </c>
      <c r="C3771">
        <f>LOG10(1.09038)</f>
        <v>3.7577876970695541E-2</v>
      </c>
      <c r="D3771">
        <f>LOG10(3.217311)</f>
        <v>0.50749304382258931</v>
      </c>
    </row>
    <row r="3772" spans="1:4">
      <c r="A3772">
        <v>1.0838179999999999</v>
      </c>
      <c r="B3772">
        <v>3.3020999999999998</v>
      </c>
      <c r="C3772">
        <f>LOG10(1.083818)</f>
        <v>3.4956359479250104E-2</v>
      </c>
      <c r="D3772">
        <f>LOG10(3.3021)</f>
        <v>0.51879022119527274</v>
      </c>
    </row>
    <row r="3773" spans="1:4">
      <c r="A3773">
        <v>1.1037539999999999</v>
      </c>
      <c r="B3773">
        <v>3.0035249999999998</v>
      </c>
      <c r="C3773">
        <f>LOG10(1.103754)</f>
        <v>4.2872290469910215E-2</v>
      </c>
      <c r="D3773">
        <f>LOG10(3.003525)</f>
        <v>0.47763125117162492</v>
      </c>
    </row>
    <row r="3774" spans="1:4">
      <c r="A3774">
        <v>1.095472</v>
      </c>
      <c r="B3774">
        <v>3.066058</v>
      </c>
      <c r="C3774">
        <f>LOG10(1.095472)</f>
        <v>3.9601281576415188E-2</v>
      </c>
      <c r="D3774">
        <f>LOG10(3.066058)</f>
        <v>0.48658036605707145</v>
      </c>
    </row>
    <row r="3775" spans="1:4">
      <c r="A3775">
        <v>1.0941879999999999</v>
      </c>
      <c r="B3775">
        <v>3.3150599999999999</v>
      </c>
      <c r="C3775">
        <f>LOG10(1.094188)</f>
        <v>3.9091947544027415E-2</v>
      </c>
      <c r="D3775">
        <f>LOG10(3.31506)</f>
        <v>0.52049139320326587</v>
      </c>
    </row>
    <row r="3776" spans="1:4">
      <c r="A3776">
        <v>1.082543</v>
      </c>
      <c r="B3776">
        <v>3.1870850000000002</v>
      </c>
      <c r="C3776">
        <f>LOG10(1.082543)</f>
        <v>3.4445156103302482E-2</v>
      </c>
      <c r="D3776">
        <f>LOG10(3.187085)</f>
        <v>0.50339364632239691</v>
      </c>
    </row>
    <row r="3777" spans="1:4">
      <c r="A3777">
        <v>1.10738</v>
      </c>
      <c r="B3777">
        <v>3.2841459999999998</v>
      </c>
      <c r="C3777">
        <f>LOG10(1.10738)</f>
        <v>4.4296675607128258E-2</v>
      </c>
      <c r="D3777">
        <f>LOG10(3.284146)</f>
        <v>0.51642245587277658</v>
      </c>
    </row>
    <row r="3778" spans="1:4">
      <c r="A3778">
        <v>1.0986450000000001</v>
      </c>
      <c r="B3778">
        <v>3.0999310000000002</v>
      </c>
      <c r="C3778">
        <f>LOG10(1.098645)</f>
        <v>4.0857383554299569E-2</v>
      </c>
      <c r="D3778">
        <f>LOG10(3.099931)</f>
        <v>0.49135202717209453</v>
      </c>
    </row>
    <row r="3779" spans="1:4">
      <c r="A3779">
        <v>1.1151770000000001</v>
      </c>
      <c r="B3779">
        <v>3.304522</v>
      </c>
      <c r="C3779">
        <f>LOG10(1.115177)</f>
        <v>4.7343803727311271E-2</v>
      </c>
      <c r="D3779">
        <f>LOG10(3.304522)</f>
        <v>0.51910864755061503</v>
      </c>
    </row>
    <row r="3780" spans="1:4">
      <c r="A3780">
        <v>1.108239</v>
      </c>
      <c r="B3780">
        <v>3.1957460000000002</v>
      </c>
      <c r="C3780">
        <f>LOG10(1.108239)</f>
        <v>4.4633429334774322E-2</v>
      </c>
      <c r="D3780">
        <f>LOG10(3.195746)</f>
        <v>0.5045722540017552</v>
      </c>
    </row>
    <row r="3781" spans="1:4">
      <c r="A3781">
        <v>1.110546</v>
      </c>
      <c r="B3781">
        <v>3.1889889999999999</v>
      </c>
      <c r="C3781">
        <f>LOG10(1.110546)</f>
        <v>4.5536552197789668E-2</v>
      </c>
      <c r="D3781">
        <f>LOG10(3.188989)</f>
        <v>0.50365302120359257</v>
      </c>
    </row>
    <row r="3782" spans="1:4">
      <c r="A3782">
        <v>1.119629</v>
      </c>
      <c r="B3782">
        <v>3.3554590000000002</v>
      </c>
      <c r="C3782">
        <f>LOG10(1.119629)</f>
        <v>4.9074138790967781E-2</v>
      </c>
      <c r="D3782">
        <f>LOG10(3.355459)</f>
        <v>0.52575193658621266</v>
      </c>
    </row>
    <row r="3783" spans="1:4">
      <c r="A3783">
        <v>1.1188119999999999</v>
      </c>
      <c r="B3783">
        <v>3.2186699999999999</v>
      </c>
      <c r="C3783">
        <f>LOG10(1.118812)</f>
        <v>4.8757115820542658E-2</v>
      </c>
      <c r="D3783">
        <f>LOG10(3.21867)</f>
        <v>0.50767645213584511</v>
      </c>
    </row>
    <row r="3784" spans="1:4">
      <c r="A3784">
        <v>1.117545</v>
      </c>
      <c r="B3784">
        <v>3.3452229999999998</v>
      </c>
      <c r="C3784">
        <f>LOG10(1.117545)</f>
        <v>4.8265019820267534E-2</v>
      </c>
      <c r="D3784">
        <f>LOG10(3.345223)</f>
        <v>0.5244250741042461</v>
      </c>
    </row>
    <row r="3785" spans="1:4">
      <c r="A3785">
        <v>1.1344669999999999</v>
      </c>
      <c r="B3785">
        <v>2.9942009999999999</v>
      </c>
      <c r="C3785">
        <f>LOG10(1.134467)</f>
        <v>5.479186740795762E-2</v>
      </c>
      <c r="D3785">
        <f>LOG10(2.994201)</f>
        <v>0.47628095107076479</v>
      </c>
    </row>
    <row r="3786" spans="1:4">
      <c r="A3786">
        <v>1.1125910000000001</v>
      </c>
      <c r="B3786">
        <v>3.0137480000000001</v>
      </c>
      <c r="C3786">
        <f>LOG10(1.112591)</f>
        <v>4.6335542512821022E-2</v>
      </c>
      <c r="D3786">
        <f>LOG10(3.013748)</f>
        <v>0.47910693517671638</v>
      </c>
    </row>
    <row r="3787" spans="1:4">
      <c r="A3787">
        <v>1.1286130000000001</v>
      </c>
      <c r="B3787">
        <v>2.891038</v>
      </c>
      <c r="C3787">
        <f>LOG10(1.128613)</f>
        <v>5.2545048411205518E-2</v>
      </c>
      <c r="D3787">
        <f>LOG10(2.891038)</f>
        <v>0.4610538001043667</v>
      </c>
    </row>
    <row r="3788" spans="1:4">
      <c r="A3788">
        <v>1.124711</v>
      </c>
      <c r="B3788">
        <v>3.1136879999999998</v>
      </c>
      <c r="C3788">
        <f>LOG10(1.124711)</f>
        <v>5.1040942688060705E-2</v>
      </c>
      <c r="D3788">
        <f>LOG10(3.113688)</f>
        <v>0.49327509292482619</v>
      </c>
    </row>
    <row r="3789" spans="1:4">
      <c r="A3789">
        <v>1.0113350000000001</v>
      </c>
      <c r="B3789">
        <v>7.0085550000000003</v>
      </c>
      <c r="C3789">
        <f>LOG10(1.011335)</f>
        <v>4.8950374431851627E-3</v>
      </c>
      <c r="D3789">
        <f>LOG10(7.008555)</f>
        <v>0.8456284858389076</v>
      </c>
    </row>
    <row r="3790" spans="1:4">
      <c r="A3790">
        <v>1.008847</v>
      </c>
      <c r="B3790">
        <v>7.7160209999999996</v>
      </c>
      <c r="C3790">
        <f>LOG10(1.008847)</f>
        <v>3.8253068770497246E-3</v>
      </c>
      <c r="D3790">
        <f>LOG10(7.716021)</f>
        <v>0.88739340095366503</v>
      </c>
    </row>
    <row r="3791" spans="1:4">
      <c r="A3791">
        <v>1.005863</v>
      </c>
      <c r="B3791">
        <v>8.2905350000000002</v>
      </c>
      <c r="C3791">
        <f>LOG10(1.005863)</f>
        <v>2.5388332092552996E-3</v>
      </c>
      <c r="D3791">
        <f>LOG10(8.290535)</f>
        <v>0.91858255709439884</v>
      </c>
    </row>
    <row r="3792" spans="1:4">
      <c r="A3792">
        <v>1.0081450000000001</v>
      </c>
      <c r="B3792">
        <v>8.2643810000000002</v>
      </c>
      <c r="C3792">
        <f>LOG10(1.008145)</f>
        <v>3.5230005331412691E-3</v>
      </c>
      <c r="D3792">
        <f>LOG10(8.264381)</f>
        <v>0.91721033058119517</v>
      </c>
    </row>
    <row r="3793" spans="1:4">
      <c r="A3793">
        <v>1.0083759999999999</v>
      </c>
      <c r="B3793">
        <v>7.7664059999999999</v>
      </c>
      <c r="C3793">
        <f>LOG10(1.008376)</f>
        <v>3.622500638281183E-3</v>
      </c>
      <c r="D3793">
        <f>LOG10(7.766406)</f>
        <v>0.89022009016969772</v>
      </c>
    </row>
    <row r="3794" spans="1:4">
      <c r="A3794">
        <v>1.013676</v>
      </c>
      <c r="B3794">
        <v>7.656523</v>
      </c>
      <c r="C3794">
        <f>LOG10(1.013676)</f>
        <v>5.8991641714315618E-3</v>
      </c>
      <c r="D3794">
        <f>LOG10(7.656523)</f>
        <v>0.8840315914689284</v>
      </c>
    </row>
    <row r="3795" spans="1:4">
      <c r="A3795">
        <v>1.005482</v>
      </c>
      <c r="B3795">
        <v>6.8101079999999996</v>
      </c>
      <c r="C3795">
        <f>LOG10(1.005482)</f>
        <v>2.374300322471371E-3</v>
      </c>
      <c r="D3795">
        <f>LOG10(6.810108)</f>
        <v>0.83315399934775214</v>
      </c>
    </row>
    <row r="3796" spans="1:4">
      <c r="A3796">
        <v>1.0064900000000001</v>
      </c>
      <c r="B3796">
        <v>6.8534369999999996</v>
      </c>
      <c r="C3796">
        <f>LOG10(1.00649)</f>
        <v>2.8094643052559111E-3</v>
      </c>
      <c r="D3796">
        <f>LOG10(6.853437)</f>
        <v>0.83590842489162775</v>
      </c>
    </row>
    <row r="3797" spans="1:4">
      <c r="A3797">
        <v>1.0057499999999999</v>
      </c>
      <c r="B3797">
        <v>6.0955219999999999</v>
      </c>
      <c r="C3797">
        <f>LOG10(1.00575)</f>
        <v>2.4900412432989258E-3</v>
      </c>
      <c r="D3797">
        <f>LOG10(6.095522)</f>
        <v>0.78501090306552301</v>
      </c>
    </row>
    <row r="3798" spans="1:4">
      <c r="A3798">
        <v>1.0068509999999999</v>
      </c>
      <c r="B3798">
        <v>6.3349780000000004</v>
      </c>
      <c r="C3798">
        <f>LOG10(1.006851)</f>
        <v>2.9652057416515928E-3</v>
      </c>
      <c r="D3798">
        <f>LOG10(6.334978)</f>
        <v>0.80174511101185286</v>
      </c>
    </row>
    <row r="3799" spans="1:4">
      <c r="A3799">
        <v>1.011242</v>
      </c>
      <c r="B3799">
        <v>6.5305270000000002</v>
      </c>
      <c r="C3799">
        <f>LOG10(1.011242)</f>
        <v>4.8550989025555403E-3</v>
      </c>
      <c r="D3799">
        <f>LOG10(6.530527)</f>
        <v>0.8149482293542345</v>
      </c>
    </row>
    <row r="3800" spans="1:4">
      <c r="A3800">
        <v>1.007018</v>
      </c>
      <c r="B3800">
        <v>6.6672729999999998</v>
      </c>
      <c r="C3800">
        <f>LOG10(1.007018)</f>
        <v>3.037233444192424E-3</v>
      </c>
      <c r="D3800">
        <f>LOG10(6.667273)</f>
        <v>0.82394823823133589</v>
      </c>
    </row>
    <row r="3801" spans="1:4">
      <c r="A3801">
        <v>1.0077499999999999</v>
      </c>
      <c r="B3801">
        <v>6.5286179999999998</v>
      </c>
      <c r="C3801">
        <f>LOG10(1.00775)</f>
        <v>3.3528068250887446E-3</v>
      </c>
      <c r="D3801">
        <f>LOG10(6.528618)</f>
        <v>0.81482125807520223</v>
      </c>
    </row>
    <row r="3802" spans="1:4">
      <c r="A3802">
        <v>1.008961</v>
      </c>
      <c r="B3802">
        <v>6.2291369999999997</v>
      </c>
      <c r="C3802">
        <f>LOG10(1.008961)</f>
        <v>3.874379505356902E-3</v>
      </c>
      <c r="D3802">
        <f>LOG10(6.229137)</f>
        <v>0.79442788259829089</v>
      </c>
    </row>
    <row r="3803" spans="1:4">
      <c r="A3803">
        <v>1.0095970000000001</v>
      </c>
      <c r="B3803">
        <v>7.0760009999999998</v>
      </c>
      <c r="C3803">
        <f>LOG10(1.009597)</f>
        <v>4.148051403445166E-3</v>
      </c>
      <c r="D3803">
        <f>LOG10(7.076001)</f>
        <v>0.84978788561338525</v>
      </c>
    </row>
    <row r="3804" spans="1:4">
      <c r="A3804">
        <v>1.006432</v>
      </c>
      <c r="B3804">
        <v>7.8754689999999998</v>
      </c>
      <c r="C3804">
        <f>LOG10(1.006432)</f>
        <v>2.7844369271881977E-3</v>
      </c>
      <c r="D3804">
        <f>LOG10(7.875469)</f>
        <v>0.89627642634062132</v>
      </c>
    </row>
    <row r="3805" spans="1:4">
      <c r="A3805">
        <v>1.008373</v>
      </c>
      <c r="B3805">
        <v>7.2896260000000002</v>
      </c>
      <c r="C3805">
        <f>LOG10(1.008373)</f>
        <v>3.6212085752176087E-3</v>
      </c>
      <c r="D3805">
        <f>LOG10(7.289626)</f>
        <v>0.86270524706929685</v>
      </c>
    </row>
    <row r="3806" spans="1:4">
      <c r="A3806">
        <v>1.007876</v>
      </c>
      <c r="B3806">
        <v>6.9414499999999997</v>
      </c>
      <c r="C3806">
        <f>LOG10(1.007876)</f>
        <v>3.4071037083310903E-3</v>
      </c>
      <c r="D3806">
        <f>LOG10(6.94145)</f>
        <v>0.84145019973760993</v>
      </c>
    </row>
    <row r="3807" spans="1:4">
      <c r="A3807">
        <v>1.0052239999999999</v>
      </c>
      <c r="B3807">
        <v>6.9221190000000004</v>
      </c>
      <c r="C3807">
        <f>LOG10(1.005224)</f>
        <v>2.2628489447503041E-3</v>
      </c>
      <c r="D3807">
        <f>LOG10(6.922119)</f>
        <v>0.8402390610949354</v>
      </c>
    </row>
    <row r="3808" spans="1:4">
      <c r="A3808">
        <v>1.0058450000000001</v>
      </c>
      <c r="B3808">
        <v>7.9639340000000001</v>
      </c>
      <c r="C3808">
        <f>LOG10(1.005845)</f>
        <v>2.5310614047246195E-3</v>
      </c>
      <c r="D3808">
        <f>LOG10(7.963934)</f>
        <v>0.90112765221491775</v>
      </c>
    </row>
    <row r="3809" spans="1:4">
      <c r="A3809">
        <v>1.0174300000000001</v>
      </c>
      <c r="B3809">
        <v>7.9562400000000002</v>
      </c>
      <c r="C3809">
        <f>LOG10(1.01743)</f>
        <v>7.5045391164197863E-3</v>
      </c>
      <c r="D3809">
        <f>LOG10(7.95624)</f>
        <v>0.90070787514415029</v>
      </c>
    </row>
    <row r="3810" spans="1:4">
      <c r="A3810">
        <v>1.005455</v>
      </c>
      <c r="B3810">
        <v>7.7352759999999998</v>
      </c>
      <c r="C3810">
        <f>LOG10(1.005455)</f>
        <v>2.3626381460709247E-3</v>
      </c>
      <c r="D3810">
        <f>LOG10(7.735276)</f>
        <v>0.88847581423946409</v>
      </c>
    </row>
    <row r="3811" spans="1:4">
      <c r="A3811">
        <v>1.0058879999999999</v>
      </c>
      <c r="B3811">
        <v>8.2370590000000004</v>
      </c>
      <c r="C3811">
        <f>LOG10(1.005888)</f>
        <v>2.5496271514957804E-3</v>
      </c>
      <c r="D3811">
        <f>LOG10(8.237059)</f>
        <v>0.91577217673792299</v>
      </c>
    </row>
    <row r="3812" spans="1:4">
      <c r="A3812">
        <v>1.0051030000000001</v>
      </c>
      <c r="B3812">
        <v>8.0540210000000005</v>
      </c>
      <c r="C3812">
        <f>LOG10(1.005103)</f>
        <v>2.2105692585363984E-3</v>
      </c>
      <c r="D3812">
        <f>LOG10(8.054021)</f>
        <v>0.90601275764939015</v>
      </c>
    </row>
    <row r="3813" spans="1:4">
      <c r="A3813">
        <v>1.008143</v>
      </c>
      <c r="B3813">
        <v>7.7178740000000001</v>
      </c>
      <c r="C3813">
        <f>LOG10(1.008143)</f>
        <v>3.5221389608224023E-3</v>
      </c>
      <c r="D3813">
        <f>LOG10(7.717874)</f>
        <v>0.88749768411469909</v>
      </c>
    </row>
    <row r="3814" spans="1:4">
      <c r="A3814">
        <v>1.0050509999999999</v>
      </c>
      <c r="B3814">
        <v>7.7152260000000004</v>
      </c>
      <c r="C3814">
        <f>LOG10(1.005051)</f>
        <v>2.188100021787296E-3</v>
      </c>
      <c r="D3814">
        <f>LOG10(7.715226)</f>
        <v>0.88734865225468851</v>
      </c>
    </row>
    <row r="3815" spans="1:4">
      <c r="A3815">
        <v>1.0041789999999999</v>
      </c>
      <c r="B3815">
        <v>7.8877100000000002</v>
      </c>
      <c r="C3815">
        <f>LOG10(1.004179)</f>
        <v>1.8111349038103393E-3</v>
      </c>
      <c r="D3815">
        <f>LOG10(7.88771)</f>
        <v>0.8969509349307484</v>
      </c>
    </row>
    <row r="3816" spans="1:4">
      <c r="A3816">
        <v>1.004211</v>
      </c>
      <c r="B3816">
        <v>7.5241720000000001</v>
      </c>
      <c r="C3816">
        <f>LOG10(1.004211)</f>
        <v>1.8249742710867091E-3</v>
      </c>
      <c r="D3816">
        <f>LOG10(7.524172)</f>
        <v>0.87645871481522164</v>
      </c>
    </row>
    <row r="3817" spans="1:4">
      <c r="A3817">
        <v>1.009485</v>
      </c>
      <c r="B3817">
        <v>7.9900849999999997</v>
      </c>
      <c r="C3817">
        <f>LOG10(1.009485)</f>
        <v>4.099870119056416E-3</v>
      </c>
      <c r="D3817">
        <f>LOG10(7.990085)</f>
        <v>0.90255139944347906</v>
      </c>
    </row>
    <row r="3818" spans="1:4">
      <c r="A3818">
        <v>1.0091920000000001</v>
      </c>
      <c r="B3818">
        <v>7.1024909999999997</v>
      </c>
      <c r="C3818">
        <f>LOG10(1.009192)</f>
        <v>3.9737991487217104E-3</v>
      </c>
      <c r="D3818">
        <f>LOG10(7.102491)</f>
        <v>0.85141069207426756</v>
      </c>
    </row>
    <row r="3819" spans="1:4">
      <c r="A3819">
        <v>1.006643</v>
      </c>
      <c r="B3819">
        <v>6.518116</v>
      </c>
      <c r="C3819">
        <f>LOG10(1.006643)</f>
        <v>2.8754778829570039E-3</v>
      </c>
      <c r="D3819">
        <f>LOG10(6.518116)</f>
        <v>0.81412208514287487</v>
      </c>
    </row>
    <row r="3820" spans="1:4">
      <c r="A3820">
        <v>1.0066870000000001</v>
      </c>
      <c r="B3820">
        <v>6.6286170000000002</v>
      </c>
      <c r="C3820">
        <f>LOG10(1.006687)</f>
        <v>2.8944603222062601E-3</v>
      </c>
      <c r="D3820">
        <f>LOG10(6.628617)</f>
        <v>0.82142292630492353</v>
      </c>
    </row>
    <row r="3821" spans="1:4">
      <c r="A3821">
        <v>1.0099640000000001</v>
      </c>
      <c r="B3821">
        <v>7.2740600000000004</v>
      </c>
      <c r="C3821">
        <f>LOG10(1.009964)</f>
        <v>4.3058937034430086E-3</v>
      </c>
      <c r="D3821">
        <f>LOG10(7.27406)</f>
        <v>0.86177687900649158</v>
      </c>
    </row>
    <row r="3822" spans="1:4">
      <c r="A3822">
        <v>1.004651</v>
      </c>
      <c r="B3822">
        <v>7.7444309999999996</v>
      </c>
      <c r="C3822">
        <f>LOG10(1.004651)</f>
        <v>2.0152208635287987E-3</v>
      </c>
      <c r="D3822">
        <f>LOG10(7.744431)</f>
        <v>0.88898951471782484</v>
      </c>
    </row>
    <row r="3823" spans="1:4">
      <c r="A3823">
        <v>1.00468</v>
      </c>
      <c r="B3823">
        <v>7.4439229999999998</v>
      </c>
      <c r="C3823">
        <f>LOG10(1.00468)</f>
        <v>2.0277569165495241E-3</v>
      </c>
      <c r="D3823">
        <f>LOG10(7.443923)</f>
        <v>0.87180187213631388</v>
      </c>
    </row>
    <row r="3824" spans="1:4">
      <c r="A3824">
        <v>1.0082850000000001</v>
      </c>
      <c r="B3824">
        <v>7.31677</v>
      </c>
      <c r="C3824">
        <f>LOG10(1.008285)</f>
        <v>3.5833063484328139E-3</v>
      </c>
      <c r="D3824">
        <f>LOG10(7.31677)</f>
        <v>0.86431940335910185</v>
      </c>
    </row>
    <row r="3825" spans="1:4">
      <c r="A3825">
        <v>1.004764</v>
      </c>
      <c r="B3825">
        <v>6.8199269999999999</v>
      </c>
      <c r="C3825">
        <f>LOG10(1.004764)</f>
        <v>2.0640662006112952E-3</v>
      </c>
      <c r="D3825">
        <f>LOG10(6.819927)</f>
        <v>0.8337797260249753</v>
      </c>
    </row>
    <row r="3826" spans="1:4">
      <c r="A3826">
        <v>1.005846</v>
      </c>
      <c r="B3826">
        <v>7.0817909999999999</v>
      </c>
      <c r="C3826">
        <f>LOG10(1.005846)</f>
        <v>2.5314931752916377E-3</v>
      </c>
      <c r="D3826">
        <f>LOG10(7.081791)</f>
        <v>0.85014310557853334</v>
      </c>
    </row>
    <row r="3827" spans="1:4">
      <c r="A3827">
        <v>1.006656</v>
      </c>
      <c r="B3827">
        <v>6.9879220000000002</v>
      </c>
      <c r="C3827">
        <f>LOG10(1.006656)</f>
        <v>2.8810864172729087E-3</v>
      </c>
      <c r="D3827">
        <f>LOG10(6.987922)</f>
        <v>0.84434804869231206</v>
      </c>
    </row>
    <row r="3828" spans="1:4">
      <c r="A3828">
        <v>1.0163439999999999</v>
      </c>
      <c r="B3828">
        <v>6.3040789999999998</v>
      </c>
      <c r="C3828">
        <f>LOG10(1.016344)</f>
        <v>7.0407276485037126E-3</v>
      </c>
      <c r="D3828">
        <f>LOG10(6.304079)</f>
        <v>0.79962164690679949</v>
      </c>
    </row>
    <row r="3829" spans="1:4">
      <c r="A3829">
        <v>1.007009</v>
      </c>
      <c r="B3829">
        <v>6.5567690000000001</v>
      </c>
      <c r="C3829">
        <f>LOG10(1.007009)</f>
        <v>3.033352016250174E-3</v>
      </c>
      <c r="D3829">
        <f>LOG10(6.556769)</f>
        <v>0.81668988340839277</v>
      </c>
    </row>
    <row r="3830" spans="1:4">
      <c r="A3830">
        <v>1.007844</v>
      </c>
      <c r="B3830">
        <v>7.0636749999999999</v>
      </c>
      <c r="C3830">
        <f>LOG10(1.007844)</f>
        <v>3.3933146667756305E-3</v>
      </c>
      <c r="D3830">
        <f>LOG10(7.063675)</f>
        <v>0.84903070912081047</v>
      </c>
    </row>
    <row r="3831" spans="1:4">
      <c r="A3831">
        <v>1.007376</v>
      </c>
      <c r="B3831">
        <v>6.7959509999999996</v>
      </c>
      <c r="C3831">
        <f>LOG10(1.007376)</f>
        <v>3.191599895004235E-3</v>
      </c>
      <c r="D3831">
        <f>LOG10(6.795951)</f>
        <v>0.8322502388688251</v>
      </c>
    </row>
    <row r="3832" spans="1:4">
      <c r="A3832">
        <v>1.01417</v>
      </c>
      <c r="B3832">
        <v>6.5634079999999999</v>
      </c>
      <c r="C3832">
        <f>LOG10(1.01417)</f>
        <v>6.1107596064933862E-3</v>
      </c>
      <c r="D3832">
        <f>LOG10(6.563408)</f>
        <v>0.81712940206907003</v>
      </c>
    </row>
    <row r="3833" spans="1:4">
      <c r="A3833">
        <v>1.00543</v>
      </c>
      <c r="B3833">
        <v>6.4452670000000003</v>
      </c>
      <c r="C3833">
        <f>LOG10(1.00543)</f>
        <v>2.3518395553527929E-3</v>
      </c>
      <c r="D3833">
        <f>LOG10(6.445267)</f>
        <v>0.80924091303540169</v>
      </c>
    </row>
    <row r="3834" spans="1:4">
      <c r="A3834">
        <v>1.0063040000000001</v>
      </c>
      <c r="B3834">
        <v>6.5961220000000003</v>
      </c>
      <c r="C3834">
        <f>LOG10(1.006304)</f>
        <v>2.7291989886224677E-3</v>
      </c>
      <c r="D3834">
        <f>LOG10(6.596122)</f>
        <v>0.81928867963421581</v>
      </c>
    </row>
    <row r="3835" spans="1:4">
      <c r="A3835">
        <v>1.0086379999999999</v>
      </c>
      <c r="B3835">
        <v>7.0010570000000003</v>
      </c>
      <c r="C3835">
        <f>LOG10(1.008638)</f>
        <v>3.7353259879303177E-3</v>
      </c>
      <c r="D3835">
        <f>LOG10(7.001057)</f>
        <v>0.84516361353034841</v>
      </c>
    </row>
    <row r="3836" spans="1:4">
      <c r="A3836">
        <v>1.0094339999999999</v>
      </c>
      <c r="B3836">
        <v>7.4096849999999996</v>
      </c>
      <c r="C3836">
        <f>LOG10(1.009434)</f>
        <v>4.0779286557468064E-3</v>
      </c>
      <c r="D3836">
        <f>LOG10(7.409685)</f>
        <v>0.86979974567573393</v>
      </c>
    </row>
    <row r="3837" spans="1:4">
      <c r="A3837">
        <v>1.0052239999999999</v>
      </c>
      <c r="B3837">
        <v>6.1290490000000002</v>
      </c>
      <c r="C3837">
        <f>LOG10(1.005224)</f>
        <v>2.2628489447503041E-3</v>
      </c>
      <c r="D3837">
        <f>LOG10(6.129049)</f>
        <v>0.7873930934265998</v>
      </c>
    </row>
    <row r="3838" spans="1:4">
      <c r="A3838">
        <v>1.005989</v>
      </c>
      <c r="B3838">
        <v>6.1913609999999997</v>
      </c>
      <c r="C3838">
        <f>LOG10(1.005989)</f>
        <v>2.5932319471260634E-3</v>
      </c>
      <c r="D3838">
        <f>LOG10(6.191361)</f>
        <v>0.79178612718156582</v>
      </c>
    </row>
    <row r="3839" spans="1:4">
      <c r="A3839">
        <v>1.010926</v>
      </c>
      <c r="B3839">
        <v>6.2273959999999997</v>
      </c>
      <c r="C3839">
        <f>LOG10(1.010926)</f>
        <v>4.7193663052653902E-3</v>
      </c>
      <c r="D3839">
        <f>LOG10(6.227396)</f>
        <v>0.79430648337783094</v>
      </c>
    </row>
    <row r="3840" spans="1:4">
      <c r="A3840">
        <v>1.006362</v>
      </c>
      <c r="B3840">
        <v>7.1997970000000002</v>
      </c>
      <c r="C3840">
        <f>LOG10(1.006362)</f>
        <v>2.7542295500343605E-3</v>
      </c>
      <c r="D3840">
        <f>LOG10(7.199797)</f>
        <v>0.85732025156700653</v>
      </c>
    </row>
    <row r="3841" spans="1:4">
      <c r="A3841">
        <v>1.0086189999999999</v>
      </c>
      <c r="B3841">
        <v>6.8660819999999996</v>
      </c>
      <c r="C3841">
        <f>LOG10(1.008619)</f>
        <v>3.7271449825785927E-3</v>
      </c>
      <c r="D3841">
        <f>LOG10(6.866082)</f>
        <v>0.83670898579740116</v>
      </c>
    </row>
    <row r="3842" spans="1:4">
      <c r="A3842">
        <v>1.0085949999999999</v>
      </c>
      <c r="B3842">
        <v>6.296837</v>
      </c>
      <c r="C3842">
        <f>LOG10(1.008595)</f>
        <v>3.7168108607985731E-3</v>
      </c>
      <c r="D3842">
        <f>LOG10(6.296837)</f>
        <v>0.79912245129526949</v>
      </c>
    </row>
    <row r="3843" spans="1:4">
      <c r="A3843">
        <v>1.013198</v>
      </c>
      <c r="B3843">
        <v>6.1503209999999999</v>
      </c>
      <c r="C3843">
        <f>LOG10(1.013198)</f>
        <v>5.6943238447035452E-3</v>
      </c>
      <c r="D3843">
        <f>LOG10(6.150321)</f>
        <v>0.78889778323730209</v>
      </c>
    </row>
    <row r="3844" spans="1:4">
      <c r="A3844">
        <v>1.0047699999999999</v>
      </c>
      <c r="B3844">
        <v>5.6623489999999999</v>
      </c>
      <c r="C3844">
        <f>LOG10(1.00477)</f>
        <v>2.0666596047451947E-3</v>
      </c>
      <c r="D3844">
        <f>LOG10(5.662349)</f>
        <v>0.75299663368028558</v>
      </c>
    </row>
    <row r="3845" spans="1:4">
      <c r="A3845">
        <v>1.006362</v>
      </c>
      <c r="B3845">
        <v>6.0859329999999998</v>
      </c>
      <c r="C3845">
        <f>LOG10(1.006362)</f>
        <v>2.7542295500343605E-3</v>
      </c>
      <c r="D3845">
        <f>LOG10(6.085933)</f>
        <v>0.78432716690311188</v>
      </c>
    </row>
    <row r="3846" spans="1:4">
      <c r="A3846">
        <v>1.007717</v>
      </c>
      <c r="B3846">
        <v>6.089245</v>
      </c>
      <c r="C3846">
        <f>LOG10(1.007717)</f>
        <v>3.3385850909655201E-3</v>
      </c>
      <c r="D3846">
        <f>LOG10(6.089245)</f>
        <v>0.78456344818943791</v>
      </c>
    </row>
    <row r="3847" spans="1:4">
      <c r="A3847">
        <v>1.012977</v>
      </c>
      <c r="B3847">
        <v>5.9925990000000002</v>
      </c>
      <c r="C3847">
        <f>LOG10(1.012977)</f>
        <v>5.5995846628646168E-3</v>
      </c>
      <c r="D3847">
        <f>LOG10(5.992599)</f>
        <v>0.77761521747391149</v>
      </c>
    </row>
    <row r="3848" spans="1:4">
      <c r="A3848">
        <v>1.0075620000000001</v>
      </c>
      <c r="B3848">
        <v>5.7007099999999999</v>
      </c>
      <c r="C3848">
        <f>LOG10(1.007562)</f>
        <v>3.2717798051190459E-3</v>
      </c>
      <c r="D3848">
        <f>LOG10(5.70071)</f>
        <v>0.75592894863381577</v>
      </c>
    </row>
    <row r="3849" spans="1:4">
      <c r="A3849">
        <v>1.0087269999999999</v>
      </c>
      <c r="B3849">
        <v>5.7408109999999999</v>
      </c>
      <c r="C3849">
        <f>LOG10(1.008727)</f>
        <v>3.7736454877872775E-3</v>
      </c>
      <c r="D3849">
        <f>LOG10(5.740811)</f>
        <v>0.75897324918285736</v>
      </c>
    </row>
    <row r="3850" spans="1:4">
      <c r="A3850">
        <v>1.008003</v>
      </c>
      <c r="B3850">
        <v>6.0620510000000003</v>
      </c>
      <c r="C3850">
        <f>LOG10(1.008003)</f>
        <v>3.4618246506839577E-3</v>
      </c>
      <c r="D3850">
        <f>LOG10(6.062051)</f>
        <v>0.7826195857639372</v>
      </c>
    </row>
    <row r="3851" spans="1:4">
      <c r="A3851">
        <v>1.005099</v>
      </c>
      <c r="B3851">
        <v>5.8057860000000003</v>
      </c>
      <c r="C3851">
        <f>LOG10(1.005099)</f>
        <v>2.2088408969810269E-3</v>
      </c>
      <c r="D3851">
        <f>LOG10(5.805786)</f>
        <v>0.76386102379121779</v>
      </c>
    </row>
    <row r="3852" spans="1:4">
      <c r="A3852">
        <v>1.0049330000000001</v>
      </c>
      <c r="B3852">
        <v>5.8040320000000003</v>
      </c>
      <c r="C3852">
        <f>LOG10(1.004933)</f>
        <v>2.1371078259057484E-3</v>
      </c>
      <c r="D3852">
        <f>LOG10(5.804032)</f>
        <v>0.76372979821523479</v>
      </c>
    </row>
    <row r="3853" spans="1:4">
      <c r="A3853">
        <v>1.007466</v>
      </c>
      <c r="B3853">
        <v>6.01755</v>
      </c>
      <c r="C3853">
        <f>LOG10(1.007466)</f>
        <v>3.2303984741456817E-3</v>
      </c>
      <c r="D3853">
        <f>LOG10(6.01755)</f>
        <v>0.77941970752768763</v>
      </c>
    </row>
    <row r="3854" spans="1:4">
      <c r="A3854">
        <v>1.0081990000000001</v>
      </c>
      <c r="B3854">
        <v>5.9903019999999998</v>
      </c>
      <c r="C3854">
        <f>LOG10(1.008199)</f>
        <v>3.5462623396865628E-3</v>
      </c>
      <c r="D3854">
        <f>LOG10(5.990302)</f>
        <v>0.77744871781958724</v>
      </c>
    </row>
    <row r="3855" spans="1:4">
      <c r="A3855">
        <v>1.0051140000000001</v>
      </c>
      <c r="B3855">
        <v>6.1217249999999996</v>
      </c>
      <c r="C3855">
        <f>LOG10(1.005114)</f>
        <v>2.2153222173472891E-3</v>
      </c>
      <c r="D3855">
        <f>LOG10(6.121725)</f>
        <v>0.7868738163320409</v>
      </c>
    </row>
    <row r="3856" spans="1:4">
      <c r="A3856">
        <v>1.005182</v>
      </c>
      <c r="B3856">
        <v>5.6203099999999999</v>
      </c>
      <c r="C3856">
        <f>LOG10(1.005182)</f>
        <v>2.2447029899107978E-3</v>
      </c>
      <c r="D3856">
        <f>LOG10(5.62031)</f>
        <v>0.74976027065382722</v>
      </c>
    </row>
    <row r="3857" spans="1:4">
      <c r="A3857">
        <v>1.006024</v>
      </c>
      <c r="B3857">
        <v>5.8928419999999999</v>
      </c>
      <c r="C3857">
        <f>LOG10(1.006024)</f>
        <v>2.6083414984740421E-3</v>
      </c>
      <c r="D3857">
        <f>LOG10(5.892842)</f>
        <v>0.77032479686503907</v>
      </c>
    </row>
    <row r="3858" spans="1:4">
      <c r="A3858">
        <v>1.0151520000000001</v>
      </c>
      <c r="B3858">
        <v>5.6588250000000002</v>
      </c>
      <c r="C3858">
        <f>LOG10(1.015152)</f>
        <v>6.531074583138413E-3</v>
      </c>
      <c r="D3858">
        <f>LOG10(5.658825)</f>
        <v>0.75272626352191574</v>
      </c>
    </row>
    <row r="3859" spans="1:4">
      <c r="A3859">
        <v>1.007735</v>
      </c>
      <c r="B3859">
        <v>6.1753280000000004</v>
      </c>
      <c r="C3859">
        <f>LOG10(1.007735)</f>
        <v>3.3463424582206055E-3</v>
      </c>
      <c r="D3859">
        <f>LOG10(6.175328)</f>
        <v>0.7906600299166342</v>
      </c>
    </row>
    <row r="3860" spans="1:4">
      <c r="A3860">
        <v>1.004483</v>
      </c>
      <c r="B3860">
        <v>6.0754359999999998</v>
      </c>
      <c r="C3860">
        <f>LOG10(1.004483)</f>
        <v>1.9425910905721206E-3</v>
      </c>
      <c r="D3860">
        <f>LOG10(6.075436)</f>
        <v>0.78357745027027847</v>
      </c>
    </row>
    <row r="3861" spans="1:4">
      <c r="A3861">
        <v>1.0042549999999999</v>
      </c>
      <c r="B3861">
        <v>6.0854359999999996</v>
      </c>
      <c r="C3861">
        <f>LOG10(1.004255)</f>
        <v>1.8440026810341724E-3</v>
      </c>
      <c r="D3861">
        <f>LOG10(6.085436)</f>
        <v>0.7842916993468122</v>
      </c>
    </row>
    <row r="3862" spans="1:4">
      <c r="A3862">
        <v>1.0064109999999999</v>
      </c>
      <c r="B3862">
        <v>5.8433859999999997</v>
      </c>
      <c r="C3862">
        <f>LOG10(1.006411)</f>
        <v>2.7753749346529424E-3</v>
      </c>
      <c r="D3862">
        <f>LOG10(5.843386)</f>
        <v>0.76666457570493163</v>
      </c>
    </row>
    <row r="3863" spans="1:4">
      <c r="A3863">
        <v>1.0066170000000001</v>
      </c>
      <c r="B3863">
        <v>5.8281850000000004</v>
      </c>
      <c r="C3863">
        <f>LOG10(1.006617)</f>
        <v>2.8642605970326312E-3</v>
      </c>
      <c r="D3863">
        <f>LOG10(5.828185)</f>
        <v>0.76553332882272596</v>
      </c>
    </row>
    <row r="3864" spans="1:4">
      <c r="A3864">
        <v>1.0056529999999999</v>
      </c>
      <c r="B3864">
        <v>6.2439340000000003</v>
      </c>
      <c r="C3864">
        <f>LOG10(1.005653)</f>
        <v>2.4481535014816186E-3</v>
      </c>
      <c r="D3864">
        <f>LOG10(6.243934)</f>
        <v>0.79545830380945504</v>
      </c>
    </row>
    <row r="3865" spans="1:4">
      <c r="A3865">
        <v>1.007393</v>
      </c>
      <c r="B3865">
        <v>6.1404269999999999</v>
      </c>
      <c r="C3865">
        <f>LOG10(1.007393)</f>
        <v>3.1989287810378218E-3</v>
      </c>
      <c r="D3865">
        <f>LOG10(6.140427)</f>
        <v>0.78819857265514559</v>
      </c>
    </row>
    <row r="3866" spans="1:4">
      <c r="A3866">
        <v>1.0067090000000001</v>
      </c>
      <c r="B3866">
        <v>5.8531060000000004</v>
      </c>
      <c r="C3866">
        <f>LOG10(1.006709)</f>
        <v>2.903951230703384E-3</v>
      </c>
      <c r="D3866">
        <f>LOG10(5.853106)</f>
        <v>0.76738638927704217</v>
      </c>
    </row>
    <row r="3867" spans="1:4">
      <c r="A3867">
        <v>1.0075480000000001</v>
      </c>
      <c r="B3867">
        <v>5.9900169999999999</v>
      </c>
      <c r="C3867">
        <f>LOG10(1.007548)</f>
        <v>3.2657452732605115E-3</v>
      </c>
      <c r="D3867">
        <f>LOG10(5.990017)</f>
        <v>0.77742805494285327</v>
      </c>
    </row>
    <row r="3868" spans="1:4">
      <c r="A3868">
        <v>1.0060880000000001</v>
      </c>
      <c r="B3868">
        <v>5.8840649999999997</v>
      </c>
      <c r="C3868">
        <f>LOG10(1.006088)</f>
        <v>2.6359690329763054E-3</v>
      </c>
      <c r="D3868">
        <f>LOG10(5.884065)</f>
        <v>0.76967746163968731</v>
      </c>
    </row>
    <row r="3869" spans="1:4">
      <c r="A3869">
        <v>1.007398</v>
      </c>
      <c r="B3869">
        <v>5.3930980000000002</v>
      </c>
      <c r="C3869">
        <f>LOG10(1.007398)</f>
        <v>3.2010843122165246E-3</v>
      </c>
      <c r="D3869">
        <f>LOG10(5.393098)</f>
        <v>0.73183831208725936</v>
      </c>
    </row>
    <row r="3870" spans="1:4">
      <c r="A3870">
        <v>1.0145900000000001</v>
      </c>
      <c r="B3870">
        <v>5.6942089999999999</v>
      </c>
      <c r="C3870">
        <f>LOG10(1.01459)</f>
        <v>6.2905775100455608E-3</v>
      </c>
      <c r="D3870">
        <f>LOG10(5.694209)</f>
        <v>0.75543340342929477</v>
      </c>
    </row>
    <row r="3871" spans="1:4">
      <c r="A3871">
        <v>1.008254</v>
      </c>
      <c r="B3871">
        <v>5.911537</v>
      </c>
      <c r="C3871">
        <f>LOG10(1.008254)</f>
        <v>3.5699536397174247E-3</v>
      </c>
      <c r="D3871">
        <f>LOG10(5.911537)</f>
        <v>0.7717004121561728</v>
      </c>
    </row>
    <row r="3872" spans="1:4">
      <c r="A3872">
        <v>1.0133700000000001</v>
      </c>
      <c r="B3872">
        <v>5.3185190000000002</v>
      </c>
      <c r="C3872">
        <f>LOG10(1.01337)</f>
        <v>5.7680432077515612E-3</v>
      </c>
      <c r="D3872">
        <f>LOG10(5.318519)</f>
        <v>0.72579071506364523</v>
      </c>
    </row>
    <row r="3873" spans="1:4">
      <c r="A3873">
        <v>1.0115339999999999</v>
      </c>
      <c r="B3873">
        <v>5.5140599999999997</v>
      </c>
      <c r="C3873">
        <f>LOG10(1.011534)</f>
        <v>4.9804849953276617E-3</v>
      </c>
      <c r="D3873">
        <f>LOG10(5.51406)</f>
        <v>0.74147148747290026</v>
      </c>
    </row>
    <row r="3874" spans="1:4">
      <c r="A3874">
        <v>1.00718</v>
      </c>
      <c r="B3874">
        <v>5.1014030000000004</v>
      </c>
      <c r="C3874">
        <f>LOG10(1.00718)</f>
        <v>3.1070932158931519E-3</v>
      </c>
      <c r="D3874">
        <f>LOG10(5.101403)</f>
        <v>0.70768963322789236</v>
      </c>
    </row>
    <row r="3875" spans="1:4">
      <c r="A3875">
        <v>1.0118549999999999</v>
      </c>
      <c r="B3875">
        <v>5.8598879999999998</v>
      </c>
      <c r="C3875">
        <f>LOG10(1.011855)</f>
        <v>5.11828205744523E-3</v>
      </c>
      <c r="D3875">
        <f>LOG10(5.859888)</f>
        <v>0.76788931542989824</v>
      </c>
    </row>
    <row r="3876" spans="1:4">
      <c r="A3876">
        <v>1.0081180000000001</v>
      </c>
      <c r="B3876">
        <v>5.7435470000000004</v>
      </c>
      <c r="C3876">
        <f>LOG10(1.008118)</f>
        <v>3.511369162618586E-3</v>
      </c>
      <c r="D3876">
        <f>LOG10(5.743547)</f>
        <v>0.75918017929161352</v>
      </c>
    </row>
    <row r="3877" spans="1:4">
      <c r="A3877">
        <v>1.0143580000000001</v>
      </c>
      <c r="B3877">
        <v>6.4733549999999997</v>
      </c>
      <c r="C3877">
        <f>LOG10(1.014358)</f>
        <v>6.1912587298297234E-3</v>
      </c>
      <c r="D3877">
        <f>LOG10(6.473355)</f>
        <v>0.81112942446169956</v>
      </c>
    </row>
    <row r="3878" spans="1:4">
      <c r="A3878">
        <v>1.0130539999999999</v>
      </c>
      <c r="B3878">
        <v>5.6314820000000001</v>
      </c>
      <c r="C3878">
        <f>LOG10(1.013054)</f>
        <v>5.6325956830539431E-3</v>
      </c>
      <c r="D3878">
        <f>LOG10(5.631482)</f>
        <v>0.7506227003088155</v>
      </c>
    </row>
    <row r="3879" spans="1:4">
      <c r="A3879">
        <v>1.007455</v>
      </c>
      <c r="B3879">
        <v>6.1589289999999997</v>
      </c>
      <c r="C3879">
        <f>LOG10(1.007455)</f>
        <v>3.2256566115108926E-3</v>
      </c>
      <c r="D3879">
        <f>LOG10(6.158929)</f>
        <v>0.78950519758173887</v>
      </c>
    </row>
    <row r="3880" spans="1:4">
      <c r="A3880">
        <v>1.0090710000000001</v>
      </c>
      <c r="B3880">
        <v>5.7309599999999996</v>
      </c>
      <c r="C3880">
        <f>LOG10(1.009071)</f>
        <v>3.9217250311530194E-3</v>
      </c>
      <c r="D3880">
        <f>LOG10(5.73096)</f>
        <v>0.75822737725204359</v>
      </c>
    </row>
    <row r="3881" spans="1:4">
      <c r="A3881">
        <v>1.0089680000000001</v>
      </c>
      <c r="B3881">
        <v>5.7966249999999997</v>
      </c>
      <c r="C3881">
        <f>LOG10(1.008968)</f>
        <v>3.8773925562356733E-3</v>
      </c>
      <c r="D3881">
        <f>LOG10(5.796625)</f>
        <v>0.76317520554611229</v>
      </c>
    </row>
    <row r="3882" spans="1:4">
      <c r="A3882">
        <v>1.009415</v>
      </c>
      <c r="B3882">
        <v>6.385764</v>
      </c>
      <c r="C3882">
        <f>LOG10(1.009415)</f>
        <v>4.0697541016752525E-3</v>
      </c>
      <c r="D3882">
        <f>LOG10(6.385764)</f>
        <v>0.80521286418907556</v>
      </c>
    </row>
    <row r="3883" spans="1:4">
      <c r="A3883">
        <v>1.0096240000000001</v>
      </c>
      <c r="B3883">
        <v>6.5561619999999996</v>
      </c>
      <c r="C3883">
        <f>LOG10(1.009624)</f>
        <v>4.159665734924569E-3</v>
      </c>
      <c r="D3883">
        <f>LOG10(6.556162)</f>
        <v>0.81664967626466511</v>
      </c>
    </row>
    <row r="3884" spans="1:4">
      <c r="A3884">
        <v>1.005692</v>
      </c>
      <c r="B3884">
        <v>6.0818009999999996</v>
      </c>
      <c r="C3884">
        <f>LOG10(1.005692)</f>
        <v>2.4649954503232173E-3</v>
      </c>
      <c r="D3884">
        <f>LOG10(6.081801)</f>
        <v>0.78403220567726584</v>
      </c>
    </row>
    <row r="3885" spans="1:4">
      <c r="A3885">
        <v>1.0061819999999999</v>
      </c>
      <c r="B3885">
        <v>5.9076550000000001</v>
      </c>
      <c r="C3885">
        <f>LOG10(1.006182)</f>
        <v>2.676543788181641E-3</v>
      </c>
      <c r="D3885">
        <f>LOG10(5.907655)</f>
        <v>0.77141512510112298</v>
      </c>
    </row>
    <row r="3886" spans="1:4">
      <c r="A3886">
        <v>1.004521</v>
      </c>
      <c r="B3886">
        <v>6.2452870000000003</v>
      </c>
      <c r="C3886">
        <f>LOG10(1.004521)</f>
        <v>1.9590203165112266E-3</v>
      </c>
      <c r="D3886">
        <f>LOG10(6.245287)</f>
        <v>0.79555240102117286</v>
      </c>
    </row>
    <row r="3887" spans="1:4">
      <c r="A3887">
        <v>1.004877</v>
      </c>
      <c r="B3887">
        <v>6.4218500000000001</v>
      </c>
      <c r="C3887">
        <f>LOG10(1.004877)</f>
        <v>2.1129060446499078E-3</v>
      </c>
      <c r="D3887">
        <f>LOG10(6.42185)</f>
        <v>0.80766015720477669</v>
      </c>
    </row>
    <row r="3888" spans="1:4">
      <c r="A3888">
        <v>1.0113080000000001</v>
      </c>
      <c r="B3888">
        <v>6.5774119999999998</v>
      </c>
      <c r="C3888">
        <f>LOG10(1.011308)</f>
        <v>4.8834427613633239E-3</v>
      </c>
      <c r="D3888">
        <f>LOG10(6.577412)</f>
        <v>0.81805504631759351</v>
      </c>
    </row>
    <row r="3889" spans="1:4">
      <c r="A3889">
        <v>1.011261</v>
      </c>
      <c r="B3889">
        <v>6.6256180000000002</v>
      </c>
      <c r="C3889">
        <f>LOG10(1.011261)</f>
        <v>4.8632586878872815E-3</v>
      </c>
      <c r="D3889">
        <f>LOG10(6.625618)</f>
        <v>0.82122639301975775</v>
      </c>
    </row>
    <row r="3890" spans="1:4">
      <c r="A3890">
        <v>1.0151920000000001</v>
      </c>
      <c r="B3890">
        <v>6.5380779999999996</v>
      </c>
      <c r="C3890">
        <f>LOG10(1.015192)</f>
        <v>6.5481867368211337E-3</v>
      </c>
      <c r="D3890">
        <f>LOG10(6.538078)</f>
        <v>0.81545009745688024</v>
      </c>
    </row>
    <row r="3891" spans="1:4">
      <c r="A3891">
        <v>1.007978</v>
      </c>
      <c r="B3891">
        <v>6.2870910000000002</v>
      </c>
      <c r="C3891">
        <f>LOG10(1.007978)</f>
        <v>3.4510533566607378E-3</v>
      </c>
      <c r="D3891">
        <f>LOG10(6.287091)</f>
        <v>0.79844974641855682</v>
      </c>
    </row>
    <row r="3892" spans="1:4">
      <c r="A3892">
        <v>1.0062329999999999</v>
      </c>
      <c r="B3892">
        <v>6.7254209999999999</v>
      </c>
      <c r="C3892">
        <f>LOG10(1.006233)</f>
        <v>2.6985561649347637E-3</v>
      </c>
      <c r="D3892">
        <f>LOG10(6.725421)</f>
        <v>0.82771947562672621</v>
      </c>
    </row>
    <row r="3893" spans="1:4">
      <c r="A3893">
        <v>1.018213</v>
      </c>
      <c r="B3893">
        <v>6.4099630000000003</v>
      </c>
      <c r="C3893">
        <f>LOG10(1.018213)</f>
        <v>7.8386375768086693E-3</v>
      </c>
      <c r="D3893">
        <f>LOG10(6.409963)</f>
        <v>0.80685552266355887</v>
      </c>
    </row>
    <row r="3894" spans="1:4">
      <c r="A3894">
        <v>1.0125839999999999</v>
      </c>
      <c r="B3894">
        <v>7.2487279999999998</v>
      </c>
      <c r="C3894">
        <f>LOG10(1.012584)</f>
        <v>5.4310607492133629E-3</v>
      </c>
      <c r="D3894">
        <f>LOG10(7.248728)</f>
        <v>0.86026180366789784</v>
      </c>
    </row>
    <row r="3895" spans="1:4">
      <c r="A3895">
        <v>1.007968</v>
      </c>
      <c r="B3895">
        <v>6.9958549999999997</v>
      </c>
      <c r="C3895">
        <f>LOG10(1.007968)</f>
        <v>3.4467447642489405E-3</v>
      </c>
      <c r="D3895">
        <f>LOG10(6.995855)</f>
        <v>0.84484079946980717</v>
      </c>
    </row>
    <row r="3896" spans="1:4">
      <c r="A3896">
        <v>1.010823</v>
      </c>
      <c r="B3896">
        <v>6.861523</v>
      </c>
      <c r="C3896">
        <f>LOG10(1.010823)</f>
        <v>4.6751151824259872E-3</v>
      </c>
      <c r="D3896">
        <f>LOG10(6.861523)</f>
        <v>0.83642052344496776</v>
      </c>
    </row>
    <row r="3897" spans="1:4">
      <c r="A3897">
        <v>1.015587</v>
      </c>
      <c r="B3897">
        <v>6.9099680000000001</v>
      </c>
      <c r="C3897">
        <f>LOG10(1.015587)</f>
        <v>6.7171330598972652E-3</v>
      </c>
      <c r="D3897">
        <f>LOG10(6.909968)</f>
        <v>0.83947603616499433</v>
      </c>
    </row>
    <row r="3898" spans="1:4">
      <c r="A3898">
        <v>1.0079530000000001</v>
      </c>
      <c r="B3898">
        <v>6.6315439999999999</v>
      </c>
      <c r="C3898">
        <f>LOG10(1.007953)</f>
        <v>3.4402817954831849E-3</v>
      </c>
      <c r="D3898">
        <f>LOG10(6.631544)</f>
        <v>0.82161465549571944</v>
      </c>
    </row>
    <row r="3899" spans="1:4">
      <c r="A3899">
        <v>1.0105010000000001</v>
      </c>
      <c r="B3899">
        <v>6.5874740000000003</v>
      </c>
      <c r="C3899">
        <f>LOG10(1.010501)</f>
        <v>4.5367476328834616E-3</v>
      </c>
      <c r="D3899">
        <f>LOG10(6.587474)</f>
        <v>0.81871891411376241</v>
      </c>
    </row>
    <row r="3900" spans="1:4">
      <c r="A3900">
        <v>1.013622</v>
      </c>
      <c r="B3900">
        <v>7.2892539999999997</v>
      </c>
      <c r="C3900">
        <f>LOG10(1.013622)</f>
        <v>5.8760280542664274E-3</v>
      </c>
      <c r="D3900">
        <f>LOG10(7.289254)</f>
        <v>0.86268308383764902</v>
      </c>
    </row>
    <row r="3901" spans="1:4">
      <c r="A3901">
        <v>1.01092</v>
      </c>
      <c r="B3901">
        <v>6.6454050000000002</v>
      </c>
      <c r="C3901">
        <f>LOG10(1.01092)</f>
        <v>4.7167886936259227E-3</v>
      </c>
      <c r="D3901">
        <f>LOG10(6.645405)</f>
        <v>0.82252145388752917</v>
      </c>
    </row>
    <row r="3902" spans="1:4">
      <c r="A3902">
        <v>1.0236780000000001</v>
      </c>
      <c r="B3902">
        <v>7.0674070000000002</v>
      </c>
      <c r="C3902">
        <f>LOG10(1.023678)</f>
        <v>1.0163369906619053E-2</v>
      </c>
      <c r="D3902">
        <f>LOG10(7.067407)</f>
        <v>0.84926010231860594</v>
      </c>
    </row>
    <row r="3903" spans="1:4">
      <c r="A3903">
        <v>1.010121</v>
      </c>
      <c r="B3903">
        <v>6.9737939999999998</v>
      </c>
      <c r="C3903">
        <f>LOG10(1.010121)</f>
        <v>4.3734000052036565E-3</v>
      </c>
      <c r="D3903">
        <f>LOG10(6.973794)</f>
        <v>0.84346911453628493</v>
      </c>
    </row>
    <row r="3904" spans="1:4">
      <c r="A3904">
        <v>1.012947</v>
      </c>
      <c r="B3904">
        <v>7.7160320000000002</v>
      </c>
      <c r="C3904">
        <f>LOG10(1.012947)</f>
        <v>5.5867225471504653E-3</v>
      </c>
      <c r="D3904">
        <f>LOG10(7.716032)</f>
        <v>0.88739402008571455</v>
      </c>
    </row>
    <row r="3905" spans="1:4">
      <c r="A3905">
        <v>1.009147</v>
      </c>
      <c r="B3905">
        <v>7.6453610000000003</v>
      </c>
      <c r="C3905">
        <f>LOG10(1.009147)</f>
        <v>3.9544334706181645E-3</v>
      </c>
      <c r="D3905">
        <f>LOG10(7.645361)</f>
        <v>0.88339799682570563</v>
      </c>
    </row>
    <row r="3906" spans="1:4">
      <c r="A3906">
        <v>1.0077860000000001</v>
      </c>
      <c r="B3906">
        <v>7.0758650000000003</v>
      </c>
      <c r="C3906">
        <f>LOG10(1.007786)</f>
        <v>3.3683209130040618E-3</v>
      </c>
      <c r="D3906">
        <f>LOG10(7.075865)</f>
        <v>0.84977953843859699</v>
      </c>
    </row>
    <row r="3907" spans="1:4">
      <c r="A3907">
        <v>1.0163930000000001</v>
      </c>
      <c r="B3907">
        <v>8.2920669999999994</v>
      </c>
      <c r="C3907">
        <f>LOG10(1.016393)</f>
        <v>7.0616653592035844E-3</v>
      </c>
      <c r="D3907">
        <f>LOG10(8.292067)</f>
        <v>0.91866280254058008</v>
      </c>
    </row>
    <row r="3908" spans="1:4">
      <c r="A3908">
        <v>1.015182</v>
      </c>
      <c r="B3908">
        <v>7.3848070000000003</v>
      </c>
      <c r="C3908">
        <f>LOG10(1.015182)</f>
        <v>6.5439087616115457E-3</v>
      </c>
      <c r="D3908">
        <f>LOG10(7.384807)</f>
        <v>0.86833914962355541</v>
      </c>
    </row>
    <row r="3909" spans="1:4">
      <c r="A3909">
        <v>1.007657</v>
      </c>
      <c r="B3909">
        <v>7.3796480000000004</v>
      </c>
      <c r="C3909">
        <f>LOG10(1.007657)</f>
        <v>3.3127261993435467E-3</v>
      </c>
      <c r="D3909">
        <f>LOG10(7.379648)</f>
        <v>0.86803564701227387</v>
      </c>
    </row>
    <row r="3910" spans="1:4">
      <c r="A3910">
        <v>1.0066870000000001</v>
      </c>
      <c r="B3910">
        <v>7.8806719999999997</v>
      </c>
      <c r="C3910">
        <f>LOG10(1.006687)</f>
        <v>2.8944603222062601E-3</v>
      </c>
      <c r="D3910">
        <f>LOG10(7.880672)</f>
        <v>0.89656325219112332</v>
      </c>
    </row>
    <row r="3911" spans="1:4">
      <c r="A3911">
        <v>1.006961</v>
      </c>
      <c r="B3911">
        <v>6.8436389999999996</v>
      </c>
      <c r="C3911">
        <f>LOG10(1.006961)</f>
        <v>3.0126504813362239E-3</v>
      </c>
      <c r="D3911">
        <f>LOG10(6.843639)</f>
        <v>0.8352870925635465</v>
      </c>
    </row>
    <row r="3912" spans="1:4">
      <c r="A3912">
        <v>1.014842</v>
      </c>
      <c r="B3912">
        <v>8.1671840000000007</v>
      </c>
      <c r="C3912">
        <f>LOG10(1.014842)</f>
        <v>6.3984325256381753E-3</v>
      </c>
      <c r="D3912">
        <f>LOG10(8.167184)</f>
        <v>0.91207233999948656</v>
      </c>
    </row>
    <row r="3913" spans="1:4">
      <c r="A3913">
        <v>1.0074110000000001</v>
      </c>
      <c r="B3913">
        <v>8.2545179999999991</v>
      </c>
      <c r="C3913">
        <f>LOG10(1.007411)</f>
        <v>3.2066886432125033E-3</v>
      </c>
      <c r="D3913">
        <f>LOG10(8.254518)</f>
        <v>0.91669171890083745</v>
      </c>
    </row>
    <row r="3914" spans="1:4">
      <c r="A3914">
        <v>1.0133220000000001</v>
      </c>
      <c r="B3914">
        <v>7.4875439999999998</v>
      </c>
      <c r="C3914">
        <f>LOG10(1.013322)</f>
        <v>5.7474716210129005E-3</v>
      </c>
      <c r="D3914">
        <f>LOG10(7.487544)</f>
        <v>0.8743393875043538</v>
      </c>
    </row>
    <row r="3915" spans="1:4">
      <c r="A3915">
        <v>1.0142279999999999</v>
      </c>
      <c r="B3915">
        <v>7.3301679999999996</v>
      </c>
      <c r="C3915">
        <f>LOG10(1.014228)</f>
        <v>6.1355960340161962E-3</v>
      </c>
      <c r="D3915">
        <f>LOG10(7.330168)</f>
        <v>0.86511392834329048</v>
      </c>
    </row>
    <row r="3916" spans="1:4">
      <c r="A3916">
        <v>1.0104249999999999</v>
      </c>
      <c r="B3916">
        <v>8.9532299999999996</v>
      </c>
      <c r="C3916">
        <f>LOG10(1.010425)</f>
        <v>4.5040830220661552E-3</v>
      </c>
      <c r="D3916">
        <f>LOG10(8.95323)</f>
        <v>0.95197974125017826</v>
      </c>
    </row>
    <row r="3917" spans="1:4">
      <c r="A3917">
        <v>1.0056830000000001</v>
      </c>
      <c r="B3917">
        <v>8.0142620000000004</v>
      </c>
      <c r="C3917">
        <f>LOG10(1.005683)</f>
        <v>2.4611089047142454E-3</v>
      </c>
      <c r="D3917">
        <f>LOG10(8.014262)</f>
        <v>0.90386353616185722</v>
      </c>
    </row>
    <row r="3918" spans="1:4">
      <c r="A3918">
        <v>1.0077050000000001</v>
      </c>
      <c r="B3918">
        <v>8.0237130000000008</v>
      </c>
      <c r="C3918">
        <f>LOG10(1.007705)</f>
        <v>3.3334134358155242E-3</v>
      </c>
      <c r="D3918">
        <f>LOG10(8.023713)</f>
        <v>0.90437538602115441</v>
      </c>
    </row>
    <row r="3919" spans="1:4">
      <c r="A3919">
        <v>1.0161899999999999</v>
      </c>
      <c r="B3919">
        <v>7.8049169999999997</v>
      </c>
      <c r="C3919">
        <f>LOG10(1.01619)</f>
        <v>6.9749168425431943E-3</v>
      </c>
      <c r="D3919">
        <f>LOG10(7.804917)</f>
        <v>0.8923682889956609</v>
      </c>
    </row>
    <row r="3920" spans="1:4">
      <c r="A3920">
        <v>1.0099819999999999</v>
      </c>
      <c r="B3920">
        <v>7.9868860000000002</v>
      </c>
      <c r="C3920">
        <f>LOG10(1.009982)</f>
        <v>4.3136338120146247E-3</v>
      </c>
      <c r="D3920">
        <f>LOG10(7.986886)</f>
        <v>0.90237748561886555</v>
      </c>
    </row>
    <row r="3921" spans="1:4">
      <c r="A3921">
        <v>1.008067</v>
      </c>
      <c r="B3921">
        <v>7.7256720000000003</v>
      </c>
      <c r="C3921">
        <f>LOG10(1.008067)</f>
        <v>3.4893979461064106E-3</v>
      </c>
      <c r="D3921">
        <f>LOG10(7.725672)</f>
        <v>0.88793626585722119</v>
      </c>
    </row>
    <row r="3922" spans="1:4">
      <c r="A3922">
        <v>1.009981</v>
      </c>
      <c r="B3922">
        <v>8.1793580000000006</v>
      </c>
      <c r="C3922">
        <f>LOG10(1.009981)</f>
        <v>4.3132038096018403E-3</v>
      </c>
      <c r="D3922">
        <f>LOG10(8.179358)</f>
        <v>0.9127192171188403</v>
      </c>
    </row>
    <row r="3923" spans="1:4">
      <c r="A3923">
        <v>1.0154209999999999</v>
      </c>
      <c r="B3923">
        <v>8.4422599999999992</v>
      </c>
      <c r="C3923">
        <f>LOG10(1.015421)</f>
        <v>6.646140839131497E-3</v>
      </c>
      <c r="D3923">
        <f>LOG10(8.44226)</f>
        <v>0.92645872318281797</v>
      </c>
    </row>
    <row r="3924" spans="1:4">
      <c r="A3924">
        <v>1.011191</v>
      </c>
      <c r="B3924">
        <v>7.8629059999999997</v>
      </c>
      <c r="C3924">
        <f>LOG10(1.011191)</f>
        <v>4.8331955627843133E-3</v>
      </c>
      <c r="D3924">
        <f>LOG10(7.862906)</f>
        <v>0.89558308376427653</v>
      </c>
    </row>
    <row r="3925" spans="1:4">
      <c r="A3925">
        <v>1.0112159999999999</v>
      </c>
      <c r="B3925">
        <v>8.0986100000000008</v>
      </c>
      <c r="C3925">
        <f>LOG10(1.011216)</f>
        <v>4.8439326320766068E-3</v>
      </c>
      <c r="D3925">
        <f>LOG10(8.09861)</f>
        <v>0.90841048540555214</v>
      </c>
    </row>
    <row r="3926" spans="1:4">
      <c r="A3926">
        <v>1.336789</v>
      </c>
      <c r="B3926">
        <v>7.7536909999999999</v>
      </c>
      <c r="C3926">
        <f>LOG10(1.336789)</f>
        <v>0.12606286323261495</v>
      </c>
      <c r="D3926">
        <f>LOG10(7.753691)</f>
        <v>0.88950848951760841</v>
      </c>
    </row>
    <row r="3927" spans="1:4">
      <c r="A3927">
        <v>1.0158020000000001</v>
      </c>
      <c r="B3927">
        <v>7.3306490000000002</v>
      </c>
      <c r="C3927">
        <f>LOG10(1.015802)</f>
        <v>6.8090635704571674E-3</v>
      </c>
      <c r="D3927">
        <f>LOG10(7.330649)</f>
        <v>0.86514242547900555</v>
      </c>
    </row>
    <row r="3928" spans="1:4">
      <c r="A3928">
        <v>1.0075670000000001</v>
      </c>
      <c r="B3928">
        <v>7.5194150000000004</v>
      </c>
      <c r="C3928">
        <f>LOG10(1.007567)</f>
        <v>3.273934974747923E-3</v>
      </c>
      <c r="D3928">
        <f>LOG10(7.519415)</f>
        <v>0.87618405440088398</v>
      </c>
    </row>
    <row r="3929" spans="1:4">
      <c r="A3929">
        <v>1.0135860000000001</v>
      </c>
      <c r="B3929">
        <v>6.6265729999999996</v>
      </c>
      <c r="C3929">
        <f>LOG10(1.013586)</f>
        <v>5.8606032913904637E-3</v>
      </c>
      <c r="D3929">
        <f>LOG10(6.626573)</f>
        <v>0.82128898662875949</v>
      </c>
    </row>
    <row r="3930" spans="1:4">
      <c r="A3930">
        <v>1.0117609999999999</v>
      </c>
      <c r="B3930">
        <v>7.6374449999999996</v>
      </c>
      <c r="C3930">
        <f>LOG10(1.011761)</f>
        <v>5.0779347965733213E-3</v>
      </c>
      <c r="D3930">
        <f>LOG10(7.637445)</f>
        <v>0.88294809575044553</v>
      </c>
    </row>
    <row r="3931" spans="1:4">
      <c r="A3931">
        <v>1.01492</v>
      </c>
      <c r="B3931">
        <v>8.640307</v>
      </c>
      <c r="C3931">
        <f>LOG10(1.01492)</f>
        <v>6.4318107932430845E-3</v>
      </c>
      <c r="D3931">
        <f>LOG10(8.640307)</f>
        <v>0.93652917373320588</v>
      </c>
    </row>
    <row r="3932" spans="1:4">
      <c r="A3932">
        <v>1.0100659999999999</v>
      </c>
      <c r="B3932">
        <v>8.0979899999999994</v>
      </c>
      <c r="C3932">
        <f>LOG10(1.010066)</f>
        <v>4.3497524948388827E-3</v>
      </c>
      <c r="D3932">
        <f>LOG10(8.09799)</f>
        <v>0.90837723613361698</v>
      </c>
    </row>
    <row r="3933" spans="1:4">
      <c r="A3933">
        <v>1.113656</v>
      </c>
      <c r="B3933">
        <v>3.1431040000000001</v>
      </c>
      <c r="C3933">
        <f>LOG10(1.113656)</f>
        <v>4.6751061238739476E-2</v>
      </c>
      <c r="D3933">
        <f>LOG10(3.143104)</f>
        <v>0.49735875132584156</v>
      </c>
    </row>
    <row r="3934" spans="1:4">
      <c r="A3934">
        <v>1.1248260000000001</v>
      </c>
      <c r="B3934">
        <v>3.2002809999999999</v>
      </c>
      <c r="C3934">
        <f>LOG10(1.124826)</f>
        <v>5.1085346372429903E-2</v>
      </c>
      <c r="D3934">
        <f>LOG10(3.200281)</f>
        <v>0.50518811312976608</v>
      </c>
    </row>
    <row r="3935" spans="1:4">
      <c r="A3935">
        <v>1.1433120000000001</v>
      </c>
      <c r="B3935">
        <v>3.2059329999999999</v>
      </c>
      <c r="C3935">
        <f>LOG10(1.143312)</f>
        <v>5.8164761793616682E-2</v>
      </c>
      <c r="D3935">
        <f>LOG10(3.205933)</f>
        <v>0.50595444190011651</v>
      </c>
    </row>
    <row r="3936" spans="1:4">
      <c r="A3936">
        <v>1.14036</v>
      </c>
      <c r="B3936">
        <v>3.195335</v>
      </c>
      <c r="C3936">
        <f>LOG10(1.14036)</f>
        <v>5.7041975312322066E-2</v>
      </c>
      <c r="D3936">
        <f>LOG10(3.195335)</f>
        <v>0.50451639646143975</v>
      </c>
    </row>
    <row r="3937" spans="1:4">
      <c r="A3937">
        <v>1.1201080000000001</v>
      </c>
      <c r="B3937">
        <v>3.562783</v>
      </c>
      <c r="C3937">
        <f>LOG10(1.120108)</f>
        <v>4.9259899047643711E-2</v>
      </c>
      <c r="D3937">
        <f>LOG10(3.562783)</f>
        <v>0.55178937139043982</v>
      </c>
    </row>
    <row r="3938" spans="1:4">
      <c r="A3938">
        <v>1.10816</v>
      </c>
      <c r="B3938">
        <v>3.098373</v>
      </c>
      <c r="C3938">
        <f>LOG10(1.10816)</f>
        <v>4.460246986936682E-2</v>
      </c>
      <c r="D3938">
        <f>LOG10(3.098373)</f>
        <v>0.49113369944339469</v>
      </c>
    </row>
    <row r="3939" spans="1:4">
      <c r="A3939">
        <v>1.113113</v>
      </c>
      <c r="B3939">
        <v>3.3856679999999999</v>
      </c>
      <c r="C3939">
        <f>LOG10(1.113113)</f>
        <v>4.6539254887611264E-2</v>
      </c>
      <c r="D3939">
        <f>LOG10(3.385668)</f>
        <v>0.52964436876487786</v>
      </c>
    </row>
    <row r="3940" spans="1:4">
      <c r="A3940">
        <v>1.1288929999999999</v>
      </c>
      <c r="B3940">
        <v>3.3232149999999998</v>
      </c>
      <c r="C3940">
        <f>LOG10(1.128893)</f>
        <v>5.2652780089930976E-2</v>
      </c>
      <c r="D3940">
        <f>LOG10(3.323215)</f>
        <v>0.52155843947103309</v>
      </c>
    </row>
    <row r="3941" spans="1:4">
      <c r="A3941">
        <v>1.0892250000000001</v>
      </c>
      <c r="B3941">
        <v>3.0840190000000001</v>
      </c>
      <c r="C3941">
        <f>LOG10(1.089225)</f>
        <v>3.7117600752252199E-2</v>
      </c>
      <c r="D3941">
        <f>LOG10(3.084019)</f>
        <v>0.48911704498518976</v>
      </c>
    </row>
    <row r="3942" spans="1:4">
      <c r="A3942">
        <v>1.1081380000000001</v>
      </c>
      <c r="B3942">
        <v>3.0238100000000001</v>
      </c>
      <c r="C3942">
        <f>LOG10(1.108138)</f>
        <v>4.4593847853191947E-2</v>
      </c>
      <c r="D3942">
        <f>LOG10(3.02381)</f>
        <v>0.48055449895088281</v>
      </c>
    </row>
    <row r="3943" spans="1:4">
      <c r="A3943">
        <v>1.1297010000000001</v>
      </c>
      <c r="B3943">
        <v>3.0457909999999999</v>
      </c>
      <c r="C3943">
        <f>LOG10(1.129701)</f>
        <v>5.2963513188795011E-2</v>
      </c>
      <c r="D3943">
        <f>LOG10(3.045791)</f>
        <v>0.4837000990457071</v>
      </c>
    </row>
    <row r="3944" spans="1:4">
      <c r="A3944">
        <v>1.106554</v>
      </c>
      <c r="B3944">
        <v>2.9861849999999999</v>
      </c>
      <c r="C3944">
        <f>LOG10(1.106554)</f>
        <v>4.3972612415816584E-2</v>
      </c>
      <c r="D3944">
        <f>LOG10(2.986185)</f>
        <v>0.47511670961484448</v>
      </c>
    </row>
    <row r="3945" spans="1:4">
      <c r="A3945">
        <v>1.0912580000000001</v>
      </c>
      <c r="B3945">
        <v>3.1076990000000002</v>
      </c>
      <c r="C3945">
        <f>LOG10(1.091258)</f>
        <v>3.7927440533209178E-2</v>
      </c>
      <c r="D3945">
        <f>LOG10(3.107699)</f>
        <v>0.49243894804087818</v>
      </c>
    </row>
    <row r="3946" spans="1:4">
      <c r="A3946">
        <v>1.090276</v>
      </c>
      <c r="B3946">
        <v>3.330203</v>
      </c>
      <c r="C3946">
        <f>LOG10(1.090276)</f>
        <v>3.7536452164442624E-2</v>
      </c>
      <c r="D3946">
        <f>LOG10(3.330203)</f>
        <v>0.52247070770833859</v>
      </c>
    </row>
    <row r="3947" spans="1:4">
      <c r="A3947">
        <v>1.114249</v>
      </c>
      <c r="B3947">
        <v>3.1994790000000002</v>
      </c>
      <c r="C3947">
        <f>LOG10(1.114249)</f>
        <v>4.6982252994088536E-2</v>
      </c>
      <c r="D3947">
        <f>LOG10(3.199479)</f>
        <v>0.50507926399282677</v>
      </c>
    </row>
    <row r="3948" spans="1:4">
      <c r="A3948">
        <v>1.135859</v>
      </c>
      <c r="B3948">
        <v>3.0899220000000001</v>
      </c>
      <c r="C3948">
        <f>LOG10(1.135859)</f>
        <v>5.5324423520659631E-2</v>
      </c>
      <c r="D3948">
        <f>LOG10(3.089922)</f>
        <v>0.48994751651313762</v>
      </c>
    </row>
    <row r="3949" spans="1:4">
      <c r="A3949">
        <v>1.1326020000000001</v>
      </c>
      <c r="B3949">
        <v>3.2141259999999998</v>
      </c>
      <c r="C3949">
        <f>LOG10(1.132602)</f>
        <v>5.407732418808843E-2</v>
      </c>
      <c r="D3949">
        <f>LOG10(3.214126)</f>
        <v>0.50706289795069814</v>
      </c>
    </row>
    <row r="3950" spans="1:4">
      <c r="A3950">
        <v>1.1213409999999999</v>
      </c>
      <c r="B3950">
        <v>3.2669999999999999</v>
      </c>
      <c r="C3950">
        <f>LOG10(1.121341)</f>
        <v>4.9737701710295575E-2</v>
      </c>
      <c r="D3950">
        <f>LOG10(3.267)</f>
        <v>0.51414913447543742</v>
      </c>
    </row>
    <row r="3951" spans="1:4">
      <c r="A3951">
        <v>1.096349</v>
      </c>
      <c r="B3951">
        <v>3.3026209999999998</v>
      </c>
      <c r="C3951">
        <f>LOG10(1.096349)</f>
        <v>3.9948824811884824E-2</v>
      </c>
      <c r="D3951">
        <f>LOG10(3.302621)</f>
        <v>0.51885873807147109</v>
      </c>
    </row>
    <row r="3952" spans="1:4">
      <c r="A3952">
        <v>1.117094</v>
      </c>
      <c r="B3952">
        <v>3.278098</v>
      </c>
      <c r="C3952">
        <f>LOG10(1.117094)</f>
        <v>4.8089719188713423E-2</v>
      </c>
      <c r="D3952">
        <f>LOG10(3.278098)</f>
        <v>0.51562193282906033</v>
      </c>
    </row>
    <row r="3953" spans="1:4">
      <c r="A3953">
        <v>1.1124160000000001</v>
      </c>
      <c r="B3953">
        <v>3.2653370000000002</v>
      </c>
      <c r="C3953">
        <f>LOG10(1.112416)</f>
        <v>4.6267226741688795E-2</v>
      </c>
      <c r="D3953">
        <f>LOG10(3.265337)</f>
        <v>0.51392800940518835</v>
      </c>
    </row>
    <row r="3954" spans="1:4">
      <c r="A3954">
        <v>1.091691</v>
      </c>
      <c r="B3954">
        <v>3.1685059999999998</v>
      </c>
      <c r="C3954">
        <f>LOG10(1.091691)</f>
        <v>3.8099729957405834E-2</v>
      </c>
      <c r="D3954">
        <f>LOG10(3.168506)</f>
        <v>0.50085453385810996</v>
      </c>
    </row>
    <row r="3955" spans="1:4">
      <c r="A3955">
        <v>1.1192310000000001</v>
      </c>
      <c r="B3955">
        <v>3.3500130000000001</v>
      </c>
      <c r="C3955">
        <f>LOG10(1.119231)</f>
        <v>4.8919730560334128E-2</v>
      </c>
      <c r="D3955">
        <f>LOG10(3.350013)</f>
        <v>0.52504649235544532</v>
      </c>
    </row>
    <row r="3956" spans="1:4">
      <c r="A3956">
        <v>1.1083730000000001</v>
      </c>
      <c r="B3956">
        <v>3.3460299999999998</v>
      </c>
      <c r="C3956">
        <f>LOG10(1.108373)</f>
        <v>4.4685937812257943E-2</v>
      </c>
      <c r="D3956">
        <f>LOG10(3.34603)</f>
        <v>0.52452983046261292</v>
      </c>
    </row>
    <row r="3957" spans="1:4">
      <c r="A3957">
        <v>1.1195379999999999</v>
      </c>
      <c r="B3957">
        <v>3.4154110000000002</v>
      </c>
      <c r="C3957">
        <f>LOG10(1.119538)</f>
        <v>4.9038839237272161E-2</v>
      </c>
      <c r="D3957">
        <f>LOG10(3.415411)</f>
        <v>0.53344297281751074</v>
      </c>
    </row>
    <row r="3958" spans="1:4">
      <c r="A3958">
        <v>1.1032420000000001</v>
      </c>
      <c r="B3958">
        <v>3.3650259999999999</v>
      </c>
      <c r="C3958">
        <f>LOG10(1.103242)</f>
        <v>4.2670786906946388E-2</v>
      </c>
      <c r="D3958">
        <f>LOG10(3.365026)</f>
        <v>0.5269884241656142</v>
      </c>
    </row>
    <row r="3959" spans="1:4">
      <c r="A3959">
        <v>1.0806020000000001</v>
      </c>
      <c r="B3959">
        <v>3.1075439999999999</v>
      </c>
      <c r="C3959">
        <f>LOG10(1.080602)</f>
        <v>3.3665767004916761E-2</v>
      </c>
      <c r="D3959">
        <f>LOG10(3.107544)</f>
        <v>0.49241728657254652</v>
      </c>
    </row>
    <row r="3960" spans="1:4">
      <c r="A3960">
        <v>1.099899</v>
      </c>
      <c r="B3960">
        <v>3.227681</v>
      </c>
      <c r="C3960">
        <f>LOG10(1.099899)</f>
        <v>4.1352807197734071E-2</v>
      </c>
      <c r="D3960">
        <f>LOG10(3.227681)</f>
        <v>0.50889060573230338</v>
      </c>
    </row>
    <row r="3961" spans="1:4">
      <c r="A3961">
        <v>1.0960449999999999</v>
      </c>
      <c r="B3961">
        <v>3.303137</v>
      </c>
      <c r="C3961">
        <f>LOG10(1.096045)</f>
        <v>3.9828385216315078E-2</v>
      </c>
      <c r="D3961">
        <f>LOG10(3.303137)</f>
        <v>0.51892658674322623</v>
      </c>
    </row>
    <row r="3962" spans="1:4">
      <c r="A3962">
        <v>1.0857779999999999</v>
      </c>
      <c r="B3962">
        <v>3.3607800000000001</v>
      </c>
      <c r="C3962">
        <f>LOG10(1.085778)</f>
        <v>3.5741037747550559E-2</v>
      </c>
      <c r="D3962">
        <f>LOG10(3.36078)</f>
        <v>0.52644008405139386</v>
      </c>
    </row>
    <row r="3963" spans="1:4">
      <c r="A3963">
        <v>1.0757939999999999</v>
      </c>
      <c r="B3963">
        <v>3.178207</v>
      </c>
      <c r="C3963">
        <f>LOG10(1.075794)</f>
        <v>3.1729117772413225E-2</v>
      </c>
      <c r="D3963">
        <f>LOG10(3.178207)</f>
        <v>0.50218217985376579</v>
      </c>
    </row>
    <row r="3964" spans="1:4">
      <c r="A3964">
        <v>1.0642640000000001</v>
      </c>
      <c r="B3964">
        <v>3.1562679999999999</v>
      </c>
      <c r="C3964">
        <f>LOG10(1.064264)</f>
        <v>2.7049371870320988E-2</v>
      </c>
      <c r="D3964">
        <f>LOG10(3.156268)</f>
        <v>0.49917387222420462</v>
      </c>
    </row>
    <row r="3965" spans="1:4">
      <c r="A3965">
        <v>1.061936</v>
      </c>
      <c r="B3965">
        <v>3.3456709999999998</v>
      </c>
      <c r="C3965">
        <f>LOG10(1.061936)</f>
        <v>2.6098343784635786E-2</v>
      </c>
      <c r="D3965">
        <f>LOG10(3.345671)</f>
        <v>0.52448323193134172</v>
      </c>
    </row>
    <row r="3966" spans="1:4">
      <c r="A3966">
        <v>1.0780099999999999</v>
      </c>
      <c r="B3966">
        <v>3.1465000000000001</v>
      </c>
      <c r="C3966">
        <f>LOG10(1.07801)</f>
        <v>3.2622789537803003E-2</v>
      </c>
      <c r="D3966">
        <f>LOG10(3.1465)</f>
        <v>0.49782773608350439</v>
      </c>
    </row>
    <row r="3967" spans="1:4">
      <c r="A3967">
        <v>1.0791299999999999</v>
      </c>
      <c r="B3967">
        <v>3.266492</v>
      </c>
      <c r="C3967">
        <f>LOG10(1.07913)</f>
        <v>3.3073766167451155E-2</v>
      </c>
      <c r="D3967">
        <f>LOG10(3.266492)</f>
        <v>0.51408159889193883</v>
      </c>
    </row>
    <row r="3968" spans="1:4">
      <c r="A3968">
        <v>1.0852930000000001</v>
      </c>
      <c r="B3968">
        <v>3.5433880000000002</v>
      </c>
      <c r="C3968">
        <f>LOG10(1.085293)</f>
        <v>3.5547001875645114E-2</v>
      </c>
      <c r="D3968">
        <f>LOG10(3.543388)</f>
        <v>0.54941871006192333</v>
      </c>
    </row>
    <row r="3969" spans="1:4">
      <c r="A3969">
        <v>1.0830040000000001</v>
      </c>
      <c r="B3969">
        <v>3.2402869999999999</v>
      </c>
      <c r="C3969">
        <f>LOG10(1.083004)</f>
        <v>3.4630060664765948E-2</v>
      </c>
      <c r="D3969">
        <f>LOG10(3.240287)</f>
        <v>0.51058347841531582</v>
      </c>
    </row>
    <row r="3970" spans="1:4">
      <c r="A3970">
        <v>1.075337</v>
      </c>
      <c r="B3970">
        <v>3.3403489999999998</v>
      </c>
      <c r="C3970">
        <f>LOG10(1.075337)</f>
        <v>3.1544589186087539E-2</v>
      </c>
      <c r="D3970">
        <f>LOG10(3.340349)</f>
        <v>0.52379184431334536</v>
      </c>
    </row>
    <row r="3971" spans="1:4">
      <c r="A3971">
        <v>1.099885</v>
      </c>
      <c r="B3971">
        <v>3.3710309999999999</v>
      </c>
      <c r="C3971">
        <f>LOG10(1.099885)</f>
        <v>4.1347279270676947E-2</v>
      </c>
      <c r="D3971">
        <f>LOG10(3.371031)</f>
        <v>0.52776274631125231</v>
      </c>
    </row>
    <row r="3972" spans="1:4">
      <c r="A3972">
        <v>1.0785389999999999</v>
      </c>
      <c r="B3972">
        <v>3.1320589999999999</v>
      </c>
      <c r="C3972">
        <f>LOG10(1.078539)</f>
        <v>3.2835853822950074E-2</v>
      </c>
      <c r="D3972">
        <f>LOG10(3.132059)</f>
        <v>0.49582993446288254</v>
      </c>
    </row>
    <row r="3973" spans="1:4">
      <c r="A3973">
        <v>1.0828679999999999</v>
      </c>
      <c r="B3973">
        <v>3.3077009999999998</v>
      </c>
      <c r="C3973">
        <f>LOG10(1.082868)</f>
        <v>3.4575519999743703E-2</v>
      </c>
      <c r="D3973">
        <f>LOG10(3.307701)</f>
        <v>0.51952624455674912</v>
      </c>
    </row>
    <row r="3974" spans="1:4">
      <c r="A3974">
        <v>1.0852390000000001</v>
      </c>
      <c r="B3974">
        <v>3.29379</v>
      </c>
      <c r="C3974">
        <f>LOG10(1.085239)</f>
        <v>3.5525392517176665E-2</v>
      </c>
      <c r="D3974">
        <f>LOG10(3.29379)</f>
        <v>0.51769590668908294</v>
      </c>
    </row>
    <row r="3975" spans="1:4">
      <c r="A3975">
        <v>1.0744100000000001</v>
      </c>
      <c r="B3975">
        <v>3.236739</v>
      </c>
      <c r="C3975">
        <f>LOG10(1.07441)</f>
        <v>3.1170041846630806E-2</v>
      </c>
      <c r="D3975">
        <f>LOG10(3.236739)</f>
        <v>0.5101076807341226</v>
      </c>
    </row>
    <row r="3976" spans="1:4">
      <c r="A3976">
        <v>1.091062</v>
      </c>
      <c r="B3976">
        <v>3.439546</v>
      </c>
      <c r="C3976">
        <f>LOG10(1.091062)</f>
        <v>3.7849430233453003E-2</v>
      </c>
      <c r="D3976">
        <f>LOG10(3.439546)</f>
        <v>0.53650112201721734</v>
      </c>
    </row>
    <row r="3977" spans="1:4">
      <c r="A3977">
        <v>1.0885629999999999</v>
      </c>
      <c r="B3977">
        <v>3.1045440000000002</v>
      </c>
      <c r="C3977">
        <f>LOG10(1.088563)</f>
        <v>3.6853568664762158E-2</v>
      </c>
      <c r="D3977">
        <f>LOG10(3.104544)</f>
        <v>0.49199781938309389</v>
      </c>
    </row>
    <row r="3978" spans="1:4">
      <c r="A3978">
        <v>1.0750900000000001</v>
      </c>
      <c r="B3978">
        <v>3.1797900000000001</v>
      </c>
      <c r="C3978">
        <f>LOG10(1.07509)</f>
        <v>3.1444822267701754E-2</v>
      </c>
      <c r="D3978">
        <f>LOG10(3.17979)</f>
        <v>0.50239843921313909</v>
      </c>
    </row>
    <row r="3979" spans="1:4">
      <c r="A3979">
        <v>1.0831900000000001</v>
      </c>
      <c r="B3979">
        <v>3.4162029999999999</v>
      </c>
      <c r="C3979">
        <f>LOG10(1.08319)</f>
        <v>3.4704641956960949E-2</v>
      </c>
      <c r="D3979">
        <f>LOG10(3.416203)</f>
        <v>0.53354366973370315</v>
      </c>
    </row>
    <row r="3980" spans="1:4">
      <c r="A3980">
        <v>1.065021</v>
      </c>
      <c r="B3980">
        <v>3.1867719999999999</v>
      </c>
      <c r="C3980">
        <f>LOG10(1.065021)</f>
        <v>2.7358171243492529E-2</v>
      </c>
      <c r="D3980">
        <f>LOG10(3.186772)</f>
        <v>0.50335099265980454</v>
      </c>
    </row>
    <row r="3981" spans="1:4">
      <c r="A3981">
        <v>1.0690710000000001</v>
      </c>
      <c r="B3981">
        <v>3.1730559999999999</v>
      </c>
      <c r="C3981">
        <f>LOG10(1.069071)</f>
        <v>2.9006548879756681E-2</v>
      </c>
      <c r="D3981">
        <f>LOG10(3.173056)</f>
        <v>0.50147773685817265</v>
      </c>
    </row>
    <row r="3982" spans="1:4">
      <c r="A3982">
        <v>1.0822670000000001</v>
      </c>
      <c r="B3982">
        <v>3.0746220000000002</v>
      </c>
      <c r="C3982">
        <f>LOG10(1.082267)</f>
        <v>3.4334416336159197E-2</v>
      </c>
      <c r="D3982">
        <f>LOG10(3.074622)</f>
        <v>0.48779173038622442</v>
      </c>
    </row>
    <row r="3983" spans="1:4">
      <c r="A3983">
        <v>1.0805990000000001</v>
      </c>
      <c r="B3983">
        <v>3.174658</v>
      </c>
      <c r="C3983">
        <f>LOG10(1.080599)</f>
        <v>3.3664561301749218E-2</v>
      </c>
      <c r="D3983">
        <f>LOG10(3.174658)</f>
        <v>0.50169694641133789</v>
      </c>
    </row>
    <row r="3984" spans="1:4">
      <c r="A3984">
        <v>1.050662</v>
      </c>
      <c r="B3984">
        <v>3.2568579999999998</v>
      </c>
      <c r="C3984">
        <f>LOG10(1.050662)</f>
        <v>2.1463025120618748E-2</v>
      </c>
      <c r="D3984">
        <f>LOG10(3.256858)</f>
        <v>0.51279882360606988</v>
      </c>
    </row>
    <row r="3985" spans="1:4">
      <c r="A3985">
        <v>1.3358490000000001</v>
      </c>
      <c r="B3985">
        <v>3.22288</v>
      </c>
      <c r="C3985">
        <f>LOG10(1.335849)</f>
        <v>0.12575736968667106</v>
      </c>
      <c r="D3985">
        <f>LOG10(3.22288)</f>
        <v>0.50824413538883406</v>
      </c>
    </row>
    <row r="3986" spans="1:4">
      <c r="A3986">
        <v>1.3971830000000001</v>
      </c>
      <c r="B3986">
        <v>3.2094529999999999</v>
      </c>
      <c r="C3986">
        <f>LOG10(1.397183)</f>
        <v>0.14525329278932234</v>
      </c>
      <c r="D3986">
        <f>LOG10(3.209453)</f>
        <v>0.50643102015424069</v>
      </c>
    </row>
    <row r="3987" spans="1:4">
      <c r="A3987">
        <v>1.4130720000000001</v>
      </c>
      <c r="B3987">
        <v>3.1146790000000002</v>
      </c>
      <c r="C3987">
        <f>LOG10(1.413072)</f>
        <v>0.15016429093989375</v>
      </c>
      <c r="D3987">
        <f>LOG10(3.114679)</f>
        <v>0.49341329474729373</v>
      </c>
    </row>
    <row r="3988" spans="1:4">
      <c r="A3988">
        <v>1.495298</v>
      </c>
      <c r="B3988">
        <v>3.0392190000000001</v>
      </c>
      <c r="C3988">
        <f>LOG10(1.495298)</f>
        <v>0.17472775243210706</v>
      </c>
      <c r="D3988">
        <f>LOG10(3.039219)</f>
        <v>0.48276199559317728</v>
      </c>
    </row>
    <row r="3989" spans="1:4">
      <c r="A3989">
        <v>1.429907</v>
      </c>
      <c r="B3989">
        <v>2.4547669999999999</v>
      </c>
      <c r="C3989">
        <f>LOG10(1.429907)</f>
        <v>0.15530779222014215</v>
      </c>
      <c r="D3989">
        <f>LOG10(2.454767)</f>
        <v>0.39001027633006491</v>
      </c>
    </row>
    <row r="3990" spans="1:4">
      <c r="A3990">
        <v>1.447165</v>
      </c>
      <c r="B3990">
        <v>2.5957569999999999</v>
      </c>
      <c r="C3990">
        <f>LOG10(1.447165)</f>
        <v>0.16051805047235126</v>
      </c>
      <c r="D3990">
        <f>LOG10(2.595757)</f>
        <v>0.41426403385303345</v>
      </c>
    </row>
    <row r="3991" spans="1:4">
      <c r="A3991">
        <v>1.0803830000000001</v>
      </c>
      <c r="B3991">
        <v>2.7522700000000002</v>
      </c>
      <c r="C3991">
        <f>LOG10(1.080383)</f>
        <v>3.3577741875762783E-2</v>
      </c>
      <c r="D3991">
        <f>LOG10(2.75227)</f>
        <v>0.43969103630704115</v>
      </c>
    </row>
    <row r="3992" spans="1:4">
      <c r="A3992">
        <v>1.0676410000000001</v>
      </c>
      <c r="B3992">
        <v>2.683989</v>
      </c>
      <c r="C3992">
        <f>LOG10(1.067641)</f>
        <v>2.8425243395589488E-2</v>
      </c>
      <c r="D3992">
        <f>LOG10(2.683989)</f>
        <v>0.42878073159788949</v>
      </c>
    </row>
    <row r="3993" spans="1:4">
      <c r="A3993">
        <v>1.0684100000000001</v>
      </c>
      <c r="B3993">
        <v>2.8383029999999998</v>
      </c>
      <c r="C3993">
        <f>LOG10(1.06841)</f>
        <v>2.8737944235608787E-2</v>
      </c>
      <c r="D3993">
        <f>LOG10(2.838303)</f>
        <v>0.45305875623908248</v>
      </c>
    </row>
    <row r="3994" spans="1:4">
      <c r="A3994">
        <v>1.0667089999999999</v>
      </c>
      <c r="B3994">
        <v>2.8157679999999998</v>
      </c>
      <c r="C3994">
        <f>LOG10(1.066709)</f>
        <v>2.8045959320474975E-2</v>
      </c>
      <c r="D3994">
        <f>LOG10(2.815768)</f>
        <v>0.44959686905299256</v>
      </c>
    </row>
    <row r="3995" spans="1:4">
      <c r="A3995">
        <v>1.068651</v>
      </c>
      <c r="B3995">
        <v>2.8952429999999998</v>
      </c>
      <c r="C3995">
        <f>LOG10(1.068651)</f>
        <v>2.8835896489271502E-2</v>
      </c>
      <c r="D3995">
        <f>LOG10(2.895243)</f>
        <v>0.46168502026733121</v>
      </c>
    </row>
    <row r="3996" spans="1:4">
      <c r="A3996">
        <v>1.0813980000000001</v>
      </c>
      <c r="B3996">
        <v>2.7560739999999999</v>
      </c>
      <c r="C3996">
        <f>LOG10(1.081398)</f>
        <v>3.3985562031017921E-2</v>
      </c>
      <c r="D3996">
        <f>LOG10(2.756074)</f>
        <v>0.44029087410649187</v>
      </c>
    </row>
    <row r="3997" spans="1:4">
      <c r="A3997">
        <v>1.0884069999999999</v>
      </c>
      <c r="B3997">
        <v>2.8986290000000001</v>
      </c>
      <c r="C3997">
        <f>LOG10(1.088407)</f>
        <v>3.6791326245902103E-2</v>
      </c>
      <c r="D3997">
        <f>LOG10(2.898629)</f>
        <v>0.46219263289085355</v>
      </c>
    </row>
    <row r="3998" spans="1:4">
      <c r="A3998">
        <v>1.0786519999999999</v>
      </c>
      <c r="B3998">
        <v>2.8690609999999999</v>
      </c>
      <c r="C3998">
        <f>LOG10(1.078652)</f>
        <v>3.2881353063861023E-2</v>
      </c>
      <c r="D3998">
        <f>LOG10(2.869061)</f>
        <v>0.45773978201447768</v>
      </c>
    </row>
    <row r="3999" spans="1:4">
      <c r="A3999">
        <v>1.0745400000000001</v>
      </c>
      <c r="B3999">
        <v>2.8680970000000001</v>
      </c>
      <c r="C3999">
        <f>LOG10(1.07454)</f>
        <v>3.1222586840898965E-2</v>
      </c>
      <c r="D3999">
        <f>LOG10(2.868097)</f>
        <v>0.45759383522880626</v>
      </c>
    </row>
    <row r="4000" spans="1:4">
      <c r="A4000">
        <v>1.0857810000000001</v>
      </c>
      <c r="B4000">
        <v>2.856122</v>
      </c>
      <c r="C4000">
        <f>LOG10(1.085781)</f>
        <v>3.5742237699700877E-2</v>
      </c>
      <c r="D4000">
        <f>LOG10(2.856122)</f>
        <v>0.45577675450300403</v>
      </c>
    </row>
    <row r="4001" spans="1:4">
      <c r="A4001">
        <v>1.0834859999999999</v>
      </c>
      <c r="B4001">
        <v>2.8246289999999998</v>
      </c>
      <c r="C4001">
        <f>LOG10(1.083486)</f>
        <v>3.4823304061902385E-2</v>
      </c>
      <c r="D4001">
        <f>LOG10(2.824629)</f>
        <v>0.45096141363026648</v>
      </c>
    </row>
    <row r="4002" spans="1:4">
      <c r="A4002">
        <v>1.09198</v>
      </c>
      <c r="B4002">
        <v>2.8618549999999998</v>
      </c>
      <c r="C4002">
        <f>LOG10(1.09198)</f>
        <v>3.82146841844875E-2</v>
      </c>
      <c r="D4002">
        <f>LOG10(2.861855)</f>
        <v>0.45664762582657015</v>
      </c>
    </row>
    <row r="4003" spans="1:4">
      <c r="A4003">
        <v>1.0800209999999999</v>
      </c>
      <c r="B4003">
        <v>2.772891</v>
      </c>
      <c r="C4003">
        <f>LOG10(1.080021)</f>
        <v>3.3432200019776197E-2</v>
      </c>
      <c r="D4003">
        <f>LOG10(2.772891)</f>
        <v>0.44293279816461767</v>
      </c>
    </row>
    <row r="4004" spans="1:4">
      <c r="A4004">
        <v>1.0683720000000001</v>
      </c>
      <c r="B4004">
        <v>2.994084</v>
      </c>
      <c r="C4004">
        <f>LOG10(1.068372)</f>
        <v>2.8722497465358893E-2</v>
      </c>
      <c r="D4004">
        <f>LOG10(2.994084)</f>
        <v>0.47626398045083301</v>
      </c>
    </row>
    <row r="4005" spans="1:4">
      <c r="A4005">
        <v>1.0758749999999999</v>
      </c>
      <c r="B4005">
        <v>2.9193799999999999</v>
      </c>
      <c r="C4005">
        <f>LOG10(1.075875)</f>
        <v>3.1761815973717217E-2</v>
      </c>
      <c r="D4005">
        <f>LOG10(2.91938)</f>
        <v>0.46529062844536251</v>
      </c>
    </row>
    <row r="4006" spans="1:4">
      <c r="A4006">
        <v>1.075313</v>
      </c>
      <c r="B4006">
        <v>2.864601</v>
      </c>
      <c r="C4006">
        <f>LOG10(1.075313)</f>
        <v>3.1534896239707497E-2</v>
      </c>
      <c r="D4006">
        <f>LOG10(2.864601)</f>
        <v>0.45706413919494887</v>
      </c>
    </row>
    <row r="4007" spans="1:4">
      <c r="A4007">
        <v>1.0862959999999999</v>
      </c>
      <c r="B4007">
        <v>2.9283860000000002</v>
      </c>
      <c r="C4007">
        <f>LOG10(1.086296)</f>
        <v>3.5948180364137966E-2</v>
      </c>
      <c r="D4007">
        <f>LOG10(2.928386)</f>
        <v>0.46662832191541792</v>
      </c>
    </row>
    <row r="4008" spans="1:4">
      <c r="A4008">
        <v>1.062262</v>
      </c>
      <c r="B4008">
        <v>2.9082870000000001</v>
      </c>
      <c r="C4008">
        <f>LOG10(1.062262)</f>
        <v>2.6231645861195526E-2</v>
      </c>
      <c r="D4008">
        <f>LOG10(2.908287)</f>
        <v>0.46363726201025429</v>
      </c>
    </row>
    <row r="4009" spans="1:4">
      <c r="A4009">
        <v>1.0447569999999999</v>
      </c>
      <c r="B4009">
        <v>2.930132</v>
      </c>
      <c r="C4009">
        <f>LOG10(1.044757)</f>
        <v>1.9015289651690213E-2</v>
      </c>
      <c r="D4009">
        <f>LOG10(2.930132)</f>
        <v>0.46688718539858998</v>
      </c>
    </row>
    <row r="4010" spans="1:4">
      <c r="A4010">
        <v>1.036357</v>
      </c>
      <c r="B4010">
        <v>3.0854599999999999</v>
      </c>
      <c r="C4010">
        <f>LOG10(1.036357)</f>
        <v>1.550938516081893E-2</v>
      </c>
      <c r="D4010">
        <f>LOG10(3.08546)</f>
        <v>0.4893199205796453</v>
      </c>
    </row>
    <row r="4011" spans="1:4">
      <c r="A4011">
        <v>1.04017</v>
      </c>
      <c r="B4011">
        <v>2.8742190000000001</v>
      </c>
      <c r="C4011">
        <f>LOG10(1.04017)</f>
        <v>1.7104323941466229E-2</v>
      </c>
      <c r="D4011">
        <f>LOG10(2.874219)</f>
        <v>0.4585198559582595</v>
      </c>
    </row>
    <row r="4012" spans="1:4">
      <c r="A4012">
        <v>1.032672</v>
      </c>
      <c r="B4012">
        <v>3.188577</v>
      </c>
      <c r="C4012">
        <f>LOG10(1.032672)</f>
        <v>1.3962401664714826E-2</v>
      </c>
      <c r="D4012">
        <f>LOG10(3.188577)</f>
        <v>0.50359690909850641</v>
      </c>
    </row>
    <row r="4013" spans="1:4">
      <c r="A4013">
        <v>1.038424</v>
      </c>
      <c r="B4013">
        <v>3.1193119999999999</v>
      </c>
      <c r="C4013">
        <f>LOG10(1.038424)</f>
        <v>1.6374716963146924E-2</v>
      </c>
      <c r="D4013">
        <f>LOG10(3.119312)</f>
        <v>0.4940588159567717</v>
      </c>
    </row>
    <row r="4014" spans="1:4">
      <c r="A4014">
        <v>1.064084</v>
      </c>
      <c r="B4014">
        <v>3.0706699999999998</v>
      </c>
      <c r="C4014">
        <f>LOG10(1.064084)</f>
        <v>2.6975913012155881E-2</v>
      </c>
      <c r="D4014">
        <f>LOG10(3.07067)</f>
        <v>0.48723314601656731</v>
      </c>
    </row>
    <row r="4015" spans="1:4">
      <c r="A4015">
        <v>1.0932029999999999</v>
      </c>
      <c r="B4015">
        <v>3.3423029999999998</v>
      </c>
      <c r="C4015">
        <f>LOG10(1.093203)</f>
        <v>3.8700814826018219E-2</v>
      </c>
      <c r="D4015">
        <f>LOG10(3.342303)</f>
        <v>0.52404581876594991</v>
      </c>
    </row>
    <row r="4016" spans="1:4">
      <c r="A4016">
        <v>1.0856980000000001</v>
      </c>
      <c r="B4016">
        <v>3.029471</v>
      </c>
      <c r="C4016">
        <f>LOG10(1.085698)</f>
        <v>3.5709037800447374E-2</v>
      </c>
      <c r="D4016">
        <f>LOG10(3.029471)</f>
        <v>0.48136679951277428</v>
      </c>
    </row>
    <row r="4017" spans="1:4">
      <c r="A4017">
        <v>1.073475</v>
      </c>
      <c r="B4017">
        <v>3.025566</v>
      </c>
      <c r="C4017">
        <f>LOG10(1.073475)</f>
        <v>3.0791934670288575E-2</v>
      </c>
      <c r="D4017">
        <f>LOG10(3.025566)</f>
        <v>0.48080663111513972</v>
      </c>
    </row>
    <row r="4018" spans="1:4">
      <c r="A4018">
        <v>1.087132</v>
      </c>
      <c r="B4018">
        <v>3.226451</v>
      </c>
      <c r="C4018">
        <f>LOG10(1.087132)</f>
        <v>3.6282279496731129E-2</v>
      </c>
      <c r="D4018">
        <f>LOG10(3.226451)</f>
        <v>0.50872507387791677</v>
      </c>
    </row>
    <row r="4019" spans="1:4">
      <c r="A4019">
        <v>1.1003959999999999</v>
      </c>
      <c r="B4019">
        <v>3.2022599999999999</v>
      </c>
      <c r="C4019">
        <f>LOG10(1.100396)</f>
        <v>4.1549003036180081E-2</v>
      </c>
      <c r="D4019">
        <f>LOG10(3.20226)</f>
        <v>0.5054565905380507</v>
      </c>
    </row>
    <row r="4020" spans="1:4">
      <c r="A4020">
        <v>1.0966819999999999</v>
      </c>
      <c r="B4020">
        <v>3.1706210000000001</v>
      </c>
      <c r="C4020">
        <f>LOG10(1.096682)</f>
        <v>4.0080715390344718E-2</v>
      </c>
      <c r="D4020">
        <f>LOG10(3.170621)</f>
        <v>0.50114433176350237</v>
      </c>
    </row>
    <row r="4021" spans="1:4">
      <c r="A4021">
        <v>1.092117</v>
      </c>
      <c r="B4021">
        <v>3.1929889999999999</v>
      </c>
      <c r="C4021">
        <f>LOG10(1.092117)</f>
        <v>3.8269167427767266E-2</v>
      </c>
      <c r="D4021">
        <f>LOG10(3.192989)</f>
        <v>0.50419742237673582</v>
      </c>
    </row>
    <row r="4022" spans="1:4">
      <c r="A4022">
        <v>1.0785309999999999</v>
      </c>
      <c r="B4022">
        <v>3.1593589999999998</v>
      </c>
      <c r="C4022">
        <f>LOG10(1.078531)</f>
        <v>3.2832632457064637E-2</v>
      </c>
      <c r="D4022">
        <f>LOG10(3.159359)</f>
        <v>0.49959897787111701</v>
      </c>
    </row>
    <row r="4023" spans="1:4">
      <c r="A4023">
        <v>1.092284</v>
      </c>
      <c r="B4023">
        <v>3.0597020000000001</v>
      </c>
      <c r="C4023">
        <f>LOG10(1.092284)</f>
        <v>3.8335572065577958E-2</v>
      </c>
      <c r="D4023">
        <f>LOG10(3.059702)</f>
        <v>0.48567913038425065</v>
      </c>
    </row>
    <row r="4024" spans="1:4">
      <c r="A4024">
        <v>1.0862670000000001</v>
      </c>
      <c r="B4024">
        <v>3.1822189999999999</v>
      </c>
      <c r="C4024">
        <f>LOG10(1.086267)</f>
        <v>3.5936586187144369E-2</v>
      </c>
      <c r="D4024">
        <f>LOG10(3.182219)</f>
        <v>0.50273006444277968</v>
      </c>
    </row>
    <row r="4025" spans="1:4">
      <c r="A4025">
        <v>1.108463</v>
      </c>
      <c r="B4025">
        <v>3.0271020000000002</v>
      </c>
      <c r="C4025">
        <f>LOG10(1.108463)</f>
        <v>4.4721201136556837E-2</v>
      </c>
      <c r="D4025">
        <f>LOG10(3.027102)</f>
        <v>0.48102705501366627</v>
      </c>
    </row>
    <row r="4026" spans="1:4">
      <c r="A4026">
        <v>1.0961970000000001</v>
      </c>
      <c r="B4026">
        <v>3.055507</v>
      </c>
      <c r="C4026">
        <f>LOG10(1.096197)</f>
        <v>3.9888609189174952E-2</v>
      </c>
      <c r="D4026">
        <f>LOG10(3.055507)</f>
        <v>0.48508328300197234</v>
      </c>
    </row>
    <row r="4027" spans="1:4">
      <c r="A4027">
        <v>1.089569</v>
      </c>
      <c r="B4027">
        <v>2.978335</v>
      </c>
      <c r="C4027">
        <f>LOG10(1.089569)</f>
        <v>3.7254738364175179E-2</v>
      </c>
      <c r="D4027">
        <f>LOG10(2.978335)</f>
        <v>0.47397354515186091</v>
      </c>
    </row>
    <row r="4028" spans="1:4">
      <c r="A4028">
        <v>1.106714</v>
      </c>
      <c r="B4028">
        <v>3.0459700000000001</v>
      </c>
      <c r="C4028">
        <f>LOG10(1.106714)</f>
        <v>4.4035403833056201E-2</v>
      </c>
      <c r="D4028">
        <f>LOG10(3.04597)</f>
        <v>0.4837256216203068</v>
      </c>
    </row>
    <row r="4029" spans="1:4">
      <c r="A4029">
        <v>1.1025640000000001</v>
      </c>
      <c r="B4029">
        <v>2.9289540000000001</v>
      </c>
      <c r="C4029">
        <f>LOG10(1.102564)</f>
        <v>4.2403808153598795E-2</v>
      </c>
      <c r="D4029">
        <f>LOG10(2.928954)</f>
        <v>0.46671255102504589</v>
      </c>
    </row>
    <row r="4030" spans="1:4">
      <c r="A4030">
        <v>1.0995109999999999</v>
      </c>
      <c r="B4030">
        <v>2.9621490000000001</v>
      </c>
      <c r="C4030">
        <f>LOG10(1.099511)</f>
        <v>4.1199578594857386E-2</v>
      </c>
      <c r="D4030">
        <f>LOG10(2.962149)</f>
        <v>0.47160690031965297</v>
      </c>
    </row>
    <row r="4031" spans="1:4">
      <c r="A4031">
        <v>1.073099</v>
      </c>
      <c r="B4031">
        <v>2.9178449999999998</v>
      </c>
      <c r="C4031">
        <f>LOG10(1.073099)</f>
        <v>3.0639790158274859E-2</v>
      </c>
      <c r="D4031">
        <f>LOG10(2.917845)</f>
        <v>0.4650622178409784</v>
      </c>
    </row>
    <row r="4032" spans="1:4">
      <c r="A4032">
        <v>1.102598</v>
      </c>
      <c r="B4032">
        <v>2.9507370000000002</v>
      </c>
      <c r="C4032">
        <f>LOG10(1.102598)</f>
        <v>4.2417200378193465E-2</v>
      </c>
      <c r="D4032">
        <f>LOG10(2.950737)</f>
        <v>0.46993050243835505</v>
      </c>
    </row>
    <row r="4033" spans="1:4">
      <c r="A4033">
        <v>1.081253</v>
      </c>
      <c r="B4033">
        <v>3.0286580000000001</v>
      </c>
      <c r="C4033">
        <f>LOG10(1.081253)</f>
        <v>3.3927325450108327E-2</v>
      </c>
      <c r="D4033">
        <f>LOG10(3.028658)</f>
        <v>0.48125023500386171</v>
      </c>
    </row>
    <row r="4034" spans="1:4">
      <c r="A4034">
        <v>1.0975029999999999</v>
      </c>
      <c r="B4034">
        <v>3.0938270000000001</v>
      </c>
      <c r="C4034">
        <f>LOG10(1.097503)</f>
        <v>4.0405716050072385E-2</v>
      </c>
      <c r="D4034">
        <f>LOG10(3.093827)</f>
        <v>0.490496025250238</v>
      </c>
    </row>
    <row r="4035" spans="1:4">
      <c r="A4035">
        <v>1.121138</v>
      </c>
      <c r="B4035">
        <v>2.9604979999999999</v>
      </c>
      <c r="C4035">
        <f>LOG10(1.121138)</f>
        <v>4.9659072853510594E-2</v>
      </c>
      <c r="D4035">
        <f>LOG10(2.960498)</f>
        <v>0.47136477202526195</v>
      </c>
    </row>
    <row r="4036" spans="1:4">
      <c r="A4036">
        <v>1.1200909999999999</v>
      </c>
      <c r="B4036">
        <v>2.9907430000000002</v>
      </c>
      <c r="C4036">
        <f>LOG10(1.120091)</f>
        <v>4.9253307663402794E-2</v>
      </c>
      <c r="D4036">
        <f>LOG10(2.990743)</f>
        <v>0.4757790949178794</v>
      </c>
    </row>
    <row r="4037" spans="1:4">
      <c r="A4037">
        <v>1.1507179999999999</v>
      </c>
      <c r="B4037">
        <v>2.843439</v>
      </c>
      <c r="C4037">
        <f>LOG10(1.150718)</f>
        <v>6.0968906558274319E-2</v>
      </c>
      <c r="D4037">
        <f>LOG10(2.843439)</f>
        <v>0.45384391581394379</v>
      </c>
    </row>
    <row r="4038" spans="1:4">
      <c r="A4038">
        <v>1.112233</v>
      </c>
      <c r="B4038">
        <v>2.84551</v>
      </c>
      <c r="C4038">
        <f>LOG10(1.112233)</f>
        <v>4.6195776467629762E-2</v>
      </c>
      <c r="D4038">
        <f>LOG10(2.84551)</f>
        <v>0.45416011619181801</v>
      </c>
    </row>
    <row r="4039" spans="1:4">
      <c r="A4039">
        <v>1.100598</v>
      </c>
      <c r="B4039">
        <v>3.1319979999999998</v>
      </c>
      <c r="C4039">
        <f>LOG10(1.100598)</f>
        <v>4.1628719278560371E-2</v>
      </c>
      <c r="D4039">
        <f>LOG10(3.131998)</f>
        <v>0.49582147605856186</v>
      </c>
    </row>
    <row r="4040" spans="1:4">
      <c r="A4040">
        <v>1.103226</v>
      </c>
      <c r="B4040">
        <v>3.0905200000000002</v>
      </c>
      <c r="C4040">
        <f>LOG10(1.103226)</f>
        <v>4.266448841387005E-2</v>
      </c>
      <c r="D4040">
        <f>LOG10(3.09052)</f>
        <v>0.49003155843149515</v>
      </c>
    </row>
    <row r="4041" spans="1:4">
      <c r="A4041">
        <v>1.107081</v>
      </c>
      <c r="B4041">
        <v>3.1607419999999999</v>
      </c>
      <c r="C4041">
        <f>LOG10(1.107081)</f>
        <v>4.4179397361200051E-2</v>
      </c>
      <c r="D4041">
        <f>LOG10(3.160742)</f>
        <v>0.49978904738996149</v>
      </c>
    </row>
    <row r="4042" spans="1:4">
      <c r="A4042">
        <v>1.127589</v>
      </c>
      <c r="B4042">
        <v>3.1788059999999998</v>
      </c>
      <c r="C4042">
        <f>LOG10(1.127589)</f>
        <v>5.2150830535319735E-2</v>
      </c>
      <c r="D4042">
        <f>LOG10(3.178806)</f>
        <v>0.50226402407696613</v>
      </c>
    </row>
    <row r="4043" spans="1:4">
      <c r="A4043">
        <v>1.116163</v>
      </c>
      <c r="B4043">
        <v>3.107545</v>
      </c>
      <c r="C4043">
        <f>LOG10(1.116163)</f>
        <v>4.772762186979803E-2</v>
      </c>
      <c r="D4043">
        <f>LOG10(3.107545)</f>
        <v>0.49241742632741792</v>
      </c>
    </row>
    <row r="4044" spans="1:4">
      <c r="A4044">
        <v>1.1248549999999999</v>
      </c>
      <c r="B4044">
        <v>3.145492</v>
      </c>
      <c r="C4044">
        <f>LOG10(1.124855)</f>
        <v>5.109654310652316E-2</v>
      </c>
      <c r="D4044">
        <f>LOG10(3.145492)</f>
        <v>0.49768858497158192</v>
      </c>
    </row>
    <row r="4045" spans="1:4">
      <c r="A4045">
        <v>1.097091</v>
      </c>
      <c r="B4045">
        <v>3.1272259999999998</v>
      </c>
      <c r="C4045">
        <f>LOG10(1.097091)</f>
        <v>4.0242652332003213E-2</v>
      </c>
      <c r="D4045">
        <f>LOG10(3.127226)</f>
        <v>0.49515926819727507</v>
      </c>
    </row>
    <row r="4046" spans="1:4">
      <c r="A4046">
        <v>1.0653189999999999</v>
      </c>
      <c r="B4046">
        <v>2.609718</v>
      </c>
      <c r="C4046">
        <f>LOG10(1.065319)</f>
        <v>2.7479672746962648E-2</v>
      </c>
      <c r="D4046">
        <f>LOG10(2.609718)</f>
        <v>0.41659358103152805</v>
      </c>
    </row>
    <row r="4047" spans="1:4">
      <c r="A4047">
        <v>1.0111540000000001</v>
      </c>
      <c r="B4047">
        <v>7.3112089999999998</v>
      </c>
      <c r="C4047">
        <f>LOG10(1.011154)</f>
        <v>4.8173042130569971E-3</v>
      </c>
      <c r="D4047">
        <f>LOG10(7.311209)</f>
        <v>0.86398919892960269</v>
      </c>
    </row>
    <row r="4048" spans="1:4">
      <c r="A4048">
        <v>1.0126630000000001</v>
      </c>
      <c r="B4048">
        <v>8.133775</v>
      </c>
      <c r="C4048">
        <f>LOG10(1.012663)</f>
        <v>5.4649423094258499E-3</v>
      </c>
      <c r="D4048">
        <f>LOG10(8.133775)</f>
        <v>0.91029215459304003</v>
      </c>
    </row>
    <row r="4049" spans="1:4">
      <c r="A4049">
        <v>1.0118529999999999</v>
      </c>
      <c r="B4049">
        <v>7.5666909999999996</v>
      </c>
      <c r="C4049">
        <f>LOG10(1.011853)</f>
        <v>5.1174236441130384E-3</v>
      </c>
      <c r="D4049">
        <f>LOG10(7.566691)</f>
        <v>0.87890599910104628</v>
      </c>
    </row>
    <row r="4050" spans="1:4">
      <c r="A4050">
        <v>1.011063</v>
      </c>
      <c r="B4050">
        <v>8.2029029999999992</v>
      </c>
      <c r="C4050">
        <f>LOG10(1.011063)</f>
        <v>4.7782176087213593E-3</v>
      </c>
      <c r="D4050">
        <f>LOG10(8.202903)</f>
        <v>0.91396757601350687</v>
      </c>
    </row>
    <row r="4051" spans="1:4">
      <c r="A4051">
        <v>1.0098640000000001</v>
      </c>
      <c r="B4051">
        <v>8.2168849999999996</v>
      </c>
      <c r="C4051">
        <f>LOG10(1.009864)</f>
        <v>4.2628905881026882E-3</v>
      </c>
      <c r="D4051">
        <f>LOG10(8.216885)</f>
        <v>0.91470720881676437</v>
      </c>
    </row>
    <row r="4052" spans="1:4">
      <c r="A4052">
        <v>1.010651</v>
      </c>
      <c r="B4052">
        <v>7.5981180000000004</v>
      </c>
      <c r="C4052">
        <f>LOG10(1.010651)</f>
        <v>4.6012100507570649E-3</v>
      </c>
      <c r="D4052">
        <f>LOG10(7.598118)</f>
        <v>0.88070603393453828</v>
      </c>
    </row>
    <row r="4053" spans="1:4">
      <c r="A4053">
        <v>1.0086759999999999</v>
      </c>
      <c r="B4053">
        <v>7.1380809999999997</v>
      </c>
      <c r="C4053">
        <f>LOG10(1.008676)</f>
        <v>3.7516875363201745E-3</v>
      </c>
      <c r="D4053">
        <f>LOG10(7.138081)</f>
        <v>0.85358147184231481</v>
      </c>
    </row>
    <row r="4054" spans="1:4">
      <c r="A4054">
        <v>1.0110380000000001</v>
      </c>
      <c r="B4054">
        <v>6.8147440000000001</v>
      </c>
      <c r="C4054">
        <f>LOG10(1.011038)</f>
        <v>4.7674789146125007E-3</v>
      </c>
      <c r="D4054">
        <f>LOG10(6.814744)</f>
        <v>0.83344954594096354</v>
      </c>
    </row>
    <row r="4055" spans="1:4">
      <c r="A4055">
        <v>1.011029</v>
      </c>
      <c r="B4055">
        <v>6.6111700000000004</v>
      </c>
      <c r="C4055">
        <f>LOG10(1.011029)</f>
        <v>4.7636129197298187E-3</v>
      </c>
      <c r="D4055">
        <f>LOG10(6.61117)</f>
        <v>0.82027832477746443</v>
      </c>
    </row>
    <row r="4056" spans="1:4">
      <c r="A4056">
        <v>1.015271</v>
      </c>
      <c r="B4056">
        <v>8.3776790000000005</v>
      </c>
      <c r="C4056">
        <f>LOG10(1.015271)</f>
        <v>6.5819812596345445E-3</v>
      </c>
      <c r="D4056">
        <f>LOG10(8.377679)</f>
        <v>0.92312371587248498</v>
      </c>
    </row>
    <row r="4057" spans="1:4">
      <c r="A4057">
        <v>1.0067699999999999</v>
      </c>
      <c r="B4057">
        <v>8.4141619999999993</v>
      </c>
      <c r="C4057">
        <f>LOG10(1.00677)</f>
        <v>2.9302658467526654E-3</v>
      </c>
      <c r="D4057">
        <f>LOG10(8.414162)</f>
        <v>0.92501086934353705</v>
      </c>
    </row>
    <row r="4058" spans="1:4">
      <c r="A4058">
        <v>1.01437</v>
      </c>
      <c r="B4058">
        <v>7.3955729999999997</v>
      </c>
      <c r="C4058">
        <f>LOG10(1.01437)</f>
        <v>6.1963964651819805E-3</v>
      </c>
      <c r="D4058">
        <f>LOG10(7.395573)</f>
        <v>0.86897182824468344</v>
      </c>
    </row>
    <row r="4059" spans="1:4">
      <c r="A4059">
        <v>1.115964</v>
      </c>
      <c r="B4059">
        <v>7.4151290000000003</v>
      </c>
      <c r="C4059">
        <f>LOG10(1.115964)</f>
        <v>4.7650184876179169E-2</v>
      </c>
      <c r="D4059">
        <f>LOG10(7.415129)</f>
        <v>0.87011871079270053</v>
      </c>
    </row>
    <row r="4060" spans="1:4">
      <c r="A4060">
        <v>1.0104789999999999</v>
      </c>
      <c r="B4060">
        <v>7.6925150000000002</v>
      </c>
      <c r="C4060">
        <f>LOG10(1.010479)</f>
        <v>4.5272923403003283E-3</v>
      </c>
      <c r="D4060">
        <f>LOG10(7.692515)</f>
        <v>0.88606835177173882</v>
      </c>
    </row>
    <row r="4061" spans="1:4">
      <c r="A4061">
        <v>1.011144</v>
      </c>
      <c r="B4061">
        <v>7.8558919999999999</v>
      </c>
      <c r="C4061">
        <f>LOG10(1.011144)</f>
        <v>4.8130091538529669E-3</v>
      </c>
      <c r="D4061">
        <f>LOG10(7.855892)</f>
        <v>0.89519550429436523</v>
      </c>
    </row>
    <row r="4062" spans="1:4">
      <c r="A4062">
        <v>1.011307</v>
      </c>
      <c r="B4062">
        <v>8.2031749999999999</v>
      </c>
      <c r="C4062">
        <f>LOG10(1.011307)</f>
        <v>4.8830133227583854E-3</v>
      </c>
      <c r="D4062">
        <f>LOG10(8.203175)</f>
        <v>0.91398197654227298</v>
      </c>
    </row>
    <row r="4063" spans="1:4">
      <c r="A4063">
        <v>1.007306</v>
      </c>
      <c r="B4063">
        <v>8.2030639999999995</v>
      </c>
      <c r="C4063">
        <f>LOG10(1.007306)</f>
        <v>3.1614208258057539E-3</v>
      </c>
      <c r="D4063">
        <f>LOG10(8.203064)</f>
        <v>0.91397609991357187</v>
      </c>
    </row>
    <row r="4064" spans="1:4">
      <c r="A4064">
        <v>1.0136860000000001</v>
      </c>
      <c r="B4064">
        <v>8.4196869999999997</v>
      </c>
      <c r="C4064">
        <f>LOG10(1.013686)</f>
        <v>5.9034485023197764E-3</v>
      </c>
      <c r="D4064">
        <f>LOG10(8.419687)</f>
        <v>0.92529594699852524</v>
      </c>
    </row>
    <row r="4065" spans="1:4">
      <c r="A4065">
        <v>1.0067429999999999</v>
      </c>
      <c r="B4065">
        <v>7.5230379999999997</v>
      </c>
      <c r="C4065">
        <f>LOG10(1.006743)</f>
        <v>2.9186185904279331E-3</v>
      </c>
      <c r="D4065">
        <f>LOG10(7.523038)</f>
        <v>0.87639325551168157</v>
      </c>
    </row>
    <row r="4066" spans="1:4">
      <c r="A4066">
        <v>1.010003</v>
      </c>
      <c r="B4066">
        <v>8.3489389999999997</v>
      </c>
      <c r="C4066">
        <f>LOG10(1.010003)</f>
        <v>4.3226637643363677E-3</v>
      </c>
      <c r="D4066">
        <f>LOG10(8.348939)</f>
        <v>0.92163128797187821</v>
      </c>
    </row>
    <row r="4067" spans="1:4">
      <c r="A4067">
        <v>1.0097780000000001</v>
      </c>
      <c r="B4067">
        <v>7.792211</v>
      </c>
      <c r="C4067">
        <f>LOG10(1.009778)</f>
        <v>4.2259045029784262E-3</v>
      </c>
      <c r="D4067">
        <f>LOG10(7.792211)</f>
        <v>0.89166070399568664</v>
      </c>
    </row>
    <row r="4068" spans="1:4">
      <c r="A4068">
        <v>1.0159180000000001</v>
      </c>
      <c r="B4068">
        <v>8.2398129999999998</v>
      </c>
      <c r="C4068">
        <f>LOG10(1.015918)</f>
        <v>6.8586552070562263E-3</v>
      </c>
      <c r="D4068">
        <f>LOG10(8.239813)</f>
        <v>0.91591735563040932</v>
      </c>
    </row>
    <row r="4069" spans="1:4">
      <c r="A4069">
        <v>1.010195</v>
      </c>
      <c r="B4069">
        <v>7.9710000000000001</v>
      </c>
      <c r="C4069">
        <f>LOG10(1.010195)</f>
        <v>4.4052146239812861E-3</v>
      </c>
      <c r="D4069">
        <f>LOG10(7.971)</f>
        <v>0.90151280912993992</v>
      </c>
    </row>
    <row r="4070" spans="1:4">
      <c r="A4070">
        <v>1.006113</v>
      </c>
      <c r="B4070">
        <v>7.7003880000000002</v>
      </c>
      <c r="C4070">
        <f>LOG10(1.006113)</f>
        <v>2.6467605613058457E-3</v>
      </c>
      <c r="D4070">
        <f>LOG10(7.700388)</f>
        <v>0.88651260855087655</v>
      </c>
    </row>
    <row r="4071" spans="1:4">
      <c r="A4071">
        <v>1.0100800000000001</v>
      </c>
      <c r="B4071">
        <v>7.6337900000000003</v>
      </c>
      <c r="C4071">
        <f>LOG10(1.01008)</f>
        <v>4.3557719832786499E-3</v>
      </c>
      <c r="D4071">
        <f>LOG10(7.63379)</f>
        <v>0.88274020865268743</v>
      </c>
    </row>
    <row r="4072" spans="1:4">
      <c r="A4072">
        <v>1.0115080000000001</v>
      </c>
      <c r="B4072">
        <v>7.4473390000000004</v>
      </c>
      <c r="C4072">
        <f>LOG10(1.011508)</f>
        <v>4.9693219482628507E-3</v>
      </c>
      <c r="D4072">
        <f>LOG10(7.447339)</f>
        <v>0.87200112321069623</v>
      </c>
    </row>
    <row r="4073" spans="1:4">
      <c r="A4073">
        <v>1.0085120000000001</v>
      </c>
      <c r="B4073">
        <v>7.6222799999999999</v>
      </c>
      <c r="C4073">
        <f>LOG10(1.008512)</f>
        <v>3.681070127145632E-3</v>
      </c>
      <c r="D4073">
        <f>LOG10(7.62228)</f>
        <v>0.88208489828309256</v>
      </c>
    </row>
    <row r="4074" spans="1:4">
      <c r="A4074">
        <v>1.0066710000000001</v>
      </c>
      <c r="B4074">
        <v>7.8902210000000004</v>
      </c>
      <c r="C4074">
        <f>LOG10(1.006671)</f>
        <v>2.887557713022394E-3</v>
      </c>
      <c r="D4074">
        <f>LOG10(7.890221)</f>
        <v>0.89708916768804292</v>
      </c>
    </row>
    <row r="4075" spans="1:4">
      <c r="A4075">
        <v>1.010022</v>
      </c>
      <c r="B4075">
        <v>7.1740899999999996</v>
      </c>
      <c r="C4075">
        <f>LOG10(1.010022)</f>
        <v>4.3308335594194995E-3</v>
      </c>
      <c r="D4075">
        <f>LOG10(7.17409)</f>
        <v>0.85576682066141385</v>
      </c>
    </row>
    <row r="4076" spans="1:4">
      <c r="A4076">
        <v>1.0047980000000001</v>
      </c>
      <c r="B4076">
        <v>7.6471980000000004</v>
      </c>
      <c r="C4076">
        <f>LOG10(1.004798)</f>
        <v>2.0787619526071613E-3</v>
      </c>
      <c r="D4076">
        <f>LOG10(7.647198)</f>
        <v>0.88350233501620656</v>
      </c>
    </row>
    <row r="4077" spans="1:4">
      <c r="A4077">
        <v>1.0051540000000001</v>
      </c>
      <c r="B4077">
        <v>6.6343889999999996</v>
      </c>
      <c r="C4077">
        <f>LOG10(1.005154)</f>
        <v>2.2326052654567351E-3</v>
      </c>
      <c r="D4077">
        <f>LOG10(6.634389)</f>
        <v>0.82180093230262885</v>
      </c>
    </row>
    <row r="4078" spans="1:4">
      <c r="A4078">
        <v>1.014343</v>
      </c>
      <c r="B4078">
        <v>7.4285209999999999</v>
      </c>
      <c r="C4078">
        <f>LOG10(1.014343)</f>
        <v>6.1848364751665571E-3</v>
      </c>
      <c r="D4078">
        <f>LOG10(7.428521)</f>
        <v>0.87090235541914862</v>
      </c>
    </row>
    <row r="4079" spans="1:4">
      <c r="A4079">
        <v>1.013247</v>
      </c>
      <c r="B4079">
        <v>7.615653</v>
      </c>
      <c r="C4079">
        <f>LOG10(1.013247)</f>
        <v>5.7153265658407013E-3</v>
      </c>
      <c r="D4079">
        <f>LOG10(7.615653)</f>
        <v>0.88170714761139379</v>
      </c>
    </row>
    <row r="4080" spans="1:4">
      <c r="A4080">
        <v>1.0061310000000001</v>
      </c>
      <c r="B4080">
        <v>7.3073319999999997</v>
      </c>
      <c r="C4080">
        <f>LOG10(1.006131)</f>
        <v>2.6545302956665884E-3</v>
      </c>
      <c r="D4080">
        <f>LOG10(7.307332)</f>
        <v>0.86375883945038845</v>
      </c>
    </row>
    <row r="4081" spans="1:4">
      <c r="A4081">
        <v>1.0108969999999999</v>
      </c>
      <c r="B4081">
        <v>7.571942</v>
      </c>
      <c r="C4081">
        <f>LOG10(1.010897)</f>
        <v>4.7069077072812117E-3</v>
      </c>
      <c r="D4081">
        <f>LOG10(7.571942)</f>
        <v>0.87920727867046722</v>
      </c>
    </row>
    <row r="4082" spans="1:4">
      <c r="A4082">
        <v>1.0103219999999999</v>
      </c>
      <c r="B4082">
        <v>7.8296809999999999</v>
      </c>
      <c r="C4082">
        <f>LOG10(1.010322)</f>
        <v>4.4598099570315334E-3</v>
      </c>
      <c r="D4082">
        <f>LOG10(7.829681)</f>
        <v>0.89374406821861851</v>
      </c>
    </row>
    <row r="4083" spans="1:4">
      <c r="A4083">
        <v>1.007555</v>
      </c>
      <c r="B4083">
        <v>7.1350709999999999</v>
      </c>
      <c r="C4083">
        <f>LOG10(1.007555)</f>
        <v>3.268762549670976E-3</v>
      </c>
      <c r="D4083">
        <f>LOG10(7.135071)</f>
        <v>0.85339829907011888</v>
      </c>
    </row>
    <row r="4084" spans="1:4">
      <c r="A4084">
        <v>1.0055160000000001</v>
      </c>
      <c r="B4084">
        <v>7.5659400000000003</v>
      </c>
      <c r="C4084">
        <f>LOG10(1.005516)</f>
        <v>2.3889855806229518E-3</v>
      </c>
      <c r="D4084">
        <f>LOG10(7.56594)</f>
        <v>0.87886289289483843</v>
      </c>
    </row>
    <row r="4085" spans="1:4">
      <c r="A4085">
        <v>1.010945</v>
      </c>
      <c r="B4085">
        <v>7.7714249999999998</v>
      </c>
      <c r="C4085">
        <f>LOG10(1.010945)</f>
        <v>4.7275286411972081E-3</v>
      </c>
      <c r="D4085">
        <f>LOG10(7.771425)</f>
        <v>0.89050066010001605</v>
      </c>
    </row>
    <row r="4086" spans="1:4">
      <c r="A4086">
        <v>1.0106850000000001</v>
      </c>
      <c r="B4086">
        <v>7.2914690000000002</v>
      </c>
      <c r="C4086">
        <f>LOG10(1.010685)</f>
        <v>4.6158202020492225E-3</v>
      </c>
      <c r="D4086">
        <f>LOG10(7.291469)</f>
        <v>0.86281503371212587</v>
      </c>
    </row>
    <row r="4087" spans="1:4">
      <c r="A4087">
        <v>1.0061040000000001</v>
      </c>
      <c r="B4087">
        <v>8.2372320000000006</v>
      </c>
      <c r="C4087">
        <f>LOG10(1.006104)</f>
        <v>2.6428756419983128E-3</v>
      </c>
      <c r="D4087">
        <f>LOG10(8.237232)</f>
        <v>0.9157812979735952</v>
      </c>
    </row>
    <row r="4088" spans="1:4">
      <c r="A4088">
        <v>1.0090790000000001</v>
      </c>
      <c r="B4088">
        <v>7.667611</v>
      </c>
      <c r="C4088">
        <f>LOG10(1.009079)</f>
        <v>3.925168140788326E-3</v>
      </c>
      <c r="D4088">
        <f>LOG10(7.667611)</f>
        <v>0.88466007175443284</v>
      </c>
    </row>
    <row r="4089" spans="1:4">
      <c r="A4089">
        <v>1.0072099999999999</v>
      </c>
      <c r="B4089">
        <v>7.2219759999999997</v>
      </c>
      <c r="C4089">
        <f>LOG10(1.00721)</f>
        <v>3.1200289775461087E-3</v>
      </c>
      <c r="D4089">
        <f>LOG10(7.221976)</f>
        <v>0.85865604085003178</v>
      </c>
    </row>
    <row r="4090" spans="1:4">
      <c r="A4090">
        <v>1.008248</v>
      </c>
      <c r="B4090">
        <v>6.9653770000000002</v>
      </c>
      <c r="C4090">
        <f>LOG10(1.008248)</f>
        <v>3.5673691970623659E-3</v>
      </c>
      <c r="D4090">
        <f>LOG10(6.965377)</f>
        <v>0.84294462752074228</v>
      </c>
    </row>
    <row r="4091" spans="1:4">
      <c r="A4091">
        <v>1.006758</v>
      </c>
      <c r="B4091">
        <v>6.9591539999999998</v>
      </c>
      <c r="C4091">
        <f>LOG10(1.006758)</f>
        <v>2.9250893269497542E-3</v>
      </c>
      <c r="D4091">
        <f>LOG10(6.959154)</f>
        <v>0.84255644715893141</v>
      </c>
    </row>
    <row r="4092" spans="1:4">
      <c r="A4092">
        <v>1.006899</v>
      </c>
      <c r="B4092">
        <v>6.9005580000000002</v>
      </c>
      <c r="C4092">
        <f>LOG10(1.006899)</f>
        <v>2.9859095381857452E-3</v>
      </c>
      <c r="D4092">
        <f>LOG10(6.900558)</f>
        <v>0.83888421052314144</v>
      </c>
    </row>
    <row r="4093" spans="1:4">
      <c r="A4093">
        <v>1.008632</v>
      </c>
      <c r="B4093">
        <v>7.1437210000000002</v>
      </c>
      <c r="C4093">
        <f>LOG10(1.008632)</f>
        <v>3.7327425292050047E-3</v>
      </c>
      <c r="D4093">
        <f>LOG10(7.143721)</f>
        <v>0.85392448472055882</v>
      </c>
    </row>
    <row r="4094" spans="1:4">
      <c r="A4094">
        <v>1.007803</v>
      </c>
      <c r="B4094">
        <v>7.1072850000000001</v>
      </c>
      <c r="C4094">
        <f>LOG10(1.007803)</f>
        <v>3.3756468174344803E-3</v>
      </c>
      <c r="D4094">
        <f>LOG10(7.107285)</f>
        <v>0.85170373087026774</v>
      </c>
    </row>
    <row r="4095" spans="1:4">
      <c r="A4095">
        <v>1.0058830000000001</v>
      </c>
      <c r="B4095">
        <v>6.3521559999999999</v>
      </c>
      <c r="C4095">
        <f>LOG10(1.005883)</f>
        <v>2.5474683845094401E-3</v>
      </c>
      <c r="D4095">
        <f>LOG10(6.352156)</f>
        <v>0.80292115521048324</v>
      </c>
    </row>
    <row r="4096" spans="1:4">
      <c r="A4096">
        <v>1.0250520000000001</v>
      </c>
      <c r="B4096">
        <v>6.3847519999999998</v>
      </c>
      <c r="C4096">
        <f>LOG10(1.025052)</f>
        <v>1.0745897333464188E-2</v>
      </c>
      <c r="D4096">
        <f>LOG10(6.384752)</f>
        <v>0.80514403282523617</v>
      </c>
    </row>
    <row r="4097" spans="1:4">
      <c r="A4097">
        <v>1.0232829999999999</v>
      </c>
      <c r="B4097">
        <v>6.0474410000000001</v>
      </c>
      <c r="C4097">
        <f>LOG10(1.023283)</f>
        <v>9.995759168084083E-3</v>
      </c>
      <c r="D4097">
        <f>LOG10(6.047441)</f>
        <v>0.7815716399939131</v>
      </c>
    </row>
    <row r="4098" spans="1:4">
      <c r="A4098">
        <v>1.605769</v>
      </c>
      <c r="B4098">
        <v>6.1961349999999999</v>
      </c>
      <c r="C4098">
        <f>LOG10(1.605769)</f>
        <v>0.20568306943522022</v>
      </c>
      <c r="D4098">
        <f>LOG10(6.196135)</f>
        <v>0.7921208715010396</v>
      </c>
    </row>
    <row r="4099" spans="1:4">
      <c r="A4099">
        <v>1.0624279999999999</v>
      </c>
      <c r="B4099">
        <v>6.2354010000000004</v>
      </c>
      <c r="C4099">
        <f>LOG10(1.062428)</f>
        <v>2.6299507887319412E-2</v>
      </c>
      <c r="D4099">
        <f>LOG10(6.235401)</f>
        <v>0.79486438828565109</v>
      </c>
    </row>
    <row r="4100" spans="1:4">
      <c r="A4100">
        <v>1.030189</v>
      </c>
      <c r="B4100">
        <v>3.437297</v>
      </c>
      <c r="C4100">
        <f>LOG10(1.030189)</f>
        <v>1.2916908323820779E-2</v>
      </c>
      <c r="D4100">
        <f>LOG10(3.437297)</f>
        <v>0.53621705901777916</v>
      </c>
    </row>
    <row r="4101" spans="1:4">
      <c r="A4101">
        <v>1.1221460000000001</v>
      </c>
      <c r="B4101">
        <v>2.6464089999999998</v>
      </c>
      <c r="C4101">
        <f>LOG10(1.122146)</f>
        <v>5.0049365716314839E-2</v>
      </c>
      <c r="D4101">
        <f>LOG10(2.646409)</f>
        <v>0.42265696483878074</v>
      </c>
    </row>
    <row r="4102" spans="1:4">
      <c r="A4102">
        <v>1.009935</v>
      </c>
      <c r="B4102">
        <v>2.7830210000000002</v>
      </c>
      <c r="C4102">
        <f>LOG10(1.009935)</f>
        <v>4.2934232383592744E-3</v>
      </c>
      <c r="D4102">
        <f>LOG10(2.783021)</f>
        <v>0.44451648342700401</v>
      </c>
    </row>
    <row r="4103" spans="1:4">
      <c r="A4103">
        <v>1.005474</v>
      </c>
      <c r="B4103">
        <v>2.725034</v>
      </c>
      <c r="C4103">
        <f>LOG10(1.005474)</f>
        <v>2.3708448954453715E-3</v>
      </c>
      <c r="D4103">
        <f>LOG10(2.725034)</f>
        <v>0.43537192529899782</v>
      </c>
    </row>
    <row r="4104" spans="1:4">
      <c r="A4104">
        <v>1.0142979999999999</v>
      </c>
      <c r="B4104">
        <v>2.8197969999999999</v>
      </c>
      <c r="C4104">
        <f>LOG10(1.014298)</f>
        <v>6.1655691413318534E-3</v>
      </c>
      <c r="D4104">
        <f>LOG10(2.819797)</f>
        <v>0.45021784415156763</v>
      </c>
    </row>
    <row r="4105" spans="1:4">
      <c r="A4105">
        <v>1.0088189999999999</v>
      </c>
      <c r="B4105">
        <v>2.9773540000000001</v>
      </c>
      <c r="C4105">
        <f>LOG10(1.008819)</f>
        <v>3.8132531025457856E-3</v>
      </c>
      <c r="D4105">
        <f>LOG10(2.977354)</f>
        <v>0.4738304742525577</v>
      </c>
    </row>
    <row r="4106" spans="1:4">
      <c r="A4106">
        <v>1.0054380000000001</v>
      </c>
      <c r="B4106">
        <v>2.8728370000000001</v>
      </c>
      <c r="C4106">
        <f>LOG10(1.005438)</f>
        <v>2.3552951335958677E-3</v>
      </c>
      <c r="D4106">
        <f>LOG10(2.872837)</f>
        <v>0.45831098554336908</v>
      </c>
    </row>
    <row r="4107" spans="1:4">
      <c r="A4107">
        <v>1.006095</v>
      </c>
      <c r="B4107">
        <v>2.8201499999999999</v>
      </c>
      <c r="C4107">
        <f>LOG10(1.006095)</f>
        <v>2.638990687938382E-3</v>
      </c>
      <c r="D4107">
        <f>LOG10(2.82015)</f>
        <v>0.45027220847531468</v>
      </c>
    </row>
    <row r="4108" spans="1:4">
      <c r="A4108">
        <v>1.0066299999999999</v>
      </c>
      <c r="B4108">
        <v>2.867388</v>
      </c>
      <c r="C4108">
        <f>LOG10(1.00663)</f>
        <v>2.8698692762108365E-3</v>
      </c>
      <c r="D4108">
        <f>LOG10(2.867388)</f>
        <v>0.45748646338867838</v>
      </c>
    </row>
    <row r="4109" spans="1:4">
      <c r="A4109">
        <v>1.0091019999999999</v>
      </c>
      <c r="B4109">
        <v>2.9189409999999998</v>
      </c>
      <c r="C4109">
        <f>LOG10(1.009102)</f>
        <v>3.935066928938801E-3</v>
      </c>
      <c r="D4109">
        <f>LOG10(2.918941)</f>
        <v>0.46522531676485884</v>
      </c>
    </row>
    <row r="4110" spans="1:4">
      <c r="A4110">
        <v>1.0120750000000001</v>
      </c>
      <c r="B4110">
        <v>2.7994829999999999</v>
      </c>
      <c r="C4110">
        <f>LOG10(1.012075)</f>
        <v>5.2126971670538313E-3</v>
      </c>
      <c r="D4110">
        <f>LOG10(2.799483)</f>
        <v>0.44707783456413025</v>
      </c>
    </row>
    <row r="4111" spans="1:4">
      <c r="A4111">
        <v>1.0294749999999999</v>
      </c>
      <c r="B4111">
        <v>2.9165040000000002</v>
      </c>
      <c r="C4111">
        <f>LOG10(1.029475)</f>
        <v>1.2615804578258194E-2</v>
      </c>
      <c r="D4111">
        <f>LOG10(2.916504)</f>
        <v>0.46486257640352319</v>
      </c>
    </row>
    <row r="4112" spans="1:4">
      <c r="A4112">
        <v>1.0213779999999999</v>
      </c>
      <c r="B4112">
        <v>2.8207369999999998</v>
      </c>
      <c r="C4112">
        <f>LOG10(1.021378)</f>
        <v>9.1864991221248856E-3</v>
      </c>
      <c r="D4112">
        <f>LOG10(2.820737)</f>
        <v>0.45036259527504935</v>
      </c>
    </row>
    <row r="4113" spans="1:4">
      <c r="A4113">
        <v>1.009765</v>
      </c>
      <c r="B4113">
        <v>2.9390839999999998</v>
      </c>
      <c r="C4113">
        <f>LOG10(1.009765)</f>
        <v>4.2203133090649141E-3</v>
      </c>
      <c r="D4113">
        <f>LOG10(2.939084)</f>
        <v>0.46821199853098583</v>
      </c>
    </row>
    <row r="4114" spans="1:4">
      <c r="A4114">
        <v>1.0066489999999999</v>
      </c>
      <c r="B4114">
        <v>2.8036819999999998</v>
      </c>
      <c r="C4114">
        <f>LOG10(1.006649)</f>
        <v>2.8780664462567198E-3</v>
      </c>
      <c r="D4114">
        <f>LOG10(2.803682)</f>
        <v>0.44772875341834512</v>
      </c>
    </row>
    <row r="4115" spans="1:4">
      <c r="A4115">
        <v>1.0054609999999999</v>
      </c>
      <c r="B4115">
        <v>2.9867170000000001</v>
      </c>
      <c r="C4115">
        <f>LOG10(1.005461)</f>
        <v>2.3652297678904395E-3</v>
      </c>
      <c r="D4115">
        <f>LOG10(2.986717)</f>
        <v>0.47519407390609975</v>
      </c>
    </row>
    <row r="4116" spans="1:4">
      <c r="A4116">
        <v>1.007261</v>
      </c>
      <c r="B4116">
        <v>2.9331070000000001</v>
      </c>
      <c r="C4116">
        <f>LOG10(1.007261)</f>
        <v>3.1420188881298877E-3</v>
      </c>
      <c r="D4116">
        <f>LOG10(2.933107)</f>
        <v>0.46732790637023763</v>
      </c>
    </row>
    <row r="4117" spans="1:4">
      <c r="A4117">
        <v>1.0057430000000001</v>
      </c>
      <c r="B4117">
        <v>2.8365860000000001</v>
      </c>
      <c r="C4117">
        <f>LOG10(1.005743)</f>
        <v>2.4870185518222191E-3</v>
      </c>
      <c r="D4117">
        <f>LOG10(2.836586)</f>
        <v>0.4527959550994719</v>
      </c>
    </row>
    <row r="4118" spans="1:4">
      <c r="A4118">
        <v>1.006472</v>
      </c>
      <c r="B4118">
        <v>2.9771239999999999</v>
      </c>
      <c r="C4118">
        <f>LOG10(1.006472)</f>
        <v>2.8016973422685331E-3</v>
      </c>
      <c r="D4118">
        <f>LOG10(2.977124)</f>
        <v>0.47379692379493993</v>
      </c>
    </row>
    <row r="4119" spans="1:4">
      <c r="A4119">
        <v>1.0043150000000001</v>
      </c>
      <c r="B4119">
        <v>2.9768110000000001</v>
      </c>
      <c r="C4119">
        <f>LOG10(1.004315)</f>
        <v>1.8699491692541698E-3</v>
      </c>
      <c r="D4119">
        <f>LOG10(2.976811)</f>
        <v>0.47375126183424976</v>
      </c>
    </row>
    <row r="4120" spans="1:4">
      <c r="A4120">
        <v>1.0090779999999999</v>
      </c>
      <c r="B4120">
        <v>2.9924940000000002</v>
      </c>
      <c r="C4120">
        <f>LOG10(1.009078)</f>
        <v>3.9247377535766631E-3</v>
      </c>
      <c r="D4120">
        <f>LOG10(2.992494)</f>
        <v>0.47603328831169683</v>
      </c>
    </row>
    <row r="4121" spans="1:4">
      <c r="A4121">
        <v>1.005185</v>
      </c>
      <c r="B4121">
        <v>3.1178360000000001</v>
      </c>
      <c r="C4121">
        <f>LOG10(1.005185)</f>
        <v>2.2459991546863838E-3</v>
      </c>
      <c r="D4121">
        <f>LOG10(3.117836)</f>
        <v>0.49385326730945561</v>
      </c>
    </row>
    <row r="4122" spans="1:4">
      <c r="A4122">
        <v>1.007673</v>
      </c>
      <c r="B4122">
        <v>2.8526159999999998</v>
      </c>
      <c r="C4122">
        <f>LOG10(1.007673)</f>
        <v>3.3196220543257136E-3</v>
      </c>
      <c r="D4122">
        <f>LOG10(2.852616)</f>
        <v>0.45524331378633892</v>
      </c>
    </row>
    <row r="4123" spans="1:4">
      <c r="A4123">
        <v>1.0119899999999999</v>
      </c>
      <c r="B4123">
        <v>3.1584539999999999</v>
      </c>
      <c r="C4123">
        <f>LOG10(1.01199)</f>
        <v>5.1762210351277062E-3</v>
      </c>
      <c r="D4123">
        <f>LOG10(3.158454)</f>
        <v>0.49947455617366865</v>
      </c>
    </row>
    <row r="4124" spans="1:4">
      <c r="A4124">
        <v>1.0143610000000001</v>
      </c>
      <c r="B4124">
        <v>3.1127799999999999</v>
      </c>
      <c r="C4124">
        <f>LOG10(1.014361)</f>
        <v>6.1925431693659041E-3</v>
      </c>
      <c r="D4124">
        <f>LOG10(3.11278)</f>
        <v>0.4931484274084007</v>
      </c>
    </row>
    <row r="4125" spans="1:4">
      <c r="A4125">
        <v>1.016726</v>
      </c>
      <c r="B4125">
        <v>3.0570550000000001</v>
      </c>
      <c r="C4125">
        <f>LOG10(1.016726)</f>
        <v>7.2039295983031748E-3</v>
      </c>
      <c r="D4125">
        <f>LOG10(3.057055)</f>
        <v>0.4853032522627696</v>
      </c>
    </row>
    <row r="4126" spans="1:4">
      <c r="A4126">
        <v>1.016367</v>
      </c>
      <c r="B4126">
        <v>3.3739379999999999</v>
      </c>
      <c r="C4126">
        <f>LOG10(1.016367)</f>
        <v>7.0505556792313934E-3</v>
      </c>
      <c r="D4126">
        <f>LOG10(3.373938)</f>
        <v>0.52813709766470185</v>
      </c>
    </row>
    <row r="4127" spans="1:4">
      <c r="A4127">
        <v>1.0086599999999999</v>
      </c>
      <c r="B4127">
        <v>3.0411679999999999</v>
      </c>
      <c r="C4127">
        <f>LOG10(1.00866)</f>
        <v>3.7447985384431678E-3</v>
      </c>
      <c r="D4127">
        <f>LOG10(3.041168)</f>
        <v>0.48304041207364751</v>
      </c>
    </row>
    <row r="4128" spans="1:4">
      <c r="A4128">
        <v>1.0080309999999999</v>
      </c>
      <c r="B4128">
        <v>3.0101719999999998</v>
      </c>
      <c r="C4128">
        <f>LOG10(1.008031)</f>
        <v>3.473888182840694E-3</v>
      </c>
      <c r="D4128">
        <f>LOG10(3.010172)</f>
        <v>0.47859131171235547</v>
      </c>
    </row>
    <row r="4129" spans="1:4">
      <c r="A4129">
        <v>1.0154479999999999</v>
      </c>
      <c r="B4129">
        <v>3.2006589999999999</v>
      </c>
      <c r="C4129">
        <f>LOG10(1.015448)</f>
        <v>6.6576885568937734E-3</v>
      </c>
      <c r="D4129">
        <f>LOG10(3.200659)</f>
        <v>0.50523940663176747</v>
      </c>
    </row>
    <row r="4130" spans="1:4">
      <c r="A4130">
        <v>1.005873</v>
      </c>
      <c r="B4130">
        <v>3.250734</v>
      </c>
      <c r="C4130">
        <f>LOG10(1.005873)</f>
        <v>2.5431508183442622E-3</v>
      </c>
      <c r="D4130">
        <f>LOG10(3.250734)</f>
        <v>0.51198143364299864</v>
      </c>
    </row>
    <row r="4131" spans="1:4">
      <c r="A4131">
        <v>1.0151319999999999</v>
      </c>
      <c r="B4131">
        <v>3.1213299999999999</v>
      </c>
      <c r="C4131">
        <f>LOG10(1.015132)</f>
        <v>6.5225182534442393E-3</v>
      </c>
      <c r="D4131">
        <f>LOG10(3.12133)</f>
        <v>0.49433968651304711</v>
      </c>
    </row>
    <row r="4132" spans="1:4">
      <c r="A4132">
        <v>1.0090349999999999</v>
      </c>
      <c r="B4132">
        <v>3.1994590000000001</v>
      </c>
      <c r="C4132">
        <f>LOG10(1.009035)</f>
        <v>3.906230699982863E-3</v>
      </c>
      <c r="D4132">
        <f>LOG10(3.199459)</f>
        <v>0.50507654920182921</v>
      </c>
    </row>
    <row r="4133" spans="1:4">
      <c r="A4133">
        <v>1.008499</v>
      </c>
      <c r="B4133">
        <v>3.158223</v>
      </c>
      <c r="C4133">
        <f>LOG10(1.008499)</f>
        <v>3.675471914478633E-3</v>
      </c>
      <c r="D4133">
        <f>LOG10(3.158223)</f>
        <v>0.49944279199596436</v>
      </c>
    </row>
    <row r="4134" spans="1:4">
      <c r="A4134">
        <v>1.01555</v>
      </c>
      <c r="B4134">
        <v>3.0680510000000001</v>
      </c>
      <c r="C4134">
        <f>LOG10(1.01555)</f>
        <v>6.7013104976257638E-3</v>
      </c>
      <c r="D4134">
        <f>LOG10(3.068051)</f>
        <v>0.48686257458414195</v>
      </c>
    </row>
    <row r="4135" spans="1:4">
      <c r="A4135">
        <v>1.0056069999999999</v>
      </c>
      <c r="B4135">
        <v>3.231792</v>
      </c>
      <c r="C4135">
        <f>LOG10(1.005607)</f>
        <v>2.4282877992143543E-3</v>
      </c>
      <c r="D4135">
        <f>LOG10(3.231792)</f>
        <v>0.50944340155826529</v>
      </c>
    </row>
    <row r="4136" spans="1:4">
      <c r="A4136">
        <v>1.0378559999999999</v>
      </c>
      <c r="B4136">
        <v>3.0482849999999999</v>
      </c>
      <c r="C4136">
        <f>LOG10(1.037856)</f>
        <v>1.61371003874685E-2</v>
      </c>
      <c r="D4136">
        <f>LOG10(3.048285)</f>
        <v>0.48405556901304464</v>
      </c>
    </row>
    <row r="4137" spans="1:4">
      <c r="A4137">
        <v>1.016335</v>
      </c>
      <c r="B4137">
        <v>3.159262</v>
      </c>
      <c r="C4137">
        <f>LOG10(1.016335)</f>
        <v>7.0368818368068114E-3</v>
      </c>
      <c r="D4137">
        <f>LOG10(3.159262)</f>
        <v>0.49958564377029097</v>
      </c>
    </row>
    <row r="4138" spans="1:4">
      <c r="A4138">
        <v>1.0350189999999999</v>
      </c>
      <c r="B4138">
        <v>2.9922399999999998</v>
      </c>
      <c r="C4138">
        <f>LOG10(1.035019)</f>
        <v>1.4948322275465806E-2</v>
      </c>
      <c r="D4138">
        <f>LOG10(2.99224)</f>
        <v>0.47599642425108202</v>
      </c>
    </row>
    <row r="4139" spans="1:4">
      <c r="A4139">
        <v>1.008988</v>
      </c>
      <c r="B4139">
        <v>3.0649090000000001</v>
      </c>
      <c r="C4139">
        <f>LOG10(1.008988)</f>
        <v>3.8860011578487016E-3</v>
      </c>
      <c r="D4139">
        <f>LOG10(3.064909)</f>
        <v>0.48641758443859306</v>
      </c>
    </row>
    <row r="4140" spans="1:4">
      <c r="A4140">
        <v>1.0066679999999999</v>
      </c>
      <c r="B4140">
        <v>2.9293010000000002</v>
      </c>
      <c r="C4140">
        <f>LOG10(1.006668)</f>
        <v>2.886263461586549E-3</v>
      </c>
      <c r="D4140">
        <f>LOG10(2.929301)</f>
        <v>0.46676399985593386</v>
      </c>
    </row>
    <row r="4141" spans="1:4">
      <c r="A4141">
        <v>1.00586</v>
      </c>
      <c r="B4141">
        <v>2.9413800000000001</v>
      </c>
      <c r="C4141">
        <f>LOG10(1.00586)</f>
        <v>2.5375379181583643E-3</v>
      </c>
      <c r="D4141">
        <f>LOG10(2.94138)</f>
        <v>0.46855113509610058</v>
      </c>
    </row>
    <row r="4142" spans="1:4">
      <c r="A4142">
        <v>1.00739</v>
      </c>
      <c r="B4142">
        <v>2.974167</v>
      </c>
      <c r="C4142">
        <f>LOG10(1.00739)</f>
        <v>3.1976354571953036E-3</v>
      </c>
      <c r="D4142">
        <f>LOG10(2.974167)</f>
        <v>0.47336535058211321</v>
      </c>
    </row>
    <row r="4143" spans="1:4">
      <c r="A4143">
        <v>1.0128870000000001</v>
      </c>
      <c r="B4143">
        <v>2.9716849999999999</v>
      </c>
      <c r="C4143">
        <f>LOG10(1.012887)</f>
        <v>5.5609971728880206E-3</v>
      </c>
      <c r="D4143">
        <f>LOG10(2.971685)</f>
        <v>0.47300277211003106</v>
      </c>
    </row>
    <row r="4144" spans="1:4">
      <c r="A4144">
        <v>1.005323</v>
      </c>
      <c r="B4144">
        <v>3.0252970000000001</v>
      </c>
      <c r="C4144">
        <f>LOG10(1.005323)</f>
        <v>2.3056185529645879E-3</v>
      </c>
      <c r="D4144">
        <f>LOG10(3.025297)</f>
        <v>0.48076801671725666</v>
      </c>
    </row>
    <row r="4145" spans="1:4">
      <c r="A4145">
        <v>1.005924</v>
      </c>
      <c r="B4145">
        <v>3.1369440000000002</v>
      </c>
      <c r="C4145">
        <f>LOG10(1.005924)</f>
        <v>2.5651699570365069E-3</v>
      </c>
      <c r="D4145">
        <f>LOG10(3.136944)</f>
        <v>0.49650676584212911</v>
      </c>
    </row>
    <row r="4146" spans="1:4">
      <c r="A4146">
        <v>1.007134</v>
      </c>
      <c r="B4146">
        <v>3.009633</v>
      </c>
      <c r="C4146">
        <f>LOG10(1.007134)</f>
        <v>3.0872576329889789E-3</v>
      </c>
      <c r="D4146">
        <f>LOG10(3.009633)</f>
        <v>0.47851354018109443</v>
      </c>
    </row>
    <row r="4147" spans="1:4">
      <c r="A4147">
        <v>1.0108729999999999</v>
      </c>
      <c r="B4147">
        <v>2.9903080000000002</v>
      </c>
      <c r="C4147">
        <f>LOG10(1.010873)</f>
        <v>4.6965968731446104E-3</v>
      </c>
      <c r="D4147">
        <f>LOG10(2.990308)</f>
        <v>0.47571592270952973</v>
      </c>
    </row>
    <row r="4148" spans="1:4">
      <c r="A4148">
        <v>1.013328</v>
      </c>
      <c r="B4148">
        <v>2.8251249999999999</v>
      </c>
      <c r="C4148">
        <f>LOG10(1.013328)</f>
        <v>5.750043122645058E-3</v>
      </c>
      <c r="D4148">
        <f>LOG10(2.825125)</f>
        <v>0.45103766830032022</v>
      </c>
    </row>
    <row r="4149" spans="1:4">
      <c r="A4149">
        <v>1.0122819999999999</v>
      </c>
      <c r="B4149">
        <v>2.830222</v>
      </c>
      <c r="C4149">
        <f>LOG10(1.012282)</f>
        <v>5.3015144636741748E-3</v>
      </c>
      <c r="D4149">
        <f>LOG10(2.830222)</f>
        <v>0.45182050251849365</v>
      </c>
    </row>
    <row r="4150" spans="1:4">
      <c r="A4150">
        <v>1.005322</v>
      </c>
      <c r="B4150">
        <v>3.2165789999999999</v>
      </c>
      <c r="C4150">
        <f>LOG10(1.005322)</f>
        <v>2.3051865577771056E-3</v>
      </c>
      <c r="D4150">
        <f>LOG10(3.216579)</f>
        <v>0.5073942222505311</v>
      </c>
    </row>
    <row r="4151" spans="1:4">
      <c r="A4151">
        <v>1.0099089999999999</v>
      </c>
      <c r="B4151">
        <v>3.0929600000000002</v>
      </c>
      <c r="C4151">
        <f>LOG10(1.009909)</f>
        <v>4.2822425169469838E-3</v>
      </c>
      <c r="D4151">
        <f>LOG10(3.09296)</f>
        <v>0.49037430348471578</v>
      </c>
    </row>
    <row r="4152" spans="1:4">
      <c r="A4152">
        <v>1.0066999999999999</v>
      </c>
      <c r="B4152">
        <v>3.1772589999999998</v>
      </c>
      <c r="C4152">
        <f>LOG10(1.0067)</f>
        <v>2.9000686113873687E-3</v>
      </c>
      <c r="D4152">
        <f>LOG10(3.177259)</f>
        <v>0.5020526185684413</v>
      </c>
    </row>
    <row r="4153" spans="1:4">
      <c r="A4153">
        <v>1.0215289999999999</v>
      </c>
      <c r="B4153">
        <v>3.2076950000000002</v>
      </c>
      <c r="C4153">
        <f>LOG10(1.021529)</f>
        <v>9.2507002501124262E-3</v>
      </c>
      <c r="D4153">
        <f>LOG10(3.207695)</f>
        <v>0.50619306718252</v>
      </c>
    </row>
    <row r="4154" spans="1:4">
      <c r="A4154">
        <v>1.0220020000000001</v>
      </c>
      <c r="B4154">
        <v>3.1304660000000002</v>
      </c>
      <c r="C4154">
        <f>LOG10(1.022002)</f>
        <v>9.4517456892163829E-3</v>
      </c>
      <c r="D4154">
        <f>LOG10(3.130466)</f>
        <v>0.49560899127316493</v>
      </c>
    </row>
    <row r="4155" spans="1:4">
      <c r="A4155">
        <v>1.013503</v>
      </c>
      <c r="B4155">
        <v>3.2597429999999998</v>
      </c>
      <c r="C4155">
        <f>LOG10(1.013503)</f>
        <v>5.8250385559317462E-3</v>
      </c>
      <c r="D4155">
        <f>LOG10(3.259743)</f>
        <v>0.51318336139260867</v>
      </c>
    </row>
    <row r="4156" spans="1:4">
      <c r="A4156">
        <v>1.0179469999999999</v>
      </c>
      <c r="B4156">
        <v>3.2292459999999998</v>
      </c>
      <c r="C4156">
        <f>LOG10(1.017947)</f>
        <v>7.7251667956878458E-3</v>
      </c>
      <c r="D4156">
        <f>LOG10(3.229246)</f>
        <v>0.50910113029839743</v>
      </c>
    </row>
    <row r="4157" spans="1:4">
      <c r="A4157">
        <v>1.166568</v>
      </c>
      <c r="B4157">
        <v>3.3071640000000002</v>
      </c>
      <c r="C4157">
        <f>LOG10(1.166568)</f>
        <v>6.691005917266242E-2</v>
      </c>
      <c r="D4157">
        <f>LOG10(3.307164)</f>
        <v>0.51945573181392091</v>
      </c>
    </row>
    <row r="4158" spans="1:4">
      <c r="A4158">
        <v>1.188032</v>
      </c>
      <c r="B4158">
        <v>3.1825830000000002</v>
      </c>
      <c r="C4158">
        <f>LOG10(1.188032)</f>
        <v>7.4828138655489193E-2</v>
      </c>
      <c r="D4158">
        <f>LOG10(3.182583)</f>
        <v>0.50277973863267122</v>
      </c>
    </row>
    <row r="4159" spans="1:4">
      <c r="A4159">
        <v>1.1722980000000001</v>
      </c>
      <c r="B4159">
        <v>3.160863</v>
      </c>
      <c r="C4159">
        <f>LOG10(1.172298)</f>
        <v>6.903802405823245E-2</v>
      </c>
      <c r="D4159">
        <f>LOG10(3.160863)</f>
        <v>0.49980567279832427</v>
      </c>
    </row>
    <row r="4160" spans="1:4">
      <c r="A4160">
        <v>1.1817040000000001</v>
      </c>
      <c r="B4160">
        <v>2.9924110000000002</v>
      </c>
      <c r="C4160">
        <f>LOG10(1.181704)</f>
        <v>7.2508705593107778E-2</v>
      </c>
      <c r="D4160">
        <f>LOG10(2.992411)</f>
        <v>0.47602124252584049</v>
      </c>
    </row>
    <row r="4161" spans="1:4">
      <c r="A4161">
        <v>1.1896659999999999</v>
      </c>
      <c r="B4161">
        <v>3.2019030000000002</v>
      </c>
      <c r="C4161">
        <f>LOG10(1.189666)</f>
        <v>7.5425049865528018E-2</v>
      </c>
      <c r="D4161">
        <f>LOG10(3.201903)</f>
        <v>0.50540817105522362</v>
      </c>
    </row>
    <row r="4162" spans="1:4">
      <c r="A4162">
        <v>1.19011</v>
      </c>
      <c r="B4162">
        <v>2.8719990000000002</v>
      </c>
      <c r="C4162">
        <f>LOG10(1.19011)</f>
        <v>7.5587104405285099E-2</v>
      </c>
      <c r="D4162">
        <f>LOG10(2.871999)</f>
        <v>0.45818428435349484</v>
      </c>
    </row>
    <row r="4163" spans="1:4">
      <c r="A4163">
        <v>1.165538</v>
      </c>
      <c r="B4163">
        <v>3.005916</v>
      </c>
      <c r="C4163">
        <f>LOG10(1.165538)</f>
        <v>6.6526437377215739E-2</v>
      </c>
      <c r="D4163">
        <f>LOG10(3.005916)</f>
        <v>0.47797684010777547</v>
      </c>
    </row>
    <row r="4164" spans="1:4">
      <c r="A4164">
        <v>1.178215</v>
      </c>
      <c r="B4164">
        <v>3.004232</v>
      </c>
      <c r="C4164">
        <f>LOG10(1.178215)</f>
        <v>7.1224547491606172E-2</v>
      </c>
      <c r="D4164">
        <f>LOG10(3.004232)</f>
        <v>0.47773346775599179</v>
      </c>
    </row>
    <row r="4165" spans="1:4">
      <c r="A4165">
        <v>1.182078</v>
      </c>
      <c r="B4165">
        <v>3.1729750000000001</v>
      </c>
      <c r="C4165">
        <f>LOG10(1.182078)</f>
        <v>7.2646134626400322E-2</v>
      </c>
      <c r="D4165">
        <f>LOG10(3.172975)</f>
        <v>0.50146665028987958</v>
      </c>
    </row>
    <row r="4166" spans="1:4">
      <c r="A4166">
        <v>1.1473279999999999</v>
      </c>
      <c r="B4166">
        <v>3.2771020000000002</v>
      </c>
      <c r="C4166">
        <f>LOG10(1.147328)</f>
        <v>5.9687592466573659E-2</v>
      </c>
      <c r="D4166">
        <f>LOG10(3.277102)</f>
        <v>0.51548995903503292</v>
      </c>
    </row>
    <row r="4167" spans="1:4">
      <c r="A4167">
        <v>1.1603950000000001</v>
      </c>
      <c r="B4167">
        <v>3.4342429999999999</v>
      </c>
      <c r="C4167">
        <f>LOG10(1.160395)</f>
        <v>6.4605848812901767E-2</v>
      </c>
      <c r="D4167">
        <f>LOG10(3.434243)</f>
        <v>0.53583102170007102</v>
      </c>
    </row>
    <row r="4168" spans="1:4">
      <c r="A4168">
        <v>1.1387100000000001</v>
      </c>
      <c r="B4168">
        <v>3.377437</v>
      </c>
      <c r="C4168">
        <f>LOG10(1.13871)</f>
        <v>5.6413134583130777E-2</v>
      </c>
      <c r="D4168">
        <f>LOG10(3.377437)</f>
        <v>0.52858725678880125</v>
      </c>
    </row>
    <row r="4169" spans="1:4">
      <c r="A4169">
        <v>1.146614</v>
      </c>
      <c r="B4169">
        <v>3.1417269999999999</v>
      </c>
      <c r="C4169">
        <f>LOG10(1.146614)</f>
        <v>5.9417240147210289E-2</v>
      </c>
      <c r="D4169">
        <f>LOG10(3.141727)</f>
        <v>0.49716844437529661</v>
      </c>
    </row>
    <row r="4170" spans="1:4">
      <c r="A4170">
        <v>1.1306719999999999</v>
      </c>
      <c r="B4170">
        <v>3.1820810000000002</v>
      </c>
      <c r="C4170">
        <f>LOG10(1.130672)</f>
        <v>5.3336637419059155E-2</v>
      </c>
      <c r="D4170">
        <f>LOG10(3.182081)</f>
        <v>0.50271123043479393</v>
      </c>
    </row>
    <row r="4171" spans="1:4">
      <c r="A4171">
        <v>1.1288180000000001</v>
      </c>
      <c r="B4171">
        <v>3.6339049999999999</v>
      </c>
      <c r="C4171">
        <f>LOG10(1.128818)</f>
        <v>5.2623926010596067E-2</v>
      </c>
      <c r="D4171">
        <f>LOG10(3.633905)</f>
        <v>0.56037356950061401</v>
      </c>
    </row>
    <row r="4172" spans="1:4">
      <c r="A4172">
        <v>1.1567719999999999</v>
      </c>
      <c r="B4172">
        <v>3.4396939999999998</v>
      </c>
      <c r="C4172">
        <f>LOG10(1.156772)</f>
        <v>6.3247767854446552E-2</v>
      </c>
      <c r="D4172">
        <f>LOG10(3.439694)</f>
        <v>0.53651980884405615</v>
      </c>
    </row>
    <row r="4173" spans="1:4">
      <c r="A4173">
        <v>1.143675</v>
      </c>
      <c r="B4173">
        <v>3.1912430000000001</v>
      </c>
      <c r="C4173">
        <f>LOG10(1.143675)</f>
        <v>5.830262781406606E-2</v>
      </c>
      <c r="D4173">
        <f>LOG10(3.191243)</f>
        <v>0.50395987518725149</v>
      </c>
    </row>
    <row r="4174" spans="1:4">
      <c r="A4174">
        <v>1.1311020000000001</v>
      </c>
      <c r="B4174">
        <v>3.614328</v>
      </c>
      <c r="C4174">
        <f>LOG10(1.131102)</f>
        <v>5.3501770301007924E-2</v>
      </c>
      <c r="D4174">
        <f>LOG10(3.614328)</f>
        <v>0.55802756220561844</v>
      </c>
    </row>
    <row r="4175" spans="1:4">
      <c r="A4175">
        <v>1.145502</v>
      </c>
      <c r="B4175">
        <v>3.6509510000000001</v>
      </c>
      <c r="C4175">
        <f>LOG10(1.145502)</f>
        <v>5.8995851786617155E-2</v>
      </c>
      <c r="D4175">
        <f>LOG10(3.650951)</f>
        <v>0.56240600425281795</v>
      </c>
    </row>
    <row r="4176" spans="1:4">
      <c r="A4176">
        <v>1.105718</v>
      </c>
      <c r="B4176">
        <v>3.0296370000000001</v>
      </c>
      <c r="C4176">
        <f>LOG10(1.105718)</f>
        <v>4.364437953653811E-2</v>
      </c>
      <c r="D4176">
        <f>LOG10(3.029637)</f>
        <v>0.48139059604652612</v>
      </c>
    </row>
    <row r="4177" spans="1:4">
      <c r="A4177">
        <v>1.1280380000000001</v>
      </c>
      <c r="B4177">
        <v>3.4179349999999999</v>
      </c>
      <c r="C4177">
        <f>LOG10(1.128038)</f>
        <v>5.2323729888759073E-2</v>
      </c>
      <c r="D4177">
        <f>LOG10(3.417935)</f>
        <v>0.53376379934149287</v>
      </c>
    </row>
    <row r="4178" spans="1:4">
      <c r="A4178">
        <v>1.1593180000000001</v>
      </c>
      <c r="B4178">
        <v>3.3357420000000002</v>
      </c>
      <c r="C4178">
        <f>LOG10(1.159318)</f>
        <v>6.4202578933724705E-2</v>
      </c>
      <c r="D4178">
        <f>LOG10(3.335742)</f>
        <v>0.52319245314395502</v>
      </c>
    </row>
    <row r="4179" spans="1:4">
      <c r="A4179">
        <v>1.089518</v>
      </c>
      <c r="B4179">
        <v>3.222159</v>
      </c>
      <c r="C4179">
        <f>LOG10(1.089518)</f>
        <v>3.7234409649827271E-2</v>
      </c>
      <c r="D4179">
        <f>LOG10(3.222159)</f>
        <v>0.50814696721878627</v>
      </c>
    </row>
    <row r="4180" spans="1:4">
      <c r="A4180">
        <v>1.0875680000000001</v>
      </c>
      <c r="B4180">
        <v>3.1988289999999999</v>
      </c>
      <c r="C4180">
        <f>LOG10(1.087568)</f>
        <v>3.6456420662544238E-2</v>
      </c>
      <c r="D4180">
        <f>LOG10(3.198829)</f>
        <v>0.50499102459759648</v>
      </c>
    </row>
    <row r="4181" spans="1:4">
      <c r="A4181">
        <v>1.091256</v>
      </c>
      <c r="B4181">
        <v>3.2508659999999998</v>
      </c>
      <c r="C4181">
        <f>LOG10(1.091256)</f>
        <v>3.7926644580501587E-2</v>
      </c>
      <c r="D4181">
        <f>LOG10(3.250866)</f>
        <v>0.51199906833957154</v>
      </c>
    </row>
    <row r="4182" spans="1:4">
      <c r="A4182">
        <v>1.065264</v>
      </c>
      <c r="B4182">
        <v>3.073944</v>
      </c>
      <c r="C4182">
        <f>LOG10(1.065264)</f>
        <v>2.7457250530592812E-2</v>
      </c>
      <c r="D4182">
        <f>LOG10(3.073944)</f>
        <v>0.48769595141599825</v>
      </c>
    </row>
    <row r="4183" spans="1:4">
      <c r="A4183">
        <v>1.0846020000000001</v>
      </c>
      <c r="B4183">
        <v>3.1388400000000001</v>
      </c>
      <c r="C4183">
        <f>LOG10(1.084602)</f>
        <v>3.527040093676153E-2</v>
      </c>
      <c r="D4183">
        <f>LOG10(3.13884)</f>
        <v>0.49676917843081619</v>
      </c>
    </row>
    <row r="4184" spans="1:4">
      <c r="A4184">
        <v>1.094565</v>
      </c>
      <c r="B4184">
        <v>3.2271169999999998</v>
      </c>
      <c r="C4184">
        <f>LOG10(1.094565)</f>
        <v>3.9241556952943568E-2</v>
      </c>
      <c r="D4184">
        <f>LOG10(3.227117)</f>
        <v>0.50881471115328891</v>
      </c>
    </row>
    <row r="4185" spans="1:4">
      <c r="A4185">
        <v>1.082238</v>
      </c>
      <c r="B4185">
        <v>3.100571</v>
      </c>
      <c r="C4185">
        <f>LOG10(1.082238)</f>
        <v>3.432277899646631E-2</v>
      </c>
      <c r="D4185">
        <f>LOG10(3.100571)</f>
        <v>0.49144168070963229</v>
      </c>
    </row>
    <row r="4186" spans="1:4">
      <c r="A4186">
        <v>1.0786519999999999</v>
      </c>
      <c r="B4186">
        <v>3.2738999999999998</v>
      </c>
      <c r="C4186">
        <f>LOG10(1.078652)</f>
        <v>3.2881353063861023E-2</v>
      </c>
      <c r="D4186">
        <f>LOG10(3.2739)</f>
        <v>0.51506540992276095</v>
      </c>
    </row>
    <row r="4187" spans="1:4">
      <c r="A4187">
        <v>1.070878</v>
      </c>
      <c r="B4187">
        <v>3.4999509999999998</v>
      </c>
      <c r="C4187">
        <f>LOG10(1.070878)</f>
        <v>2.9739996560352311E-2</v>
      </c>
      <c r="D4187">
        <f>LOG10(3.499951)</f>
        <v>0.54406196418496766</v>
      </c>
    </row>
    <row r="4188" spans="1:4">
      <c r="A4188">
        <v>1.0689850000000001</v>
      </c>
      <c r="B4188">
        <v>3.44198</v>
      </c>
      <c r="C4188">
        <f>LOG10(1.068985)</f>
        <v>2.8971611230355698E-2</v>
      </c>
      <c r="D4188">
        <f>LOG10(3.44198)</f>
        <v>0.53680834248344356</v>
      </c>
    </row>
    <row r="4189" spans="1:4">
      <c r="A4189">
        <v>1.0908199999999999</v>
      </c>
      <c r="B4189">
        <v>3.4088310000000002</v>
      </c>
      <c r="C4189">
        <f>LOG10(1.09082)</f>
        <v>3.775309205838067E-2</v>
      </c>
      <c r="D4189">
        <f>LOG10(3.408831)</f>
        <v>0.53260547069595288</v>
      </c>
    </row>
    <row r="4190" spans="1:4">
      <c r="A4190">
        <v>1.113826</v>
      </c>
      <c r="B4190">
        <v>3.310514</v>
      </c>
      <c r="C4190">
        <f>LOG10(1.113826)</f>
        <v>4.6817351392434897E-2</v>
      </c>
      <c r="D4190">
        <f>LOG10(3.310514)</f>
        <v>0.51989542883110773</v>
      </c>
    </row>
    <row r="4191" spans="1:4">
      <c r="A4191">
        <v>1.1016079999999999</v>
      </c>
      <c r="B4191">
        <v>3.1747749999999999</v>
      </c>
      <c r="C4191">
        <f>LOG10(1.101608)</f>
        <v>4.2027081155221274E-2</v>
      </c>
      <c r="D4191">
        <f>LOG10(3.174775)</f>
        <v>0.50171295176311925</v>
      </c>
    </row>
    <row r="4192" spans="1:4">
      <c r="A4192">
        <v>1.0945739999999999</v>
      </c>
      <c r="B4192">
        <v>3.1492789999999999</v>
      </c>
      <c r="C4192">
        <f>LOG10(1.094574)</f>
        <v>3.9245127900550937E-2</v>
      </c>
      <c r="D4192">
        <f>LOG10(3.149279)</f>
        <v>0.49821113723008009</v>
      </c>
    </row>
    <row r="4193" spans="1:4">
      <c r="A4193">
        <v>1.0783320000000001</v>
      </c>
      <c r="B4193">
        <v>3.1206140000000002</v>
      </c>
      <c r="C4193">
        <f>LOG10(1.078332)</f>
        <v>3.275249329000219E-2</v>
      </c>
      <c r="D4193">
        <f>LOG10(3.120614)</f>
        <v>0.49424005253670689</v>
      </c>
    </row>
    <row r="4194" spans="1:4">
      <c r="A4194">
        <v>1.0667150000000001</v>
      </c>
      <c r="B4194">
        <v>3.1910440000000002</v>
      </c>
      <c r="C4194">
        <f>LOG10(1.066715)</f>
        <v>2.8048402123116645E-2</v>
      </c>
      <c r="D4194">
        <f>LOG10(3.191044)</f>
        <v>0.50393279254370171</v>
      </c>
    </row>
    <row r="4195" spans="1:4">
      <c r="A4195">
        <v>1.087321</v>
      </c>
      <c r="B4195">
        <v>3.0051290000000002</v>
      </c>
      <c r="C4195">
        <f>LOG10(1.087321)</f>
        <v>3.6357775869645531E-2</v>
      </c>
      <c r="D4195">
        <f>LOG10(3.005129)</f>
        <v>0.47786311952867128</v>
      </c>
    </row>
    <row r="4196" spans="1:4">
      <c r="A4196">
        <v>1.086681</v>
      </c>
      <c r="B4196">
        <v>3.2197269999999998</v>
      </c>
      <c r="C4196">
        <f>LOG10(1.086681)</f>
        <v>3.6102073734645218E-2</v>
      </c>
      <c r="D4196">
        <f>LOG10(3.219727)</f>
        <v>0.50781904951575074</v>
      </c>
    </row>
    <row r="4197" spans="1:4">
      <c r="A4197">
        <v>1.0992040000000001</v>
      </c>
      <c r="B4197">
        <v>3.0893549999999999</v>
      </c>
      <c r="C4197">
        <f>LOG10(1.099204)</f>
        <v>4.1078300114644466E-2</v>
      </c>
      <c r="D4197">
        <f>LOG10(3.089355)</f>
        <v>0.48986781625955444</v>
      </c>
    </row>
    <row r="4198" spans="1:4">
      <c r="A4198">
        <v>1.1221399999999999</v>
      </c>
      <c r="B4198">
        <v>2.9189280000000002</v>
      </c>
      <c r="C4198">
        <f>LOG10(1.12214)</f>
        <v>5.0047043581888565E-2</v>
      </c>
      <c r="D4198">
        <f>LOG10(2.918928)</f>
        <v>0.46522338255624113</v>
      </c>
    </row>
    <row r="4199" spans="1:4">
      <c r="A4199">
        <v>1.1139019999999999</v>
      </c>
      <c r="B4199">
        <v>2.9300980000000001</v>
      </c>
      <c r="C4199">
        <f>LOG10(1.113902)</f>
        <v>4.6846983717958875E-2</v>
      </c>
      <c r="D4199">
        <f>LOG10(2.930098)</f>
        <v>0.46688214600171141</v>
      </c>
    </row>
    <row r="4200" spans="1:4">
      <c r="A4200">
        <v>1.1142339999999999</v>
      </c>
      <c r="B4200">
        <v>3.0283060000000002</v>
      </c>
      <c r="C4200">
        <f>LOG10(1.114234)</f>
        <v>4.6976406490230362E-2</v>
      </c>
      <c r="D4200">
        <f>LOG10(3.028306)</f>
        <v>0.48119975702254897</v>
      </c>
    </row>
    <row r="4201" spans="1:4">
      <c r="A4201">
        <v>1.1018490000000001</v>
      </c>
      <c r="B4201">
        <v>3.0994839999999999</v>
      </c>
      <c r="C4201">
        <f>LOG10(1.101849)</f>
        <v>4.212208184782032E-2</v>
      </c>
      <c r="D4201">
        <f>LOG10(3.099484)</f>
        <v>0.49128939880030548</v>
      </c>
    </row>
    <row r="4202" spans="1:4">
      <c r="A4202">
        <v>1.0865860000000001</v>
      </c>
      <c r="B4202">
        <v>3.0858759999999998</v>
      </c>
      <c r="C4202">
        <f>LOG10(1.086586)</f>
        <v>3.6064105113387854E-2</v>
      </c>
      <c r="D4202">
        <f>LOG10(3.085876)</f>
        <v>0.48937847078814001</v>
      </c>
    </row>
    <row r="4203" spans="1:4">
      <c r="A4203">
        <v>1.0845359999999999</v>
      </c>
      <c r="B4203">
        <v>2.9336069999999999</v>
      </c>
      <c r="C4203">
        <f>LOG10(1.084536)</f>
        <v>3.5243972525277785E-2</v>
      </c>
      <c r="D4203">
        <f>LOG10(2.933607)</f>
        <v>0.46740193324166079</v>
      </c>
    </row>
    <row r="4204" spans="1:4">
      <c r="A4204">
        <v>1.077197</v>
      </c>
      <c r="B4204">
        <v>3.0035609999999999</v>
      </c>
      <c r="C4204">
        <f>LOG10(1.077197)</f>
        <v>3.2295135228462807E-2</v>
      </c>
      <c r="D4204">
        <f>LOG10(3.003561)</f>
        <v>0.4776364565578467</v>
      </c>
    </row>
    <row r="4205" spans="1:4">
      <c r="A4205">
        <v>1.0691980000000001</v>
      </c>
      <c r="B4205">
        <v>3.1823419999999998</v>
      </c>
      <c r="C4205">
        <f>LOG10(1.069198)</f>
        <v>2.9058137710971616E-2</v>
      </c>
      <c r="D4205">
        <f>LOG10(3.182342)</f>
        <v>0.50274685058758395</v>
      </c>
    </row>
    <row r="4206" spans="1:4">
      <c r="A4206">
        <v>1.1017570000000001</v>
      </c>
      <c r="B4206">
        <v>3.2057319999999998</v>
      </c>
      <c r="C4206">
        <f>LOG10(1.101757)</f>
        <v>4.2085818475549319E-2</v>
      </c>
      <c r="D4206">
        <f>LOG10(3.205732)</f>
        <v>0.50592721240796701</v>
      </c>
    </row>
    <row r="4207" spans="1:4">
      <c r="A4207">
        <v>1.0895840000000001</v>
      </c>
      <c r="B4207">
        <v>3.2654489999999998</v>
      </c>
      <c r="C4207">
        <f>LOG10(1.089584)</f>
        <v>3.7260717216718982E-2</v>
      </c>
      <c r="D4207">
        <f>LOG10(3.265449)</f>
        <v>0.51394290530959486</v>
      </c>
    </row>
    <row r="4208" spans="1:4">
      <c r="A4208">
        <v>1.078613</v>
      </c>
      <c r="B4208">
        <v>3.1440589999999999</v>
      </c>
      <c r="C4208">
        <f>LOG10(1.078613)</f>
        <v>3.2865650324701921E-2</v>
      </c>
      <c r="D4208">
        <f>LOG10(3.144059)</f>
        <v>0.4974906872191554</v>
      </c>
    </row>
    <row r="4209" spans="1:4">
      <c r="A4209">
        <v>1.0593919999999999</v>
      </c>
      <c r="B4209">
        <v>3.2716229999999999</v>
      </c>
      <c r="C4209">
        <f>LOG10(1.059392)</f>
        <v>2.5056689036643712E-2</v>
      </c>
      <c r="D4209">
        <f>LOG10(3.271623)</f>
        <v>0.51476325268484924</v>
      </c>
    </row>
    <row r="4210" spans="1:4">
      <c r="A4210">
        <v>1.0940300000000001</v>
      </c>
      <c r="B4210">
        <v>3.2748889999999999</v>
      </c>
      <c r="C4210">
        <f>LOG10(1.09403)</f>
        <v>3.9029231189203616E-2</v>
      </c>
      <c r="D4210">
        <f>LOG10(3.274889)</f>
        <v>0.51519658447911565</v>
      </c>
    </row>
    <row r="4211" spans="1:4">
      <c r="A4211">
        <v>1.0564100000000001</v>
      </c>
      <c r="B4211">
        <v>3.2529240000000001</v>
      </c>
      <c r="C4211">
        <f>LOG10(1.05641)</f>
        <v>2.3832503595340612E-2</v>
      </c>
      <c r="D4211">
        <f>LOG10(3.252924)</f>
        <v>0.51227391671985067</v>
      </c>
    </row>
    <row r="4212" spans="1:4">
      <c r="A4212">
        <v>1.036843</v>
      </c>
      <c r="B4212">
        <v>3.3442280000000002</v>
      </c>
      <c r="C4212">
        <f>LOG10(1.036843)</f>
        <v>1.571299998049018E-2</v>
      </c>
      <c r="D4212">
        <f>LOG10(3.344228)</f>
        <v>0.52429587874496175</v>
      </c>
    </row>
    <row r="4213" spans="1:4">
      <c r="A4213">
        <v>1.0484329999999999</v>
      </c>
      <c r="B4213">
        <v>3.281612</v>
      </c>
      <c r="C4213">
        <f>LOG10(1.048433)</f>
        <v>2.0540682145176268E-2</v>
      </c>
      <c r="D4213">
        <f>LOG10(3.281612)</f>
        <v>0.51608723112895161</v>
      </c>
    </row>
    <row r="4214" spans="1:4">
      <c r="A4214">
        <v>1.0400700000000001</v>
      </c>
      <c r="B4214">
        <v>3.40693</v>
      </c>
      <c r="C4214">
        <f>LOG10(1.04007)</f>
        <v>1.7062569674435719E-2</v>
      </c>
      <c r="D4214">
        <f>LOG10(3.40693)</f>
        <v>0.53236321049008406</v>
      </c>
    </row>
    <row r="4215" spans="1:4">
      <c r="A4215">
        <v>1.0583089999999999</v>
      </c>
      <c r="B4215">
        <v>3.3407209999999998</v>
      </c>
      <c r="C4215">
        <f>LOG10(1.058309)</f>
        <v>2.4612489440095815E-2</v>
      </c>
      <c r="D4215">
        <f>LOG10(3.340721)</f>
        <v>0.52384020708979728</v>
      </c>
    </row>
    <row r="4216" spans="1:4">
      <c r="A4216">
        <v>1.060789</v>
      </c>
      <c r="B4216">
        <v>3.3320799999999999</v>
      </c>
      <c r="C4216">
        <f>LOG10(1.060789)</f>
        <v>2.562900760663496E-2</v>
      </c>
      <c r="D4216">
        <f>LOG10(3.33208)</f>
        <v>0.52271541984803616</v>
      </c>
    </row>
    <row r="4217" spans="1:4">
      <c r="A4217">
        <v>1.059604</v>
      </c>
      <c r="B4217">
        <v>3.3645939999999999</v>
      </c>
      <c r="C4217">
        <f>LOG10(1.059604)</f>
        <v>2.5143589087866767E-2</v>
      </c>
      <c r="D4217">
        <f>LOG10(3.364594)</f>
        <v>0.52693266612387046</v>
      </c>
    </row>
    <row r="4218" spans="1:4">
      <c r="A4218">
        <v>1.0713820000000001</v>
      </c>
      <c r="B4218">
        <v>3.4175469999999999</v>
      </c>
      <c r="C4218">
        <f>LOG10(1.071382)</f>
        <v>2.9944345633683908E-2</v>
      </c>
      <c r="D4218">
        <f>LOG10(3.417547)</f>
        <v>0.53371449593928677</v>
      </c>
    </row>
    <row r="4219" spans="1:4">
      <c r="A4219">
        <v>1.0479480000000001</v>
      </c>
      <c r="B4219">
        <v>3.1632630000000002</v>
      </c>
      <c r="C4219">
        <f>LOG10(1.047948)</f>
        <v>2.0339733150236003E-2</v>
      </c>
      <c r="D4219">
        <f>LOG10(3.163263)</f>
        <v>0.50013530152697561</v>
      </c>
    </row>
    <row r="4220" spans="1:4">
      <c r="A4220">
        <v>1.052902</v>
      </c>
      <c r="B4220">
        <v>3.243207</v>
      </c>
      <c r="C4220">
        <f>LOG10(1.052902)</f>
        <v>2.2387950634808244E-2</v>
      </c>
      <c r="D4220">
        <f>LOG10(3.243207)</f>
        <v>0.51097466871267683</v>
      </c>
    </row>
    <row r="4221" spans="1:4">
      <c r="A4221">
        <v>1.0691539999999999</v>
      </c>
      <c r="B4221">
        <v>3.2157260000000001</v>
      </c>
      <c r="C4221">
        <f>LOG10(1.069154)</f>
        <v>2.9040265108886919E-2</v>
      </c>
      <c r="D4221">
        <f>LOG10(3.215726)</f>
        <v>0.50727903704235611</v>
      </c>
    </row>
    <row r="4222" spans="1:4">
      <c r="A4222">
        <v>1.0704940000000001</v>
      </c>
      <c r="B4222">
        <v>3.2088190000000001</v>
      </c>
      <c r="C4222">
        <f>LOG10(1.070494)</f>
        <v>2.958423746493271E-2</v>
      </c>
      <c r="D4222">
        <f>LOG10(3.208819)</f>
        <v>0.50634522051769615</v>
      </c>
    </row>
    <row r="4223" spans="1:4">
      <c r="A4223">
        <v>1.0892029999999999</v>
      </c>
      <c r="B4223">
        <v>3.2545649999999999</v>
      </c>
      <c r="C4223">
        <f>LOG10(1.089203)</f>
        <v>3.7108828850126188E-2</v>
      </c>
      <c r="D4223">
        <f>LOG10(3.254565)</f>
        <v>0.51249294967093506</v>
      </c>
    </row>
    <row r="4224" spans="1:4">
      <c r="A4224">
        <v>1.0622959999999999</v>
      </c>
      <c r="B4224">
        <v>3.182337</v>
      </c>
      <c r="C4224">
        <f>LOG10(1.062296)</f>
        <v>2.6245546175883018E-2</v>
      </c>
      <c r="D4224">
        <f>LOG10(3.182337)</f>
        <v>0.50274616823662499</v>
      </c>
    </row>
    <row r="4225" spans="1:4">
      <c r="A4225">
        <v>1.062862</v>
      </c>
      <c r="B4225">
        <v>3.2396769999999999</v>
      </c>
      <c r="C4225">
        <f>LOG10(1.062862)</f>
        <v>2.6476880206170957E-2</v>
      </c>
      <c r="D4225">
        <f>LOG10(3.239677)</f>
        <v>0.51050171264169619</v>
      </c>
    </row>
    <row r="4226" spans="1:4">
      <c r="A4226">
        <v>1.0548569999999999</v>
      </c>
      <c r="B4226">
        <v>3.2688890000000002</v>
      </c>
      <c r="C4226">
        <f>LOG10(1.054857)</f>
        <v>2.3193589187982408E-2</v>
      </c>
      <c r="D4226">
        <f>LOG10(3.268889)</f>
        <v>0.51440017371406521</v>
      </c>
    </row>
    <row r="4227" spans="1:4">
      <c r="A4227">
        <v>1.0530969999999999</v>
      </c>
      <c r="B4227">
        <v>3.1438269999999999</v>
      </c>
      <c r="C4227">
        <f>LOG10(1.053097)</f>
        <v>2.24683755772827E-2</v>
      </c>
      <c r="D4227">
        <f>LOG10(3.143827)</f>
        <v>0.49745863946261298</v>
      </c>
    </row>
    <row r="4228" spans="1:4">
      <c r="A4228">
        <v>1.049226</v>
      </c>
      <c r="B4228">
        <v>3.1709239999999999</v>
      </c>
      <c r="C4228">
        <f>LOG10(1.049226)</f>
        <v>2.0869043943309979E-2</v>
      </c>
      <c r="D4228">
        <f>LOG10(3.170924)</f>
        <v>0.50118583307843956</v>
      </c>
    </row>
    <row r="4229" spans="1:4">
      <c r="A4229">
        <v>1.074236</v>
      </c>
      <c r="B4229">
        <v>3.2094469999999999</v>
      </c>
      <c r="C4229">
        <f>LOG10(1.074236)</f>
        <v>3.1099702442171993E-2</v>
      </c>
      <c r="D4229">
        <f>LOG10(3.209447)</f>
        <v>0.50643020824974261</v>
      </c>
    </row>
    <row r="4230" spans="1:4">
      <c r="A4230">
        <v>1.0789759999999999</v>
      </c>
      <c r="B4230">
        <v>3.2184560000000002</v>
      </c>
      <c r="C4230">
        <f>LOG10(1.078976)</f>
        <v>3.3011784642607969E-2</v>
      </c>
      <c r="D4230">
        <f>LOG10(3.218456)</f>
        <v>0.50764757619985712</v>
      </c>
    </row>
    <row r="4231" spans="1:4">
      <c r="A4231">
        <v>1.0931390000000001</v>
      </c>
      <c r="B4231">
        <v>3.2740010000000002</v>
      </c>
      <c r="C4231">
        <f>LOG10(1.093139)</f>
        <v>3.8675388934872476E-2</v>
      </c>
      <c r="D4231">
        <f>LOG10(3.274001)</f>
        <v>0.51507880772540815</v>
      </c>
    </row>
    <row r="4232" spans="1:4">
      <c r="A4232">
        <v>1.0739080000000001</v>
      </c>
      <c r="B4232">
        <v>3.2708689999999998</v>
      </c>
      <c r="C4232">
        <f>LOG10(1.073908)</f>
        <v>3.0967077635668108E-2</v>
      </c>
      <c r="D4232">
        <f>LOG10(3.270869)</f>
        <v>0.51466315075402391</v>
      </c>
    </row>
    <row r="4233" spans="1:4">
      <c r="A4233">
        <v>1.0685690000000001</v>
      </c>
      <c r="B4233">
        <v>3.4913699999999999</v>
      </c>
      <c r="C4233">
        <f>LOG10(1.068569)</f>
        <v>2.8802570816169524E-2</v>
      </c>
      <c r="D4233">
        <f>LOG10(3.49137)</f>
        <v>0.54299587586758746</v>
      </c>
    </row>
    <row r="4234" spans="1:4">
      <c r="A4234">
        <v>1.0682510000000001</v>
      </c>
      <c r="B4234">
        <v>3.2673700000000001</v>
      </c>
      <c r="C4234">
        <f>LOG10(1.068251)</f>
        <v>2.8673308036651548E-2</v>
      </c>
      <c r="D4234">
        <f>LOG10(3.26737)</f>
        <v>0.51419831716894138</v>
      </c>
    </row>
    <row r="4235" spans="1:4">
      <c r="A4235">
        <v>1.069939</v>
      </c>
      <c r="B4235">
        <v>3.3082229999999999</v>
      </c>
      <c r="C4235">
        <f>LOG10(1.069939)</f>
        <v>2.9359018135144629E-2</v>
      </c>
      <c r="D4235">
        <f>LOG10(3.308223)</f>
        <v>0.51959477669829846</v>
      </c>
    </row>
    <row r="4236" spans="1:4">
      <c r="A4236">
        <v>1.0689299999999999</v>
      </c>
      <c r="B4236">
        <v>3.2927740000000001</v>
      </c>
      <c r="C4236">
        <f>LOG10(1.06893)</f>
        <v>2.8949265911191922E-2</v>
      </c>
      <c r="D4236">
        <f>LOG10(3.292774)</f>
        <v>0.51756192387281841</v>
      </c>
    </row>
    <row r="4237" spans="1:4">
      <c r="A4237">
        <v>1.0600700000000001</v>
      </c>
      <c r="B4237">
        <v>3.4188399999999999</v>
      </c>
      <c r="C4237">
        <f>LOG10(1.06007)</f>
        <v>2.5334544142113256E-2</v>
      </c>
      <c r="D4237">
        <f>LOG10(3.41884)</f>
        <v>0.53387877650789606</v>
      </c>
    </row>
    <row r="4238" spans="1:4">
      <c r="A4238">
        <v>1.058689</v>
      </c>
      <c r="B4238">
        <v>3.467273</v>
      </c>
      <c r="C4238">
        <f>LOG10(1.058689)</f>
        <v>2.4768400692629547E-2</v>
      </c>
      <c r="D4238">
        <f>LOG10(3.467273)</f>
        <v>0.5399880377123123</v>
      </c>
    </row>
    <row r="4239" spans="1:4">
      <c r="A4239">
        <v>1.0622130000000001</v>
      </c>
      <c r="B4239">
        <v>3.3621590000000001</v>
      </c>
      <c r="C4239">
        <f>LOG10(1.062213)</f>
        <v>2.6211612272081023E-2</v>
      </c>
      <c r="D4239">
        <f>LOG10(3.362159)</f>
        <v>0.52661824782736855</v>
      </c>
    </row>
    <row r="4240" spans="1:4">
      <c r="A4240">
        <v>1.057355</v>
      </c>
      <c r="B4240">
        <v>3.3725290000000001</v>
      </c>
      <c r="C4240">
        <f>LOG10(1.057355)</f>
        <v>2.4220823311810035E-2</v>
      </c>
      <c r="D4240">
        <f>LOG10(3.372529)</f>
        <v>0.52795569280971666</v>
      </c>
    </row>
    <row r="4241" spans="1:4">
      <c r="A4241">
        <v>1.0643450000000001</v>
      </c>
      <c r="B4241">
        <v>3.3128899999999999</v>
      </c>
      <c r="C4241">
        <f>LOG10(1.064345)</f>
        <v>2.7082424303201937E-2</v>
      </c>
      <c r="D4241">
        <f>LOG10(3.31289)</f>
        <v>0.52020701596463148</v>
      </c>
    </row>
    <row r="4242" spans="1:4">
      <c r="A4242">
        <v>1.041617</v>
      </c>
      <c r="B4242">
        <v>3.2942740000000001</v>
      </c>
      <c r="C4242">
        <f>LOG10(1.041617)</f>
        <v>1.7708059305860037E-2</v>
      </c>
      <c r="D4242">
        <f>LOG10(3.294274)</f>
        <v>0.51775971861611314</v>
      </c>
    </row>
    <row r="4243" spans="1:4">
      <c r="A4243">
        <v>1.077275</v>
      </c>
      <c r="B4243">
        <v>3.404242</v>
      </c>
      <c r="C4243">
        <f>LOG10(1.077275)</f>
        <v>3.2326581420015314E-2</v>
      </c>
      <c r="D4243">
        <f>LOG10(3.404242)</f>
        <v>0.53202042553972284</v>
      </c>
    </row>
    <row r="4244" spans="1:4">
      <c r="A4244">
        <v>1.086916</v>
      </c>
      <c r="B4244">
        <v>3.3729629999999999</v>
      </c>
      <c r="C4244">
        <f>LOG10(1.086916)</f>
        <v>3.6195981854360987E-2</v>
      </c>
      <c r="D4244">
        <f>LOG10(3.372963)</f>
        <v>0.52801157718565428</v>
      </c>
    </row>
    <row r="4245" spans="1:4">
      <c r="A4245">
        <v>1.075993</v>
      </c>
      <c r="B4245">
        <v>3.3405019999999999</v>
      </c>
      <c r="C4245">
        <f>LOG10(1.075993)</f>
        <v>3.1809445985331287E-2</v>
      </c>
      <c r="D4245">
        <f>LOG10(3.340502)</f>
        <v>0.52381173610729281</v>
      </c>
    </row>
    <row r="4246" spans="1:4">
      <c r="A4246">
        <v>1.0280180000000001</v>
      </c>
      <c r="B4246">
        <v>3.3448889999999998</v>
      </c>
      <c r="C4246">
        <f>LOG10(1.028018)</f>
        <v>1.2000718970770251E-2</v>
      </c>
      <c r="D4246">
        <f>LOG10(3.344889)</f>
        <v>0.52438171029895375</v>
      </c>
    </row>
    <row r="4247" spans="1:4">
      <c r="A4247">
        <v>1.0555319999999999</v>
      </c>
      <c r="B4247">
        <v>3.3399559999999999</v>
      </c>
      <c r="C4247">
        <f>LOG10(1.055532)</f>
        <v>2.3471404117155391E-2</v>
      </c>
      <c r="D4247">
        <f>LOG10(3.339956)</f>
        <v>0.52374074552920746</v>
      </c>
    </row>
    <row r="4248" spans="1:4">
      <c r="A4248">
        <v>1.048109</v>
      </c>
      <c r="B4248">
        <v>3.3888509999999998</v>
      </c>
      <c r="C4248">
        <f>LOG10(1.048109)</f>
        <v>2.0406450240204328E-2</v>
      </c>
      <c r="D4248">
        <f>LOG10(3.388851)</f>
        <v>0.53005247432561808</v>
      </c>
    </row>
    <row r="4249" spans="1:4">
      <c r="A4249">
        <v>1.109351</v>
      </c>
      <c r="B4249">
        <v>3.1390440000000002</v>
      </c>
      <c r="C4249">
        <f>LOG10(1.109351)</f>
        <v>4.5068979192371114E-2</v>
      </c>
      <c r="D4249">
        <f>LOG10(3.139044)</f>
        <v>0.49679740325126193</v>
      </c>
    </row>
    <row r="4250" spans="1:4">
      <c r="A4250">
        <v>1.088797</v>
      </c>
      <c r="B4250">
        <v>3.2167140000000001</v>
      </c>
      <c r="C4250">
        <f>LOG10(1.088797)</f>
        <v>3.6946915570332792E-2</v>
      </c>
      <c r="D4250">
        <f>LOG10(3.216714)</f>
        <v>0.50741244923166362</v>
      </c>
    </row>
    <row r="4251" spans="1:4">
      <c r="A4251">
        <v>1.0978889999999999</v>
      </c>
      <c r="B4251">
        <v>3.1688839999999998</v>
      </c>
      <c r="C4251">
        <f>LOG10(1.097889)</f>
        <v>4.0558433807759475E-2</v>
      </c>
      <c r="D4251">
        <f>LOG10(3.168884)</f>
        <v>0.5009063417204489</v>
      </c>
    </row>
    <row r="4252" spans="1:4">
      <c r="A4252">
        <v>1.100147</v>
      </c>
      <c r="B4252">
        <v>3.0268069999999998</v>
      </c>
      <c r="C4252">
        <f>LOG10(1.100147)</f>
        <v>4.1450718815916797E-2</v>
      </c>
      <c r="D4252">
        <f>LOG10(3.026807)</f>
        <v>0.48098472967568612</v>
      </c>
    </row>
    <row r="4253" spans="1:4">
      <c r="A4253">
        <v>1.092767</v>
      </c>
      <c r="B4253">
        <v>3.1642239999999999</v>
      </c>
      <c r="C4253">
        <f>LOG10(1.092767)</f>
        <v>3.8527571463464576E-2</v>
      </c>
      <c r="D4253">
        <f>LOG10(3.164224)</f>
        <v>0.50026722024931136</v>
      </c>
    </row>
    <row r="4254" spans="1:4">
      <c r="A4254">
        <v>1.104849</v>
      </c>
      <c r="B4254">
        <v>2.9717359999999999</v>
      </c>
      <c r="C4254">
        <f>LOG10(1.104849)</f>
        <v>4.3302926937078538E-2</v>
      </c>
      <c r="D4254">
        <f>LOG10(2.971736)</f>
        <v>0.47301022539950105</v>
      </c>
    </row>
    <row r="4255" spans="1:4">
      <c r="A4255">
        <v>1.1232070000000001</v>
      </c>
      <c r="B4255">
        <v>2.8708300000000002</v>
      </c>
      <c r="C4255">
        <f>LOG10(1.123207)</f>
        <v>5.0459801384644114E-2</v>
      </c>
      <c r="D4255">
        <f>LOG10(2.87083)</f>
        <v>0.45800747593508045</v>
      </c>
    </row>
    <row r="4256" spans="1:4">
      <c r="A4256">
        <v>1.142736</v>
      </c>
      <c r="B4256">
        <v>3.061337</v>
      </c>
      <c r="C4256">
        <f>LOG10(1.142736)</f>
        <v>5.7945909322566172E-2</v>
      </c>
      <c r="D4256">
        <f>LOG10(3.061337)</f>
        <v>0.48591114050370887</v>
      </c>
    </row>
    <row r="4257" spans="1:4">
      <c r="A4257">
        <v>1.191265</v>
      </c>
      <c r="B4257">
        <v>2.7786770000000001</v>
      </c>
      <c r="C4257">
        <f>LOG10(1.191265)</f>
        <v>7.6008382167864236E-2</v>
      </c>
      <c r="D4257">
        <f>LOG10(2.778677)</f>
        <v>0.44383806629143768</v>
      </c>
    </row>
    <row r="4258" spans="1:4">
      <c r="A4258">
        <v>1.13622</v>
      </c>
      <c r="B4258">
        <v>2.8398089999999998</v>
      </c>
      <c r="C4258">
        <f>LOG10(1.13622)</f>
        <v>5.5462429557673644E-2</v>
      </c>
      <c r="D4258">
        <f>LOG10(2.839809)</f>
        <v>0.45328913123171488</v>
      </c>
    </row>
    <row r="4259" spans="1:4">
      <c r="A4259">
        <v>1.126395</v>
      </c>
      <c r="B4259">
        <v>2.8756330000000001</v>
      </c>
      <c r="C4259">
        <f>LOG10(1.126395)</f>
        <v>5.1690713995099308E-2</v>
      </c>
      <c r="D4259">
        <f>LOG10(2.875633)</f>
        <v>0.45873345881613847</v>
      </c>
    </row>
    <row r="4260" spans="1:4">
      <c r="A4260">
        <v>1.110535</v>
      </c>
      <c r="B4260">
        <v>2.9961540000000002</v>
      </c>
      <c r="C4260">
        <f>LOG10(1.110535)</f>
        <v>4.5532250473268171E-2</v>
      </c>
      <c r="D4260">
        <f>LOG10(2.996154)</f>
        <v>0.47656413200184772</v>
      </c>
    </row>
    <row r="4261" spans="1:4">
      <c r="A4261">
        <v>1.1153280000000001</v>
      </c>
      <c r="B4261">
        <v>2.9471530000000001</v>
      </c>
      <c r="C4261">
        <f>LOG10(1.115328)</f>
        <v>4.740260517977838E-2</v>
      </c>
      <c r="D4261">
        <f>LOG10(2.947153)</f>
        <v>0.46940268261983292</v>
      </c>
    </row>
    <row r="4262" spans="1:4">
      <c r="A4262">
        <v>1.1086320000000001</v>
      </c>
      <c r="B4262">
        <v>2.8833359999999999</v>
      </c>
      <c r="C4262">
        <f>LOG10(1.108632)</f>
        <v>4.478741008798548E-2</v>
      </c>
      <c r="D4262">
        <f>LOG10(2.883336)</f>
        <v>0.45989525440460249</v>
      </c>
    </row>
    <row r="4263" spans="1:4">
      <c r="A4263">
        <v>1.124252</v>
      </c>
      <c r="B4263">
        <v>2.7837839999999998</v>
      </c>
      <c r="C4263">
        <f>LOG10(1.124252)</f>
        <v>5.0863668833434017E-2</v>
      </c>
      <c r="D4263">
        <f>LOG10(2.783784)</f>
        <v>0.44463553436978609</v>
      </c>
    </row>
    <row r="4264" spans="1:4">
      <c r="A4264">
        <v>1.103035</v>
      </c>
      <c r="B4264">
        <v>2.9454690000000001</v>
      </c>
      <c r="C4264">
        <f>LOG10(1.103035)</f>
        <v>4.2589293098129283E-2</v>
      </c>
      <c r="D4264">
        <f>LOG10(2.945469)</f>
        <v>0.46915445630311514</v>
      </c>
    </row>
    <row r="4265" spans="1:4">
      <c r="A4265">
        <v>1.1365730000000001</v>
      </c>
      <c r="B4265">
        <v>2.969681</v>
      </c>
      <c r="C4265">
        <f>LOG10(1.136573)</f>
        <v>5.5597334895154532E-2</v>
      </c>
      <c r="D4265">
        <f>LOG10(2.969681)</f>
        <v>0.47270980036759358</v>
      </c>
    </row>
    <row r="4266" spans="1:4">
      <c r="A4266">
        <v>1.0795699999999999</v>
      </c>
      <c r="B4266">
        <v>2.9724309999999998</v>
      </c>
      <c r="C4266">
        <f>LOG10(1.07957)</f>
        <v>3.3250807511485729E-2</v>
      </c>
      <c r="D4266">
        <f>LOG10(2.972431)</f>
        <v>0.47311178198978465</v>
      </c>
    </row>
    <row r="4267" spans="1:4">
      <c r="A4267">
        <v>1.0790420000000001</v>
      </c>
      <c r="B4267">
        <v>2.9916900000000002</v>
      </c>
      <c r="C4267">
        <f>LOG10(1.079042)</f>
        <v>3.3038349236429336E-2</v>
      </c>
      <c r="D4267">
        <f>LOG10(2.99169)</f>
        <v>0.47591658977249712</v>
      </c>
    </row>
    <row r="4268" spans="1:4">
      <c r="A4268">
        <v>1.089798</v>
      </c>
      <c r="B4268">
        <v>2.8575849999999998</v>
      </c>
      <c r="C4268">
        <f>LOG10(1.089798)</f>
        <v>3.7346006550508078E-2</v>
      </c>
      <c r="D4268">
        <f>LOG10(2.857585)</f>
        <v>0.45599915752118814</v>
      </c>
    </row>
    <row r="4269" spans="1:4">
      <c r="A4269">
        <v>1.0982989999999999</v>
      </c>
      <c r="B4269">
        <v>2.9214020000000001</v>
      </c>
      <c r="C4269">
        <f>LOG10(1.098299)</f>
        <v>4.0720588176737849E-2</v>
      </c>
      <c r="D4269">
        <f>LOG10(2.921402)</f>
        <v>0.46559132224885968</v>
      </c>
    </row>
    <row r="4270" spans="1:4">
      <c r="A4270">
        <v>1.1301920000000001</v>
      </c>
      <c r="B4270">
        <v>3.0775540000000001</v>
      </c>
      <c r="C4270">
        <f>LOG10(1.130192)</f>
        <v>5.3152228843890016E-2</v>
      </c>
      <c r="D4270">
        <f>LOG10(3.077554)</f>
        <v>0.48820568197582292</v>
      </c>
    </row>
    <row r="4271" spans="1:4">
      <c r="A4271">
        <v>1.1452469999999999</v>
      </c>
      <c r="B4271">
        <v>2.8783080000000001</v>
      </c>
      <c r="C4271">
        <f>LOG10(1.145247)</f>
        <v>5.8899162805552172E-2</v>
      </c>
      <c r="D4271">
        <f>LOG10(2.878308)</f>
        <v>0.45913726477201705</v>
      </c>
    </row>
    <row r="4272" spans="1:4">
      <c r="A4272">
        <v>1.125345</v>
      </c>
      <c r="B4272">
        <v>3.0106120000000001</v>
      </c>
      <c r="C4272">
        <f>LOG10(1.125345)</f>
        <v>5.1285685671180761E-2</v>
      </c>
      <c r="D4272">
        <f>LOG10(3.010612)</f>
        <v>0.47865478835339681</v>
      </c>
    </row>
    <row r="4273" spans="1:4">
      <c r="A4273">
        <v>1.133518</v>
      </c>
      <c r="B4273">
        <v>3.0872440000000001</v>
      </c>
      <c r="C4273">
        <f>LOG10(1.133518)</f>
        <v>5.4428421011813201E-2</v>
      </c>
      <c r="D4273">
        <f>LOG10(3.087244)</f>
        <v>0.48957095525659977</v>
      </c>
    </row>
    <row r="4274" spans="1:4">
      <c r="A4274">
        <v>1.170917</v>
      </c>
      <c r="B4274">
        <v>3.033884</v>
      </c>
      <c r="C4274">
        <f>LOG10(1.170917)</f>
        <v>6.8526111366524645E-2</v>
      </c>
      <c r="D4274">
        <f>LOG10(3.033884)</f>
        <v>0.48199897159804578</v>
      </c>
    </row>
    <row r="4275" spans="1:4">
      <c r="A4275">
        <v>1.113496</v>
      </c>
      <c r="B4275">
        <v>3.144339</v>
      </c>
      <c r="C4275">
        <f>LOG10(1.113496)</f>
        <v>4.6688661261347686E-2</v>
      </c>
      <c r="D4275">
        <f>LOG10(3.144339)</f>
        <v>0.49752936239684398</v>
      </c>
    </row>
    <row r="4276" spans="1:4">
      <c r="A4276">
        <v>1.1174539999999999</v>
      </c>
      <c r="B4276">
        <v>3.066808</v>
      </c>
      <c r="C4276">
        <f>LOG10(1.117454)</f>
        <v>4.8229654437218085E-2</v>
      </c>
      <c r="D4276">
        <f>LOG10(3.066808)</f>
        <v>0.48668658747558974</v>
      </c>
    </row>
    <row r="4277" spans="1:4">
      <c r="A4277">
        <v>1.104557</v>
      </c>
      <c r="B4277">
        <v>2.9123359999999998</v>
      </c>
      <c r="C4277">
        <f>LOG10(1.104557)</f>
        <v>4.3188132291409907E-2</v>
      </c>
      <c r="D4277">
        <f>LOG10(2.912336)</f>
        <v>0.46424147865196641</v>
      </c>
    </row>
    <row r="4278" spans="1:4">
      <c r="A4278">
        <v>1.1056520000000001</v>
      </c>
      <c r="B4278">
        <v>3.0465279999999999</v>
      </c>
      <c r="C4278">
        <f>LOG10(1.105652)</f>
        <v>4.3618455845962509E-2</v>
      </c>
      <c r="D4278">
        <f>LOG10(3.046528)</f>
        <v>0.48380517398834355</v>
      </c>
    </row>
    <row r="4279" spans="1:4">
      <c r="A4279">
        <v>1.1237569999999999</v>
      </c>
      <c r="B4279">
        <v>2.9706359999999998</v>
      </c>
      <c r="C4279">
        <f>LOG10(1.123757)</f>
        <v>5.0672410015505272E-2</v>
      </c>
      <c r="D4279">
        <f>LOG10(2.970636)</f>
        <v>0.47284943979551997</v>
      </c>
    </row>
    <row r="4280" spans="1:4">
      <c r="A4280">
        <v>1.117917</v>
      </c>
      <c r="B4280">
        <v>2.995298</v>
      </c>
      <c r="C4280">
        <f>LOG10(1.117917)</f>
        <v>4.8409560455500246E-2</v>
      </c>
      <c r="D4280">
        <f>LOG10(2.995298)</f>
        <v>0.47644003651412997</v>
      </c>
    </row>
    <row r="4281" spans="1:4">
      <c r="A4281">
        <v>1.1437679999999999</v>
      </c>
      <c r="B4281">
        <v>3.1912210000000001</v>
      </c>
      <c r="C4281">
        <f>LOG10(1.143768)</f>
        <v>5.8337941819126916E-2</v>
      </c>
      <c r="D4281">
        <f>LOG10(3.191221)</f>
        <v>0.50395688120918847</v>
      </c>
    </row>
    <row r="4282" spans="1:4">
      <c r="A4282">
        <v>1.108303</v>
      </c>
      <c r="B4282">
        <v>3.455708</v>
      </c>
      <c r="C4282">
        <f>LOG10(1.108303)</f>
        <v>4.4658508802566547E-2</v>
      </c>
      <c r="D4282">
        <f>LOG10(3.455708)</f>
        <v>0.53853703839414691</v>
      </c>
    </row>
    <row r="4283" spans="1:4">
      <c r="A4283">
        <v>1.1191169999999999</v>
      </c>
      <c r="B4283">
        <v>3.4789300000000001</v>
      </c>
      <c r="C4283">
        <f>LOG10(1.119117)</f>
        <v>4.8875492961015475E-2</v>
      </c>
      <c r="D4283">
        <f>LOG10(3.47893)</f>
        <v>0.54144569034012169</v>
      </c>
    </row>
    <row r="4284" spans="1:4">
      <c r="A4284">
        <v>1.1168180000000001</v>
      </c>
      <c r="B4284">
        <v>3.3090920000000001</v>
      </c>
      <c r="C4284">
        <f>LOG10(1.116818)</f>
        <v>4.7982404954656596E-2</v>
      </c>
      <c r="D4284">
        <f>LOG10(3.309092)</f>
        <v>0.51970884166481235</v>
      </c>
    </row>
    <row r="4285" spans="1:4">
      <c r="A4285">
        <v>1.125777</v>
      </c>
      <c r="B4285">
        <v>3.2479239999999998</v>
      </c>
      <c r="C4285">
        <f>LOG10(1.125777)</f>
        <v>5.1452371633545595E-2</v>
      </c>
      <c r="D4285">
        <f>LOG10(3.247924)</f>
        <v>0.51160585838724448</v>
      </c>
    </row>
    <row r="4286" spans="1:4">
      <c r="A4286">
        <v>1.156595</v>
      </c>
      <c r="B4286">
        <v>3.3482460000000001</v>
      </c>
      <c r="C4286">
        <f>LOG10(1.156595)</f>
        <v>6.3181310501638444E-2</v>
      </c>
      <c r="D4286">
        <f>LOG10(3.348246)</f>
        <v>0.52481735867538781</v>
      </c>
    </row>
    <row r="4287" spans="1:4">
      <c r="A4287">
        <v>1.1415690000000001</v>
      </c>
      <c r="B4287">
        <v>3.4751859999999999</v>
      </c>
      <c r="C4287">
        <f>LOG10(1.141569)</f>
        <v>5.7502166736113101E-2</v>
      </c>
      <c r="D4287">
        <f>LOG10(3.475186)</f>
        <v>0.54097805399429444</v>
      </c>
    </row>
    <row r="4288" spans="1:4">
      <c r="A4288">
        <v>1.1277140000000001</v>
      </c>
      <c r="B4288">
        <v>3.3405860000000001</v>
      </c>
      <c r="C4288">
        <f>LOG10(1.127714)</f>
        <v>5.2198972013687436E-2</v>
      </c>
      <c r="D4288">
        <f>LOG10(3.340586)</f>
        <v>0.52382265670480077</v>
      </c>
    </row>
    <row r="4289" spans="1:4">
      <c r="A4289">
        <v>1.100209</v>
      </c>
      <c r="B4289">
        <v>3.239328</v>
      </c>
      <c r="C4289">
        <f>LOG10(1.100209)</f>
        <v>4.1475193271764056E-2</v>
      </c>
      <c r="D4289">
        <f>LOG10(3.239328)</f>
        <v>0.51045492497157374</v>
      </c>
    </row>
    <row r="4290" spans="1:4">
      <c r="A4290">
        <v>1.1259950000000001</v>
      </c>
      <c r="B4290">
        <v>3.4659369999999998</v>
      </c>
      <c r="C4290">
        <f>LOG10(1.125995)</f>
        <v>5.1536462027555928E-2</v>
      </c>
      <c r="D4290">
        <f>LOG10(3.465937)</f>
        <v>0.53982066432105358</v>
      </c>
    </row>
    <row r="4291" spans="1:4">
      <c r="A4291">
        <v>1.149054</v>
      </c>
      <c r="B4291">
        <v>3.4838909999999998</v>
      </c>
      <c r="C4291">
        <f>LOG10(1.149054)</f>
        <v>6.0340438915396553E-2</v>
      </c>
      <c r="D4291">
        <f>LOG10(3.483891)</f>
        <v>0.54206455883876858</v>
      </c>
    </row>
    <row r="4292" spans="1:4">
      <c r="A4292">
        <v>1.133578</v>
      </c>
      <c r="B4292">
        <v>3.6627589999999999</v>
      </c>
      <c r="C4292">
        <f>LOG10(1.133578)</f>
        <v>5.4451408718483106E-2</v>
      </c>
      <c r="D4292">
        <f>LOG10(3.662759)</f>
        <v>0.56380834415911096</v>
      </c>
    </row>
    <row r="4293" spans="1:4">
      <c r="A4293">
        <v>1.1291880000000001</v>
      </c>
      <c r="B4293">
        <v>3.5134910000000001</v>
      </c>
      <c r="C4293">
        <f>LOG10(1.129188)</f>
        <v>5.2766254206129994E-2</v>
      </c>
      <c r="D4293">
        <f>LOG10(3.513491)</f>
        <v>0.54573884540551509</v>
      </c>
    </row>
    <row r="4294" spans="1:4">
      <c r="A4294">
        <v>1.123432</v>
      </c>
      <c r="B4294">
        <v>3.4429940000000001</v>
      </c>
      <c r="C4294">
        <f>LOG10(1.123432)</f>
        <v>5.054679022330924E-2</v>
      </c>
      <c r="D4294">
        <f>LOG10(3.442994)</f>
        <v>0.53693626587366516</v>
      </c>
    </row>
    <row r="4295" spans="1:4">
      <c r="A4295">
        <v>1.119391</v>
      </c>
      <c r="B4295">
        <v>3.60067</v>
      </c>
      <c r="C4295">
        <f>LOG10(1.119391)</f>
        <v>4.8981810819728355E-2</v>
      </c>
      <c r="D4295">
        <f>LOG10(3.60067)</f>
        <v>0.55638332027539272</v>
      </c>
    </row>
    <row r="4296" spans="1:4">
      <c r="A4296">
        <v>1.0819380000000001</v>
      </c>
      <c r="B4296">
        <v>3.4770349999999999</v>
      </c>
      <c r="C4296">
        <f>LOG10(1.081938)</f>
        <v>3.4202374421787092E-2</v>
      </c>
      <c r="D4296">
        <f>LOG10(3.477035)</f>
        <v>0.54120906233421118</v>
      </c>
    </row>
    <row r="4297" spans="1:4">
      <c r="A4297">
        <v>1.101899</v>
      </c>
      <c r="B4297">
        <v>3.6215649999999999</v>
      </c>
      <c r="C4297">
        <f>LOG10(1.101899)</f>
        <v>4.2141788932386105E-2</v>
      </c>
      <c r="D4297">
        <f>LOG10(3.621565)</f>
        <v>0.55889628434220007</v>
      </c>
    </row>
    <row r="4298" spans="1:4">
      <c r="A4298">
        <v>1.1223799999999999</v>
      </c>
      <c r="B4298">
        <v>3.5163129999999998</v>
      </c>
      <c r="C4298">
        <f>LOG10(1.12238)</f>
        <v>5.0139919275626228E-2</v>
      </c>
      <c r="D4298">
        <f>LOG10(3.516313)</f>
        <v>0.54608752627734714</v>
      </c>
    </row>
    <row r="4299" spans="1:4">
      <c r="A4299">
        <v>1.14141</v>
      </c>
      <c r="B4299">
        <v>3.6642510000000001</v>
      </c>
      <c r="C4299">
        <f>LOG10(1.14141)</f>
        <v>5.7441673124271488E-2</v>
      </c>
      <c r="D4299">
        <f>LOG10(3.664251)</f>
        <v>0.56398521504531307</v>
      </c>
    </row>
    <row r="4300" spans="1:4">
      <c r="A4300">
        <v>1.1481920000000001</v>
      </c>
      <c r="B4300">
        <v>3.4398049999999998</v>
      </c>
      <c r="C4300">
        <f>LOG10(1.148192)</f>
        <v>6.0014516605839376E-2</v>
      </c>
      <c r="D4300">
        <f>LOG10(3.439805)</f>
        <v>0.53653382343654188</v>
      </c>
    </row>
    <row r="4301" spans="1:4">
      <c r="A4301">
        <v>1.123963</v>
      </c>
      <c r="B4301">
        <v>3.6398190000000001</v>
      </c>
      <c r="C4301">
        <f>LOG10(1.123963)</f>
        <v>5.075201482706776E-2</v>
      </c>
      <c r="D4301">
        <f>LOG10(3.639819)</f>
        <v>0.56107978769969502</v>
      </c>
    </row>
    <row r="4302" spans="1:4">
      <c r="A4302">
        <v>1.020513</v>
      </c>
      <c r="B4302">
        <v>3.4966590000000002</v>
      </c>
      <c r="C4302">
        <f>LOG10(1.020513)</f>
        <v>8.8185414306335141E-3</v>
      </c>
      <c r="D4302">
        <f>LOG10(3.496659)</f>
        <v>0.54365328125425438</v>
      </c>
    </row>
    <row r="4303" spans="1:4">
      <c r="A4303">
        <v>1.0246409999999999</v>
      </c>
      <c r="B4303">
        <v>3.3949989999999999</v>
      </c>
      <c r="C4303">
        <f>LOG10(1.024641)</f>
        <v>1.0571729753778273E-2</v>
      </c>
      <c r="D4303">
        <f>LOG10(3.394999)</f>
        <v>0.53083965069471017</v>
      </c>
    </row>
    <row r="4304" spans="1:4">
      <c r="A4304">
        <v>1.0111289999999999</v>
      </c>
      <c r="B4304">
        <v>3.3190200000000001</v>
      </c>
      <c r="C4304">
        <f>LOG10(1.011129)</f>
        <v>4.8065664854014655E-3</v>
      </c>
      <c r="D4304">
        <f>LOG10(3.31902)</f>
        <v>0.52100986942079675</v>
      </c>
    </row>
    <row r="4305" spans="1:4">
      <c r="A4305">
        <v>1.029776</v>
      </c>
      <c r="B4305">
        <v>3.547231</v>
      </c>
      <c r="C4305">
        <f>LOG10(1.029776)</f>
        <v>1.2742765924868114E-2</v>
      </c>
      <c r="D4305">
        <f>LOG10(3.547231)</f>
        <v>0.54988947117808951</v>
      </c>
    </row>
    <row r="4306" spans="1:4">
      <c r="A4306">
        <v>1.022548</v>
      </c>
      <c r="B4306">
        <v>3.3190230000000001</v>
      </c>
      <c r="C4306">
        <f>LOG10(1.022548)</f>
        <v>9.6837036190846812E-3</v>
      </c>
      <c r="D4306">
        <f>LOG10(3.319023)</f>
        <v>0.52101026197126554</v>
      </c>
    </row>
    <row r="4307" spans="1:4">
      <c r="A4307">
        <v>1.0199739999999999</v>
      </c>
      <c r="B4307">
        <v>3.3819750000000002</v>
      </c>
      <c r="C4307">
        <f>LOG10(1.019974)</f>
        <v>8.5891013693242015E-3</v>
      </c>
      <c r="D4307">
        <f>LOG10(3.381975)</f>
        <v>0.52917039291217327</v>
      </c>
    </row>
    <row r="4308" spans="1:4">
      <c r="A4308">
        <v>1.0144550000000001</v>
      </c>
      <c r="B4308">
        <v>3.1415350000000002</v>
      </c>
      <c r="C4308">
        <f>LOG10(1.014455)</f>
        <v>6.2327870173325348E-3</v>
      </c>
      <c r="D4308">
        <f>LOG10(3.141535)</f>
        <v>0.4971419025756546</v>
      </c>
    </row>
    <row r="4309" spans="1:4">
      <c r="A4309">
        <v>1.0294650000000001</v>
      </c>
      <c r="B4309">
        <v>3.4755180000000001</v>
      </c>
      <c r="C4309">
        <f>LOG10(1.029465)</f>
        <v>1.2611585956230355E-2</v>
      </c>
      <c r="D4309">
        <f>LOG10(3.475518)</f>
        <v>0.54101954209912573</v>
      </c>
    </row>
    <row r="4310" spans="1:4">
      <c r="A4310">
        <v>1.025101</v>
      </c>
      <c r="B4310">
        <v>3.574554</v>
      </c>
      <c r="C4310">
        <f>LOG10(1.025101)</f>
        <v>1.0766657178819434E-2</v>
      </c>
      <c r="D4310">
        <f>LOG10(3.574554)</f>
        <v>0.55322186224278092</v>
      </c>
    </row>
    <row r="4311" spans="1:4">
      <c r="A4311">
        <v>1.0332809999999999</v>
      </c>
      <c r="B4311">
        <v>3.5835159999999999</v>
      </c>
      <c r="C4311">
        <f>LOG10(1.033281)</f>
        <v>1.4218443643539918E-2</v>
      </c>
      <c r="D4311">
        <f>LOG10(3.583516)</f>
        <v>0.55430934788640129</v>
      </c>
    </row>
    <row r="4312" spans="1:4">
      <c r="A4312">
        <v>1.0242439999999999</v>
      </c>
      <c r="B4312">
        <v>3.8534389999999998</v>
      </c>
      <c r="C4312">
        <f>LOG10(1.024244)</f>
        <v>1.0403428544610044E-2</v>
      </c>
      <c r="D4312">
        <f>LOG10(3.853439)</f>
        <v>0.5858484884879599</v>
      </c>
    </row>
    <row r="4313" spans="1:4">
      <c r="A4313">
        <v>1.014974</v>
      </c>
      <c r="B4313">
        <v>3.5029319999999999</v>
      </c>
      <c r="C4313">
        <f>LOG10(1.014974)</f>
        <v>6.4549173219862668E-3</v>
      </c>
      <c r="D4313">
        <f>LOG10(3.502932)</f>
        <v>0.54443170674064134</v>
      </c>
    </row>
    <row r="4314" spans="1:4">
      <c r="A4314">
        <v>1.0136609999999999</v>
      </c>
      <c r="B4314">
        <v>3.4324520000000001</v>
      </c>
      <c r="C4314">
        <f>LOG10(1.013661)</f>
        <v>5.8927375958511717E-3</v>
      </c>
      <c r="D4314">
        <f>LOG10(3.432452)</f>
        <v>0.53560447270241585</v>
      </c>
    </row>
    <row r="4315" spans="1:4">
      <c r="A4315">
        <v>1.0145709999999999</v>
      </c>
      <c r="B4315">
        <v>3.8515419999999998</v>
      </c>
      <c r="C4315">
        <f>LOG10(1.014571)</f>
        <v>6.282444498267298E-3</v>
      </c>
      <c r="D4315">
        <f>LOG10(3.851542)</f>
        <v>0.58563463808422311</v>
      </c>
    </row>
    <row r="4316" spans="1:4">
      <c r="A4316">
        <v>1.017954</v>
      </c>
      <c r="B4316">
        <v>3.7442479999999998</v>
      </c>
      <c r="C4316">
        <f>LOG10(1.017954)</f>
        <v>7.7281532487357826E-3</v>
      </c>
      <c r="D4316">
        <f>LOG10(3.744248)</f>
        <v>0.57336460648287202</v>
      </c>
    </row>
    <row r="4317" spans="1:4">
      <c r="A4317">
        <v>1.01749</v>
      </c>
      <c r="B4317">
        <v>3.4724529999999998</v>
      </c>
      <c r="C4317">
        <f>LOG10(1.01749)</f>
        <v>7.5301496258469132E-3</v>
      </c>
      <c r="D4317">
        <f>LOG10(3.472453)</f>
        <v>0.54063637623001692</v>
      </c>
    </row>
    <row r="4318" spans="1:4">
      <c r="A4318">
        <v>1.0168429999999999</v>
      </c>
      <c r="B4318">
        <v>3.7569789999999998</v>
      </c>
      <c r="C4318">
        <f>LOG10(1.016843)</f>
        <v>7.253903269655082E-3</v>
      </c>
      <c r="D4318">
        <f>LOG10(3.756979)</f>
        <v>0.57483876753886798</v>
      </c>
    </row>
    <row r="4319" spans="1:4">
      <c r="A4319">
        <v>1.0165729999999999</v>
      </c>
      <c r="B4319">
        <v>4.1649380000000003</v>
      </c>
      <c r="C4319">
        <f>LOG10(1.016573)</f>
        <v>7.1385707348437044E-3</v>
      </c>
      <c r="D4319">
        <f>LOG10(4.164938)</f>
        <v>0.61960854080684202</v>
      </c>
    </row>
    <row r="4320" spans="1:4">
      <c r="A4320">
        <v>1.0185090000000001</v>
      </c>
      <c r="B4320">
        <v>3.2252450000000001</v>
      </c>
      <c r="C4320">
        <f>LOG10(1.018509)</f>
        <v>7.9648709729701964E-3</v>
      </c>
      <c r="D4320">
        <f>LOG10(3.225245)</f>
        <v>0.50856271063225988</v>
      </c>
    </row>
    <row r="4321" spans="1:4">
      <c r="A4321">
        <v>1.0152829999999999</v>
      </c>
      <c r="B4321">
        <v>3.6902710000000001</v>
      </c>
      <c r="C4321">
        <f>LOG10(1.015283)</f>
        <v>6.5871143748167625E-3</v>
      </c>
      <c r="D4321">
        <f>LOG10(3.690271)</f>
        <v>0.56705826032789208</v>
      </c>
    </row>
    <row r="4322" spans="1:4">
      <c r="A4322">
        <v>1.0330710000000001</v>
      </c>
      <c r="B4322">
        <v>3.7263190000000002</v>
      </c>
      <c r="C4322">
        <f>LOG10(1.033071)</f>
        <v>1.4130170356594043E-2</v>
      </c>
      <c r="D4322">
        <f>LOG10(3.726319)</f>
        <v>0.57128003091705282</v>
      </c>
    </row>
    <row r="4323" spans="1:4">
      <c r="A4323">
        <v>1.01441</v>
      </c>
      <c r="B4323">
        <v>3.5388890000000002</v>
      </c>
      <c r="C4323">
        <f>LOG10(1.01441)</f>
        <v>6.2135218107378307E-3</v>
      </c>
      <c r="D4323">
        <f>LOG10(3.538889)</f>
        <v>0.54886694086766374</v>
      </c>
    </row>
    <row r="4324" spans="1:4">
      <c r="A4324">
        <v>1.016178</v>
      </c>
      <c r="B4324">
        <v>3.2570700000000001</v>
      </c>
      <c r="C4324">
        <f>LOG10(1.016178)</f>
        <v>6.9697883089480418E-3</v>
      </c>
      <c r="D4324">
        <f>LOG10(3.25707)</f>
        <v>0.51282709239571445</v>
      </c>
    </row>
    <row r="4325" spans="1:4">
      <c r="A4325">
        <v>1.0086900000000001</v>
      </c>
      <c r="B4325">
        <v>3.5758350000000001</v>
      </c>
      <c r="C4325">
        <f>LOG10(1.00869)</f>
        <v>3.7577153198228423E-3</v>
      </c>
      <c r="D4325">
        <f>LOG10(3.575835)</f>
        <v>0.55337747090610545</v>
      </c>
    </row>
    <row r="4326" spans="1:4">
      <c r="A4326">
        <v>1.017439</v>
      </c>
      <c r="B4326">
        <v>3.2048199999999998</v>
      </c>
      <c r="C4326">
        <f>LOG10(1.017439)</f>
        <v>7.5083807891143158E-3</v>
      </c>
      <c r="D4326">
        <f>LOG10(3.20482)</f>
        <v>0.50580364221614338</v>
      </c>
    </row>
    <row r="4327" spans="1:4">
      <c r="A4327">
        <v>1.008202</v>
      </c>
      <c r="B4327">
        <v>3.224097</v>
      </c>
      <c r="C4327">
        <f>LOG10(1.008202)</f>
        <v>3.5475546257404777E-3</v>
      </c>
      <c r="D4327">
        <f>LOG10(3.224097)</f>
        <v>0.50840809948883148</v>
      </c>
    </row>
    <row r="4328" spans="1:4">
      <c r="A4328">
        <v>1.0182180000000001</v>
      </c>
      <c r="B4328">
        <v>3.3492519999999999</v>
      </c>
      <c r="C4328">
        <f>LOG10(1.018218)</f>
        <v>7.8407702023771605E-3</v>
      </c>
      <c r="D4328">
        <f>LOG10(3.349252)</f>
        <v>0.52494782538163554</v>
      </c>
    </row>
    <row r="4329" spans="1:4">
      <c r="A4329">
        <v>1.011228</v>
      </c>
      <c r="B4329">
        <v>3.2629640000000002</v>
      </c>
      <c r="C4329">
        <f>LOG10(1.011228)</f>
        <v>4.849086331049684E-3</v>
      </c>
      <c r="D4329">
        <f>LOG10(3.262964)</f>
        <v>0.51361228228079681</v>
      </c>
    </row>
    <row r="4330" spans="1:4">
      <c r="A4330">
        <v>1.014524</v>
      </c>
      <c r="B4330">
        <v>3.285974</v>
      </c>
      <c r="C4330">
        <f>LOG10(1.014524)</f>
        <v>6.2623253410537981E-3</v>
      </c>
      <c r="D4330">
        <f>LOG10(3.285974)</f>
        <v>0.51666412279313867</v>
      </c>
    </row>
    <row r="4331" spans="1:4">
      <c r="A4331">
        <v>1.014713</v>
      </c>
      <c r="B4331">
        <v>3.62778</v>
      </c>
      <c r="C4331">
        <f>LOG10(1.014713)</f>
        <v>6.3432243758309668E-3</v>
      </c>
      <c r="D4331">
        <f>LOG10(3.62778)</f>
        <v>0.55964094220199689</v>
      </c>
    </row>
    <row r="4332" spans="1:4">
      <c r="A4332">
        <v>1.00956</v>
      </c>
      <c r="B4332">
        <v>3.7158709999999999</v>
      </c>
      <c r="C4332">
        <f>LOG10(1.00956)</f>
        <v>4.1321349632354671E-3</v>
      </c>
      <c r="D4332">
        <f>LOG10(3.715871)</f>
        <v>0.57006062863683094</v>
      </c>
    </row>
    <row r="4333" spans="1:4">
      <c r="A4333">
        <v>1.020902</v>
      </c>
      <c r="B4333">
        <v>3.5132829999999999</v>
      </c>
      <c r="C4333">
        <f>LOG10(1.020902)</f>
        <v>8.9840546217339473E-3</v>
      </c>
      <c r="D4333">
        <f>LOG10(3.513283)</f>
        <v>0.54571313424637935</v>
      </c>
    </row>
    <row r="4334" spans="1:4">
      <c r="A4334">
        <v>1.0094270000000001</v>
      </c>
      <c r="B4334">
        <v>3.5205839999999999</v>
      </c>
      <c r="C4334">
        <f>LOG10(1.009427)</f>
        <v>4.074916995832352E-3</v>
      </c>
      <c r="D4334">
        <f>LOG10(3.520584)</f>
        <v>0.54661471090431413</v>
      </c>
    </row>
    <row r="4335" spans="1:4">
      <c r="A4335">
        <v>1.021088</v>
      </c>
      <c r="B4335">
        <v>3.419842</v>
      </c>
      <c r="C4335">
        <f>LOG10(1.021088)</f>
        <v>9.0631723195262175E-3</v>
      </c>
      <c r="D4335">
        <f>LOG10(3.419842)</f>
        <v>0.53400604169553934</v>
      </c>
    </row>
    <row r="4336" spans="1:4">
      <c r="A4336">
        <v>1.0118640000000001</v>
      </c>
      <c r="B4336">
        <v>3.2425039999999998</v>
      </c>
      <c r="C4336">
        <f>LOG10(1.011864)</f>
        <v>5.1221448964433513E-3</v>
      </c>
      <c r="D4336">
        <f>LOG10(3.242504)</f>
        <v>0.51088052050842492</v>
      </c>
    </row>
    <row r="4337" spans="1:4">
      <c r="A4337">
        <v>1.0166120000000001</v>
      </c>
      <c r="B4337">
        <v>3.215106</v>
      </c>
      <c r="C4337">
        <f>LOG10(1.016612)</f>
        <v>7.1552317713911478E-3</v>
      </c>
      <c r="D4337">
        <f>LOG10(3.215106)</f>
        <v>0.50719529590913592</v>
      </c>
    </row>
    <row r="4338" spans="1:4">
      <c r="A4338">
        <v>1.008556</v>
      </c>
      <c r="B4338">
        <v>3.3107489999999999</v>
      </c>
      <c r="C4338">
        <f>LOG10(1.008556)</f>
        <v>3.7000173884246222E-3</v>
      </c>
      <c r="D4338">
        <f>LOG10(3.310749)</f>
        <v>0.51992625654578695</v>
      </c>
    </row>
    <row r="4339" spans="1:4">
      <c r="A4339">
        <v>1.016079</v>
      </c>
      <c r="B4339">
        <v>3.15204</v>
      </c>
      <c r="C4339">
        <f>LOG10(1.016079)</f>
        <v>6.9274755957995935E-3</v>
      </c>
      <c r="D4339">
        <f>LOG10(3.15204)</f>
        <v>0.49859172013384068</v>
      </c>
    </row>
    <row r="4340" spans="1:4">
      <c r="A4340">
        <v>1.0108779999999999</v>
      </c>
      <c r="B4340">
        <v>3.32619</v>
      </c>
      <c r="C4340">
        <f>LOG10(1.010878)</f>
        <v>4.698744983776963E-3</v>
      </c>
      <c r="D4340">
        <f>LOG10(3.32619)</f>
        <v>0.52194705354097537</v>
      </c>
    </row>
    <row r="4341" spans="1:4">
      <c r="A4341">
        <v>1.0182580000000001</v>
      </c>
      <c r="B4341">
        <v>3.1576930000000001</v>
      </c>
      <c r="C4341">
        <f>LOG10(1.018258)</f>
        <v>7.8578308299302301E-3</v>
      </c>
      <c r="D4341">
        <f>LOG10(3.157693)</f>
        <v>0.49936990436542938</v>
      </c>
    </row>
    <row r="4342" spans="1:4">
      <c r="A4342">
        <v>1.0131209999999999</v>
      </c>
      <c r="B4342">
        <v>3.1223779999999999</v>
      </c>
      <c r="C4342">
        <f>LOG10(1.013121)</f>
        <v>5.6613175163587074E-3</v>
      </c>
      <c r="D4342">
        <f>LOG10(3.122378)</f>
        <v>0.49448547828335693</v>
      </c>
    </row>
    <row r="4343" spans="1:4">
      <c r="A4343">
        <v>1.0243100000000001</v>
      </c>
      <c r="B4343">
        <v>3.0141300000000002</v>
      </c>
      <c r="C4343">
        <f>LOG10(1.02431)</f>
        <v>1.0431412611240053E-2</v>
      </c>
      <c r="D4343">
        <f>LOG10(3.01413)</f>
        <v>0.47916197958614509</v>
      </c>
    </row>
    <row r="4344" spans="1:4">
      <c r="A4344">
        <v>1.0164139999999999</v>
      </c>
      <c r="B4344">
        <v>3.078522</v>
      </c>
      <c r="C4344">
        <f>LOG10(1.016414)</f>
        <v>7.0706383547906888E-3</v>
      </c>
      <c r="D4344">
        <f>LOG10(3.078522)</f>
        <v>0.48834226153135379</v>
      </c>
    </row>
    <row r="4345" spans="1:4">
      <c r="A4345">
        <v>1.0175320000000001</v>
      </c>
      <c r="B4345">
        <v>3.1511550000000002</v>
      </c>
      <c r="C4345">
        <f>LOG10(1.017532)</f>
        <v>7.5480760838828147E-3</v>
      </c>
      <c r="D4345">
        <f>LOG10(3.151155)</f>
        <v>0.49846976591252595</v>
      </c>
    </row>
    <row r="4346" spans="1:4">
      <c r="A4346">
        <v>1.0115259999999999</v>
      </c>
      <c r="B4346">
        <v>3.1997019999999998</v>
      </c>
      <c r="C4346">
        <f>LOG10(1.011526)</f>
        <v>4.9770502421762498E-3</v>
      </c>
      <c r="D4346">
        <f>LOG10(3.199702)</f>
        <v>0.50510953276300319</v>
      </c>
    </row>
    <row r="4347" spans="1:4">
      <c r="A4347">
        <v>1.021461</v>
      </c>
      <c r="B4347">
        <v>3.0095230000000002</v>
      </c>
      <c r="C4347">
        <f>LOG10(1.021461)</f>
        <v>9.221789658498852E-3</v>
      </c>
      <c r="D4347">
        <f>LOG10(3.009523)</f>
        <v>0.47849766672873184</v>
      </c>
    </row>
    <row r="4348" spans="1:4">
      <c r="A4348">
        <v>1.018942</v>
      </c>
      <c r="B4348">
        <v>3.0669040000000001</v>
      </c>
      <c r="C4348">
        <f>LOG10(1.018942)</f>
        <v>8.1494638917644635E-3</v>
      </c>
      <c r="D4348">
        <f>LOG10(3.066904)</f>
        <v>0.48670018194180076</v>
      </c>
    </row>
    <row r="4349" spans="1:4">
      <c r="A4349">
        <v>1.0247679999999999</v>
      </c>
      <c r="B4349">
        <v>3.2495020000000001</v>
      </c>
      <c r="C4349">
        <f>LOG10(1.024768)</f>
        <v>1.0625555416954643E-2</v>
      </c>
      <c r="D4349">
        <f>LOG10(3.249502)</f>
        <v>0.51181680860227352</v>
      </c>
    </row>
    <row r="4350" spans="1:4">
      <c r="A4350">
        <v>1.074462</v>
      </c>
      <c r="B4350">
        <v>3.249905</v>
      </c>
      <c r="C4350">
        <f>LOG10(1.074462)</f>
        <v>3.1191060607230182E-2</v>
      </c>
      <c r="D4350">
        <f>LOG10(3.249905)</f>
        <v>0.51187066603155318</v>
      </c>
    </row>
    <row r="4351" spans="1:4">
      <c r="A4351">
        <v>1.071887</v>
      </c>
      <c r="B4351">
        <v>3.3584429999999998</v>
      </c>
      <c r="C4351">
        <f>LOG10(1.071887)</f>
        <v>3.0149003767982314E-2</v>
      </c>
      <c r="D4351">
        <f>LOG10(3.358443)</f>
        <v>0.52613798178595805</v>
      </c>
    </row>
    <row r="4352" spans="1:4">
      <c r="A4352">
        <v>1.0625</v>
      </c>
      <c r="B4352">
        <v>3.21089</v>
      </c>
      <c r="C4352">
        <f>LOG10(1.0625)</f>
        <v>2.6328938722349149E-2</v>
      </c>
      <c r="D4352">
        <f>LOG10(3.21089)</f>
        <v>0.50662542758104523</v>
      </c>
    </row>
    <row r="4353" spans="1:4">
      <c r="A4353">
        <v>1.030939</v>
      </c>
      <c r="B4353">
        <v>3.3446660000000001</v>
      </c>
      <c r="C4353">
        <f>LOG10(1.030939)</f>
        <v>1.3232969117525405E-2</v>
      </c>
      <c r="D4353">
        <f>LOG10(3.344666)</f>
        <v>0.52435275540748483</v>
      </c>
    </row>
    <row r="4354" spans="1:4">
      <c r="A4354">
        <v>1.082673</v>
      </c>
      <c r="B4354">
        <v>3.2922259999999999</v>
      </c>
      <c r="C4354">
        <f>LOG10(1.082673)</f>
        <v>3.4497306357794646E-2</v>
      </c>
      <c r="D4354">
        <f>LOG10(3.292226)</f>
        <v>0.51748964038712897</v>
      </c>
    </row>
    <row r="4355" spans="1:4">
      <c r="A4355">
        <v>1.038397</v>
      </c>
      <c r="B4355">
        <v>3.287096</v>
      </c>
      <c r="C4355">
        <f>LOG10(1.038397)</f>
        <v>1.636342475162552E-2</v>
      </c>
      <c r="D4355">
        <f>LOG10(3.287096)</f>
        <v>0.51681238788492312</v>
      </c>
    </row>
    <row r="4356" spans="1:4">
      <c r="A4356">
        <v>1.02183</v>
      </c>
      <c r="B4356">
        <v>3.3748360000000002</v>
      </c>
      <c r="C4356">
        <f>LOG10(1.02183)</f>
        <v>9.3786490246532198E-3</v>
      </c>
      <c r="D4356">
        <f>LOG10(3.374836)</f>
        <v>0.528252673159466</v>
      </c>
    </row>
    <row r="4357" spans="1:4">
      <c r="A4357">
        <v>1.0180739999999999</v>
      </c>
      <c r="B4357">
        <v>3.372811</v>
      </c>
      <c r="C4357">
        <f>LOG10(1.018074)</f>
        <v>7.7793463933179697E-3</v>
      </c>
      <c r="D4357">
        <f>LOG10(3.372811)</f>
        <v>0.52799200559571946</v>
      </c>
    </row>
    <row r="4358" spans="1:4">
      <c r="A4358">
        <v>1.017223</v>
      </c>
      <c r="B4358">
        <v>3.452518</v>
      </c>
      <c r="C4358">
        <f>LOG10(1.017223)</f>
        <v>7.4161712639514111E-3</v>
      </c>
      <c r="D4358">
        <f>LOG10(3.452518)</f>
        <v>0.53813595148826376</v>
      </c>
    </row>
    <row r="4359" spans="1:4">
      <c r="A4359">
        <v>1.0171570000000001</v>
      </c>
      <c r="B4359">
        <v>3.4320360000000001</v>
      </c>
      <c r="C4359">
        <f>LOG10(1.017157)</f>
        <v>7.38799222580158E-3</v>
      </c>
      <c r="D4359">
        <f>LOG10(3.432036)</f>
        <v>0.53555183468929879</v>
      </c>
    </row>
    <row r="4360" spans="1:4">
      <c r="A4360">
        <v>1.0162629999999999</v>
      </c>
      <c r="B4360">
        <v>3.3631790000000001</v>
      </c>
      <c r="C4360">
        <f>LOG10(1.016263)</f>
        <v>7.0061141171592041E-3</v>
      </c>
      <c r="D4360">
        <f>LOG10(3.363179)</f>
        <v>0.52674998258179662</v>
      </c>
    </row>
    <row r="4361" spans="1:4">
      <c r="A4361">
        <v>1.01387</v>
      </c>
      <c r="B4361">
        <v>3.3715329999999999</v>
      </c>
      <c r="C4361">
        <f>LOG10(1.01387)</f>
        <v>5.9822726481283742E-3</v>
      </c>
      <c r="D4361">
        <f>LOG10(3.371533)</f>
        <v>0.52782741483507156</v>
      </c>
    </row>
    <row r="4362" spans="1:4">
      <c r="A4362">
        <v>1.0205960000000001</v>
      </c>
      <c r="B4362">
        <v>3.5049779999999999</v>
      </c>
      <c r="C4362">
        <f>LOG10(1.020596)</f>
        <v>8.8538618785055905E-3</v>
      </c>
      <c r="D4362">
        <f>LOG10(3.504978)</f>
        <v>0.54468529633731722</v>
      </c>
    </row>
    <row r="4363" spans="1:4">
      <c r="A4363">
        <v>1.011136</v>
      </c>
      <c r="B4363">
        <v>3.2061989999999998</v>
      </c>
      <c r="C4363">
        <f>LOG10(1.011136)</f>
        <v>4.8095730759060472E-3</v>
      </c>
      <c r="D4363">
        <f>LOG10(3.206199)</f>
        <v>0.50599047432498001</v>
      </c>
    </row>
    <row r="4364" spans="1:4">
      <c r="A4364">
        <v>1.0247269999999999</v>
      </c>
      <c r="B4364">
        <v>3.2767170000000001</v>
      </c>
      <c r="C4364">
        <f>LOG10(1.024727)</f>
        <v>1.0608179357232232E-2</v>
      </c>
      <c r="D4364">
        <f>LOG10(3.276717)</f>
        <v>0.51543893431929844</v>
      </c>
    </row>
    <row r="4365" spans="1:4">
      <c r="A4365">
        <v>1.0200210000000001</v>
      </c>
      <c r="B4365">
        <v>3.3004669999999998</v>
      </c>
      <c r="C4365">
        <f>LOG10(1.020021)</f>
        <v>8.6091130268558334E-3</v>
      </c>
      <c r="D4365">
        <f>LOG10(3.300467)</f>
        <v>0.51857539477899894</v>
      </c>
    </row>
    <row r="4366" spans="1:4">
      <c r="A4366">
        <v>1.030559</v>
      </c>
      <c r="B4366">
        <v>3.1643759999999999</v>
      </c>
      <c r="C4366">
        <f>LOG10(1.030559)</f>
        <v>1.3072860395622766E-2</v>
      </c>
      <c r="D4366">
        <f>LOG10(3.164376)</f>
        <v>0.50028808197584229</v>
      </c>
    </row>
    <row r="4367" spans="1:4">
      <c r="A4367">
        <v>1.030009</v>
      </c>
      <c r="B4367">
        <v>3.2846920000000002</v>
      </c>
      <c r="C4367">
        <f>LOG10(1.030009)</f>
        <v>1.2841019494745583E-2</v>
      </c>
      <c r="D4367">
        <f>LOG10(3.284692)</f>
        <v>0.51649465274767747</v>
      </c>
    </row>
    <row r="4368" spans="1:4">
      <c r="A4368">
        <v>1.022715</v>
      </c>
      <c r="B4368">
        <v>3.2031320000000001</v>
      </c>
      <c r="C4368">
        <f>LOG10(1.022715)</f>
        <v>9.7546257241039741E-3</v>
      </c>
      <c r="D4368">
        <f>LOG10(3.203132)</f>
        <v>0.50557483616316123</v>
      </c>
    </row>
    <row r="4369" spans="1:4">
      <c r="A4369">
        <v>1.0286500000000001</v>
      </c>
      <c r="B4369">
        <v>3.2181799999999998</v>
      </c>
      <c r="C4369">
        <f>LOG10(1.02865)</f>
        <v>1.2267630422888228E-2</v>
      </c>
      <c r="D4369">
        <f>LOG10(3.21818)</f>
        <v>0.50761033150337942</v>
      </c>
    </row>
    <row r="4370" spans="1:4">
      <c r="A4370">
        <v>1.0222910000000001</v>
      </c>
      <c r="B4370">
        <v>3.309005</v>
      </c>
      <c r="C4370">
        <f>LOG10(1.022291)</f>
        <v>9.5745373889445096E-3</v>
      </c>
      <c r="D4370">
        <f>LOG10(3.309005)</f>
        <v>0.51969742339157532</v>
      </c>
    </row>
    <row r="4371" spans="1:4">
      <c r="A4371">
        <v>1.0192369999999999</v>
      </c>
      <c r="B4371">
        <v>3.1405180000000001</v>
      </c>
      <c r="C4371">
        <f>LOG10(1.019237)</f>
        <v>8.2751808901792862E-3</v>
      </c>
      <c r="D4371">
        <f>LOG10(3.140518)</f>
        <v>0.49700128692279266</v>
      </c>
    </row>
    <row r="4372" spans="1:4">
      <c r="A4372">
        <v>1.0158039999999999</v>
      </c>
      <c r="B4372">
        <v>3.1800890000000002</v>
      </c>
      <c r="C4372">
        <f>LOG10(1.015804)</f>
        <v>6.8099186466517988E-3</v>
      </c>
      <c r="D4372">
        <f>LOG10(3.180089)</f>
        <v>0.50243927459701498</v>
      </c>
    </row>
    <row r="4373" spans="1:4">
      <c r="A4373">
        <v>1.0278620000000001</v>
      </c>
      <c r="B4373">
        <v>3.2764090000000001</v>
      </c>
      <c r="C4373">
        <f>LOG10(1.027862)</f>
        <v>1.1934810513752375E-2</v>
      </c>
      <c r="D4373">
        <f>LOG10(3.276409)</f>
        <v>0.51539811022999371</v>
      </c>
    </row>
    <row r="4374" spans="1:4">
      <c r="A4374">
        <v>1.0175639999999999</v>
      </c>
      <c r="B4374">
        <v>3.293841</v>
      </c>
      <c r="C4374">
        <f>LOG10(1.017564)</f>
        <v>7.5617338409831843E-3</v>
      </c>
      <c r="D4374">
        <f>LOG10(3.293841)</f>
        <v>0.51770263111507986</v>
      </c>
    </row>
    <row r="4375" spans="1:4">
      <c r="A4375">
        <v>1.048924</v>
      </c>
      <c r="B4375">
        <v>3.266213</v>
      </c>
      <c r="C4375">
        <f>LOG10(1.048924)</f>
        <v>2.0744022439184395E-2</v>
      </c>
      <c r="D4375">
        <f>LOG10(3.266213)</f>
        <v>0.51404450303026294</v>
      </c>
    </row>
    <row r="4376" spans="1:4">
      <c r="A4376">
        <v>1.0267770000000001</v>
      </c>
      <c r="B4376">
        <v>3.328452</v>
      </c>
      <c r="C4376">
        <f>LOG10(1.026777)</f>
        <v>1.1476131829403685E-2</v>
      </c>
      <c r="D4376">
        <f>LOG10(3.328452)</f>
        <v>0.52224229832075464</v>
      </c>
    </row>
    <row r="4377" spans="1:4">
      <c r="A4377">
        <v>1.024743</v>
      </c>
      <c r="B4377">
        <v>3.4520230000000001</v>
      </c>
      <c r="C4377">
        <f>LOG10(1.024743)</f>
        <v>1.061496034130187E-2</v>
      </c>
      <c r="D4377">
        <f>LOG10(3.452023)</f>
        <v>0.53807368065261796</v>
      </c>
    </row>
    <row r="4378" spans="1:4">
      <c r="A4378">
        <v>1.021962</v>
      </c>
      <c r="B4378">
        <v>3.339791</v>
      </c>
      <c r="C4378">
        <f>LOG10(1.021962)</f>
        <v>9.4347475627539149E-3</v>
      </c>
      <c r="D4378">
        <f>LOG10(3.339791)</f>
        <v>0.52371929004907369</v>
      </c>
    </row>
    <row r="4379" spans="1:4">
      <c r="A4379">
        <v>1.0499430000000001</v>
      </c>
      <c r="B4379">
        <v>3.327356</v>
      </c>
      <c r="C4379">
        <f>LOG10(1.049943)</f>
        <v>2.1165722443834856E-2</v>
      </c>
      <c r="D4379">
        <f>LOG10(3.327356)</f>
        <v>0.52209926932819106</v>
      </c>
    </row>
    <row r="4380" spans="1:4">
      <c r="A4380">
        <v>1.057291</v>
      </c>
      <c r="B4380">
        <v>3.3138019999999999</v>
      </c>
      <c r="C4380">
        <f>LOG10(1.057291)</f>
        <v>2.4194535368721383E-2</v>
      </c>
      <c r="D4380">
        <f>LOG10(3.313802)</f>
        <v>0.52032655571991104</v>
      </c>
    </row>
    <row r="4381" spans="1:4">
      <c r="A4381">
        <v>1.0381849999999999</v>
      </c>
      <c r="B4381">
        <v>3.4920119999999999</v>
      </c>
      <c r="C4381">
        <f>LOG10(1.038185)</f>
        <v>1.6274749774684179E-2</v>
      </c>
      <c r="D4381">
        <f>LOG10(3.492012)</f>
        <v>0.54307572745186783</v>
      </c>
    </row>
    <row r="4382" spans="1:4">
      <c r="A4382">
        <v>1.025423</v>
      </c>
      <c r="B4382">
        <v>3.510929</v>
      </c>
      <c r="C4382">
        <f>LOG10(1.025423)</f>
        <v>1.0903054338103886E-2</v>
      </c>
      <c r="D4382">
        <f>LOG10(3.510929)</f>
        <v>0.54542204700451569</v>
      </c>
    </row>
    <row r="4383" spans="1:4">
      <c r="A4383">
        <v>1.0312060000000001</v>
      </c>
      <c r="B4383">
        <v>3.4837500000000001</v>
      </c>
      <c r="C4383">
        <f>LOG10(1.031206)</f>
        <v>1.3345431264771258E-2</v>
      </c>
      <c r="D4383">
        <f>LOG10(3.48375)</f>
        <v>0.54204698172136068</v>
      </c>
    </row>
    <row r="4384" spans="1:4">
      <c r="A4384">
        <v>1.0342370000000001</v>
      </c>
      <c r="B4384">
        <v>3.4705590000000002</v>
      </c>
      <c r="C4384">
        <f>LOG10(1.034237)</f>
        <v>1.4620070671008725E-2</v>
      </c>
      <c r="D4384">
        <f>LOG10(3.470559)</f>
        <v>0.54039943186952077</v>
      </c>
    </row>
    <row r="4385" spans="1:4">
      <c r="A4385">
        <v>1.046419</v>
      </c>
      <c r="B4385">
        <v>3.4315359999999999</v>
      </c>
      <c r="C4385">
        <f>LOG10(1.046419)</f>
        <v>1.9705616607335517E-2</v>
      </c>
      <c r="D4385">
        <f>LOG10(3.431536)</f>
        <v>0.53548855940309625</v>
      </c>
    </row>
    <row r="4386" spans="1:4">
      <c r="A4386">
        <v>1.024076</v>
      </c>
      <c r="B4386">
        <v>3.376039</v>
      </c>
      <c r="C4386">
        <f>LOG10(1.024076)</f>
        <v>1.0332188237311061E-2</v>
      </c>
      <c r="D4386">
        <f>LOG10(3.376039)</f>
        <v>0.52840745495212538</v>
      </c>
    </row>
    <row r="4387" spans="1:4">
      <c r="A4387">
        <v>1.042063</v>
      </c>
      <c r="B4387">
        <v>3.4377979999999999</v>
      </c>
      <c r="C4387">
        <f>LOG10(1.042063)</f>
        <v>1.7893975897550582E-2</v>
      </c>
      <c r="D4387">
        <f>LOG10(3.437798)</f>
        <v>0.53628035458993306</v>
      </c>
    </row>
    <row r="4388" spans="1:4">
      <c r="A4388">
        <v>1.0528709999999999</v>
      </c>
      <c r="B4388">
        <v>3.531679</v>
      </c>
      <c r="C4388">
        <f>LOG10(1.052871)</f>
        <v>2.2375163758976878E-2</v>
      </c>
      <c r="D4388">
        <f>LOG10(3.531679)</f>
        <v>0.54798122297347207</v>
      </c>
    </row>
    <row r="4389" spans="1:4">
      <c r="A4389">
        <v>1.0212559999999999</v>
      </c>
      <c r="B4389">
        <v>3.4101859999999999</v>
      </c>
      <c r="C4389">
        <f>LOG10(1.021256)</f>
        <v>9.1346210795042494E-3</v>
      </c>
      <c r="D4389">
        <f>LOG10(3.410186)</f>
        <v>0.53277806713638531</v>
      </c>
    </row>
    <row r="4390" spans="1:4">
      <c r="A4390">
        <v>1.0193179999999999</v>
      </c>
      <c r="B4390">
        <v>3.4990380000000001</v>
      </c>
      <c r="C4390">
        <f>LOG10(1.019318)</f>
        <v>8.3096934277882058E-3</v>
      </c>
      <c r="D4390">
        <f>LOG10(3.499038)</f>
        <v>0.54394865900211153</v>
      </c>
    </row>
    <row r="4391" spans="1:4">
      <c r="A4391">
        <v>1.009579</v>
      </c>
      <c r="B4391">
        <v>3.4219059999999999</v>
      </c>
      <c r="C4391">
        <f>LOG10(1.009579)</f>
        <v>4.140308343231992E-3</v>
      </c>
      <c r="D4391">
        <f>LOG10(3.421906)</f>
        <v>0.53426807526878439</v>
      </c>
    </row>
    <row r="4392" spans="1:4">
      <c r="A4392">
        <v>1.019218</v>
      </c>
      <c r="B4392">
        <v>3.3730739999999999</v>
      </c>
      <c r="C4392">
        <f>LOG10(1.019218)</f>
        <v>8.2670849595294586E-3</v>
      </c>
      <c r="D4392">
        <f>LOG10(3.373074)</f>
        <v>0.52802586903952209</v>
      </c>
    </row>
    <row r="4393" spans="1:4">
      <c r="A4393">
        <v>1.023773</v>
      </c>
      <c r="B4393">
        <v>3.1767560000000001</v>
      </c>
      <c r="C4393">
        <f>LOG10(1.023773)</f>
        <v>1.0203671702178896E-2</v>
      </c>
      <c r="D4393">
        <f>LOG10(3.176756)</f>
        <v>0.50198385885514085</v>
      </c>
    </row>
    <row r="4394" spans="1:4">
      <c r="A4394">
        <v>1.019385</v>
      </c>
      <c r="B4394">
        <v>3.1440600000000001</v>
      </c>
      <c r="C4394">
        <f>LOG10(1.019385)</f>
        <v>8.3382387630312593E-3</v>
      </c>
      <c r="D4394">
        <f>LOG10(3.14406)</f>
        <v>0.49749082535091849</v>
      </c>
    </row>
    <row r="4395" spans="1:4">
      <c r="A4395">
        <v>1.0294220000000001</v>
      </c>
      <c r="B4395">
        <v>3.177794</v>
      </c>
      <c r="C4395">
        <f>LOG10(1.029422)</f>
        <v>1.2593445414544909E-2</v>
      </c>
      <c r="D4395">
        <f>LOG10(3.177794)</f>
        <v>0.50212574071183402</v>
      </c>
    </row>
    <row r="4396" spans="1:4">
      <c r="A4396">
        <v>1.017919</v>
      </c>
      <c r="B4396">
        <v>2.9638179999999998</v>
      </c>
      <c r="C4396">
        <f>LOG10(1.017919)</f>
        <v>7.7132207781267469E-3</v>
      </c>
      <c r="D4396">
        <f>LOG10(2.963818)</f>
        <v>0.47185153128349788</v>
      </c>
    </row>
    <row r="4397" spans="1:4">
      <c r="A4397">
        <v>1.025496</v>
      </c>
      <c r="B4397">
        <v>2.9487809999999999</v>
      </c>
      <c r="C4397">
        <f>LOG10(1.025496)</f>
        <v>1.0933970719679484E-2</v>
      </c>
      <c r="D4397">
        <f>LOG10(2.948781)</f>
        <v>0.46964251957679592</v>
      </c>
    </row>
    <row r="4398" spans="1:4">
      <c r="A4398">
        <v>1.0423519999999999</v>
      </c>
      <c r="B4398">
        <v>3.1457739999999998</v>
      </c>
      <c r="C4398">
        <f>LOG10(1.042352)</f>
        <v>1.8014404033093914E-2</v>
      </c>
      <c r="D4398">
        <f>LOG10(3.145774)</f>
        <v>0.49772751864374859</v>
      </c>
    </row>
    <row r="4399" spans="1:4">
      <c r="A4399">
        <v>1.0379750000000001</v>
      </c>
      <c r="B4399">
        <v>2.9331719999999999</v>
      </c>
      <c r="C4399">
        <f>LOG10(1.037975)</f>
        <v>1.6186893500109354E-2</v>
      </c>
      <c r="D4399">
        <f>LOG10(2.933172)</f>
        <v>0.46733753057710703</v>
      </c>
    </row>
    <row r="4400" spans="1:4">
      <c r="A4400">
        <v>1.0386219999999999</v>
      </c>
      <c r="B4400">
        <v>3.0184449999999998</v>
      </c>
      <c r="C4400">
        <f>LOG10(1.038622)</f>
        <v>1.6457517544046226E-2</v>
      </c>
      <c r="D4400">
        <f>LOG10(3.018445)</f>
        <v>0.47978326685037553</v>
      </c>
    </row>
    <row r="4401" spans="1:4">
      <c r="A4401">
        <v>1.01813</v>
      </c>
      <c r="B4401">
        <v>2.852643</v>
      </c>
      <c r="C4401">
        <f>LOG10(1.01813)</f>
        <v>7.8032344624826885E-3</v>
      </c>
      <c r="D4401">
        <f>LOG10(2.852643)</f>
        <v>0.45524742436256749</v>
      </c>
    </row>
    <row r="4402" spans="1:4">
      <c r="A4402">
        <v>1.026559</v>
      </c>
      <c r="B4402">
        <v>2.850187</v>
      </c>
      <c r="C4402">
        <f>LOG10(1.026559)</f>
        <v>1.1383914873765978E-2</v>
      </c>
      <c r="D4402">
        <f>LOG10(2.850187)</f>
        <v>0.45487335488706243</v>
      </c>
    </row>
    <row r="4403" spans="1:4">
      <c r="A4403">
        <v>1.0087459999999999</v>
      </c>
      <c r="B4403">
        <v>2.9106510000000001</v>
      </c>
      <c r="C4403">
        <f>LOG10(1.008746)</f>
        <v>3.7818256172426922E-3</v>
      </c>
      <c r="D4403">
        <f>LOG10(2.910651)</f>
        <v>0.46399013472060191</v>
      </c>
    </row>
    <row r="4404" spans="1:4">
      <c r="A4404">
        <v>1.0322420000000001</v>
      </c>
      <c r="B4404">
        <v>3.1183740000000002</v>
      </c>
      <c r="C4404">
        <f>LOG10(1.032242)</f>
        <v>1.378152572516698E-2</v>
      </c>
      <c r="D4404">
        <f>LOG10(3.118374)</f>
        <v>0.49392820078085692</v>
      </c>
    </row>
    <row r="4405" spans="1:4">
      <c r="A4405">
        <v>1.0282260000000001</v>
      </c>
      <c r="B4405">
        <v>2.960763</v>
      </c>
      <c r="C4405">
        <f>LOG10(1.028226)</f>
        <v>1.2088581357280782E-2</v>
      </c>
      <c r="D4405">
        <f>LOG10(2.960763)</f>
        <v>0.47140364483893504</v>
      </c>
    </row>
    <row r="4406" spans="1:4">
      <c r="A4406">
        <v>1.0125740000000001</v>
      </c>
      <c r="B4406">
        <v>2.9619650000000002</v>
      </c>
      <c r="C4406">
        <f>LOG10(1.012574)</f>
        <v>5.4267717556444666E-3</v>
      </c>
      <c r="D4406">
        <f>LOG10(2.961965)</f>
        <v>0.4715799223834769</v>
      </c>
    </row>
    <row r="4407" spans="1:4">
      <c r="A4407">
        <v>1.0309280000000001</v>
      </c>
      <c r="B4407">
        <v>2.8546130000000001</v>
      </c>
      <c r="C4407">
        <f>LOG10(1.030928)</f>
        <v>1.3228335220866722E-2</v>
      </c>
      <c r="D4407">
        <f>LOG10(2.854613)</f>
        <v>0.45554723925200935</v>
      </c>
    </row>
    <row r="4408" spans="1:4">
      <c r="A4408">
        <v>1.011779</v>
      </c>
      <c r="B4408">
        <v>2.9492699999999998</v>
      </c>
      <c r="C4408">
        <f>LOG10(1.011779)</f>
        <v>5.0856611579741303E-3</v>
      </c>
      <c r="D4408">
        <f>LOG10(2.94927)</f>
        <v>0.4697145331969349</v>
      </c>
    </row>
    <row r="4409" spans="1:4">
      <c r="A4409">
        <v>1.0532859999999999</v>
      </c>
      <c r="B4409">
        <v>3.1421380000000001</v>
      </c>
      <c r="C4409">
        <f>LOG10(1.053286)</f>
        <v>2.2546311695547983E-2</v>
      </c>
      <c r="D4409">
        <f>LOG10(3.142138)</f>
        <v>0.49722525496314879</v>
      </c>
    </row>
    <row r="4410" spans="1:4">
      <c r="A4410">
        <v>1.014502</v>
      </c>
      <c r="B4410">
        <v>3.0446089999999999</v>
      </c>
      <c r="C4410">
        <f>LOG10(1.014502)</f>
        <v>6.2529075429553684E-3</v>
      </c>
      <c r="D4410">
        <f>LOG10(3.044609)</f>
        <v>0.48353152683893752</v>
      </c>
    </row>
    <row r="4411" spans="1:4">
      <c r="A4411">
        <v>1.0142169999999999</v>
      </c>
      <c r="B4411">
        <v>3.1691310000000001</v>
      </c>
      <c r="C4411">
        <f>LOG10(1.014217)</f>
        <v>6.1308857862145795E-3</v>
      </c>
      <c r="D4411">
        <f>LOG10(3.169131)</f>
        <v>0.50094019166781711</v>
      </c>
    </row>
    <row r="4412" spans="1:4">
      <c r="A4412">
        <v>1.0083580000000001</v>
      </c>
      <c r="B4412">
        <v>2.993817</v>
      </c>
      <c r="C4412">
        <f>LOG10(1.008358)</f>
        <v>3.6147482022391452E-3</v>
      </c>
      <c r="D4412">
        <f>LOG10(2.993817)</f>
        <v>0.47622525014225076</v>
      </c>
    </row>
    <row r="4413" spans="1:4">
      <c r="A4413">
        <v>1.0201629999999999</v>
      </c>
      <c r="B4413">
        <v>3.1156000000000001</v>
      </c>
      <c r="C4413">
        <f>LOG10(1.020163)</f>
        <v>8.6695681784792027E-3</v>
      </c>
      <c r="D4413">
        <f>LOG10(3.1156)</f>
        <v>0.49354169516748242</v>
      </c>
    </row>
    <row r="4414" spans="1:4">
      <c r="A4414">
        <v>1.0083569999999999</v>
      </c>
      <c r="B4414">
        <v>3.3027989999999998</v>
      </c>
      <c r="C4414">
        <f>LOG10(1.008357)</f>
        <v>3.6143175072902169E-3</v>
      </c>
      <c r="D4414">
        <f>LOG10(3.302799)</f>
        <v>0.51888214443103564</v>
      </c>
    </row>
    <row r="4415" spans="1:4">
      <c r="A4415">
        <v>1.031118</v>
      </c>
      <c r="B4415">
        <v>3.0372759999999999</v>
      </c>
      <c r="C4415">
        <f>LOG10(1.031118)</f>
        <v>1.3308368306253858E-2</v>
      </c>
      <c r="D4415">
        <f>LOG10(3.037276)</f>
        <v>0.4824842584413826</v>
      </c>
    </row>
    <row r="4416" spans="1:4">
      <c r="A4416">
        <v>1.0105489999999999</v>
      </c>
      <c r="B4416">
        <v>3.0661369999999999</v>
      </c>
      <c r="C4416">
        <f>LOG10(1.010549)</f>
        <v>4.5573766476383667E-3</v>
      </c>
      <c r="D4416">
        <f>LOG10(3.066137)</f>
        <v>0.48659155593739073</v>
      </c>
    </row>
    <row r="4417" spans="1:4">
      <c r="A4417">
        <v>1.022351</v>
      </c>
      <c r="B4417">
        <v>3.1726070000000002</v>
      </c>
      <c r="C4417">
        <f>LOG10(1.022351)</f>
        <v>9.6000261238151155E-3</v>
      </c>
      <c r="D4417">
        <f>LOG10(3.172607)</f>
        <v>0.50141627811928291</v>
      </c>
    </row>
    <row r="4418" spans="1:4">
      <c r="A4418">
        <v>1.026106</v>
      </c>
      <c r="B4418">
        <v>3.1643119999999998</v>
      </c>
      <c r="C4418">
        <f>LOG10(1.026106)</f>
        <v>1.1192227088865771E-2</v>
      </c>
      <c r="D4418">
        <f>LOG10(3.164312)</f>
        <v>0.50027929821312789</v>
      </c>
    </row>
    <row r="4419" spans="1:4">
      <c r="A4419">
        <v>1.036538</v>
      </c>
      <c r="B4419">
        <v>3.3639589999999999</v>
      </c>
      <c r="C4419">
        <f>LOG10(1.036538)</f>
        <v>1.5585228174019559E-2</v>
      </c>
      <c r="D4419">
        <f>LOG10(3.363959)</f>
        <v>0.52685069396824435</v>
      </c>
    </row>
    <row r="4420" spans="1:4">
      <c r="A4420">
        <v>1.011622</v>
      </c>
      <c r="B4420">
        <v>3.2836189999999998</v>
      </c>
      <c r="C4420">
        <f>LOG10(1.011622)</f>
        <v>5.0182654872241109E-3</v>
      </c>
      <c r="D4420">
        <f>LOG10(3.283619)</f>
        <v>0.51635275995873142</v>
      </c>
    </row>
    <row r="4421" spans="1:4">
      <c r="A4421">
        <v>1.02027</v>
      </c>
      <c r="B4421">
        <v>3.118741</v>
      </c>
      <c r="C4421">
        <f>LOG10(1.02027)</f>
        <v>8.7151168533009474E-3</v>
      </c>
      <c r="D4421">
        <f>LOG10(3.118741)</f>
        <v>0.49397930969099962</v>
      </c>
    </row>
    <row r="4422" spans="1:4">
      <c r="A4422">
        <v>1.016035</v>
      </c>
      <c r="B4422">
        <v>3.2671139999999999</v>
      </c>
      <c r="C4422">
        <f>LOG10(1.016035)</f>
        <v>6.9086686221684875E-3</v>
      </c>
      <c r="D4422">
        <f>LOG10(3.267114)</f>
        <v>0.51416428865577213</v>
      </c>
    </row>
    <row r="4423" spans="1:4">
      <c r="A4423">
        <v>1.0235909999999999</v>
      </c>
      <c r="B4423">
        <v>3.0886840000000002</v>
      </c>
      <c r="C4423">
        <f>LOG10(1.023591)</f>
        <v>1.0126458665401215E-2</v>
      </c>
      <c r="D4423">
        <f>LOG10(3.088684)</f>
        <v>0.48977347836414692</v>
      </c>
    </row>
    <row r="4424" spans="1:4">
      <c r="A4424">
        <v>1.024851</v>
      </c>
      <c r="B4424">
        <v>3.0770279999999999</v>
      </c>
      <c r="C4424">
        <f>LOG10(1.024851)</f>
        <v>1.0660729214638698E-2</v>
      </c>
      <c r="D4424">
        <f>LOG10(3.077028)</f>
        <v>0.48813144821046328</v>
      </c>
    </row>
    <row r="4425" spans="1:4">
      <c r="A4425">
        <v>1.019417</v>
      </c>
      <c r="B4425">
        <v>3.2418999999999998</v>
      </c>
      <c r="C4425">
        <f>LOG10(1.019417)</f>
        <v>8.3518716939603634E-3</v>
      </c>
      <c r="D4425">
        <f>LOG10(3.2419)</f>
        <v>0.51079961442427957</v>
      </c>
    </row>
    <row r="4426" spans="1:4">
      <c r="A4426">
        <v>1.036697</v>
      </c>
      <c r="B4426">
        <v>3.5652910000000002</v>
      </c>
      <c r="C4426">
        <f>LOG10(1.036697)</f>
        <v>1.5651841773305704E-2</v>
      </c>
      <c r="D4426">
        <f>LOG10(3.565291)</f>
        <v>0.55209498286573055</v>
      </c>
    </row>
    <row r="4427" spans="1:4">
      <c r="A4427">
        <v>1.030157</v>
      </c>
      <c r="B4427">
        <v>3.5647540000000002</v>
      </c>
      <c r="C4427">
        <f>LOG10(1.030157)</f>
        <v>1.290341794558136E-2</v>
      </c>
      <c r="D4427">
        <f>LOG10(3.564754)</f>
        <v>0.55202956500729539</v>
      </c>
    </row>
    <row r="4428" spans="1:4">
      <c r="A4428">
        <v>1.0242599999999999</v>
      </c>
      <c r="B4428">
        <v>3.50305</v>
      </c>
      <c r="C4428">
        <f>LOG10(1.02426)</f>
        <v>1.0410212726345203E-2</v>
      </c>
      <c r="D4428">
        <f>LOG10(3.50305)</f>
        <v>0.54444633616699989</v>
      </c>
    </row>
    <row r="4429" spans="1:4">
      <c r="A4429">
        <v>1.0214399999999999</v>
      </c>
      <c r="B4429">
        <v>3.385507</v>
      </c>
      <c r="C4429">
        <f>LOG10(1.02144)</f>
        <v>9.2128609985977494E-3</v>
      </c>
      <c r="D4429">
        <f>LOG10(3.385507)</f>
        <v>0.5296237160977707</v>
      </c>
    </row>
    <row r="4430" spans="1:4">
      <c r="A4430">
        <v>1.0383230000000001</v>
      </c>
      <c r="B4430">
        <v>3.551094</v>
      </c>
      <c r="C4430">
        <f>LOG10(1.038323)</f>
        <v>1.633247422225767E-2</v>
      </c>
      <c r="D4430">
        <f>LOG10(3.551094)</f>
        <v>0.55036216853957043</v>
      </c>
    </row>
    <row r="4431" spans="1:4">
      <c r="A4431">
        <v>1.0132699999999999</v>
      </c>
      <c r="B4431">
        <v>3.6421389999999998</v>
      </c>
      <c r="C4431">
        <f>LOG10(1.01327)</f>
        <v>5.725184635705551E-3</v>
      </c>
      <c r="D4431">
        <f>LOG10(3.642139)</f>
        <v>0.5613565163575932</v>
      </c>
    </row>
    <row r="4432" spans="1:4">
      <c r="A4432">
        <v>1.0228889999999999</v>
      </c>
      <c r="B4432">
        <v>3.6306069999999999</v>
      </c>
      <c r="C4432">
        <f>LOG10(1.022889)</f>
        <v>9.8285082937835111E-3</v>
      </c>
      <c r="D4432">
        <f>LOG10(3.630607)</f>
        <v>0.55997924065933224</v>
      </c>
    </row>
    <row r="4433" spans="1:4">
      <c r="A4433">
        <v>1.0109459999999999</v>
      </c>
      <c r="B4433">
        <v>3.3833850000000001</v>
      </c>
      <c r="C4433">
        <f>LOG10(1.010946)</f>
        <v>4.727958233575697E-3</v>
      </c>
      <c r="D4433">
        <f>LOG10(3.383385)</f>
        <v>0.52935141956215193</v>
      </c>
    </row>
    <row r="4434" spans="1:4">
      <c r="A4434">
        <v>1.0215559999999999</v>
      </c>
      <c r="B4434">
        <v>3.633292</v>
      </c>
      <c r="C4434">
        <f>LOG10(1.021556)</f>
        <v>9.2621789218388303E-3</v>
      </c>
      <c r="D4434">
        <f>LOG10(3.633292)</f>
        <v>0.56030030259508268</v>
      </c>
    </row>
    <row r="4435" spans="1:4">
      <c r="A4435">
        <v>1.014969</v>
      </c>
      <c r="B4435">
        <v>3.8084410000000002</v>
      </c>
      <c r="C4435">
        <f>LOG10(1.014969)</f>
        <v>6.4527778802290015E-3</v>
      </c>
      <c r="D4435">
        <f>LOG10(3.808441)</f>
        <v>0.58074723193336597</v>
      </c>
    </row>
    <row r="4436" spans="1:4">
      <c r="A4436">
        <v>1.0220800000000001</v>
      </c>
      <c r="B4436">
        <v>3.6936209999999998</v>
      </c>
      <c r="C4436">
        <f>LOG10(1.02208)</f>
        <v>9.4848901223701463E-3</v>
      </c>
      <c r="D4436">
        <f>LOG10(3.693621)</f>
        <v>0.5674523307217163</v>
      </c>
    </row>
    <row r="4437" spans="1:4">
      <c r="A4437">
        <v>1.016888</v>
      </c>
      <c r="B4437">
        <v>3.8068029999999999</v>
      </c>
      <c r="C4437">
        <f>LOG10(1.016888)</f>
        <v>7.2731223814145691E-3</v>
      </c>
      <c r="D4437">
        <f>LOG10(3.806803)</f>
        <v>0.58056040289090105</v>
      </c>
    </row>
    <row r="4438" spans="1:4">
      <c r="A4438">
        <v>1.0273429999999999</v>
      </c>
      <c r="B4438">
        <v>3.7466949999999999</v>
      </c>
      <c r="C4438">
        <f>LOG10(1.027343)</f>
        <v>1.1715466126307646E-2</v>
      </c>
      <c r="D4438">
        <f>LOG10(3.746695)</f>
        <v>0.57364834075638527</v>
      </c>
    </row>
    <row r="4439" spans="1:4">
      <c r="A4439">
        <v>1.0077179999999999</v>
      </c>
      <c r="B4439">
        <v>3.664466</v>
      </c>
      <c r="C4439">
        <f>LOG10(1.007718)</f>
        <v>3.3390160594481233E-3</v>
      </c>
      <c r="D4439">
        <f>LOG10(3.664466)</f>
        <v>0.5640106965350844</v>
      </c>
    </row>
    <row r="4440" spans="1:4">
      <c r="A4440">
        <v>1.015995</v>
      </c>
      <c r="B4440">
        <v>3.7159260000000001</v>
      </c>
      <c r="C4440">
        <f>LOG10(1.015995)</f>
        <v>6.8915706666477609E-3</v>
      </c>
      <c r="D4440">
        <f>LOG10(3.715926)</f>
        <v>0.57006705674473135</v>
      </c>
    </row>
    <row r="4441" spans="1:4">
      <c r="A4441">
        <v>1.0184789999999999</v>
      </c>
      <c r="B4441">
        <v>3.9220169999999999</v>
      </c>
      <c r="C4441">
        <f>LOG10(1.018479)</f>
        <v>7.9520787184668568E-3</v>
      </c>
      <c r="D4441">
        <f>LOG10(3.922017)</f>
        <v>0.59350947178719393</v>
      </c>
    </row>
    <row r="4442" spans="1:4">
      <c r="A4442">
        <v>1.0114209999999999</v>
      </c>
      <c r="B4442">
        <v>3.5828199999999999</v>
      </c>
      <c r="C4442">
        <f>LOG10(1.011421)</f>
        <v>4.9319665888320928E-3</v>
      </c>
      <c r="D4442">
        <f>LOG10(3.58282)</f>
        <v>0.55422498986569024</v>
      </c>
    </row>
    <row r="4443" spans="1:4">
      <c r="A4443">
        <v>1.0189550000000001</v>
      </c>
      <c r="B4443">
        <v>3.8282310000000002</v>
      </c>
      <c r="C4443">
        <f>LOG10(1.018955)</f>
        <v>8.1550047294661095E-3</v>
      </c>
      <c r="D4443">
        <f>LOG10(3.828231)</f>
        <v>0.58299813573972858</v>
      </c>
    </row>
    <row r="4444" spans="1:4">
      <c r="A4444">
        <v>1.014411</v>
      </c>
      <c r="B4444">
        <v>3.5592239999999999</v>
      </c>
      <c r="C4444">
        <f>LOG10(1.014411)</f>
        <v>6.2139499357245767E-3</v>
      </c>
      <c r="D4444">
        <f>LOG10(3.559224)</f>
        <v>0.55135532121616926</v>
      </c>
    </row>
    <row r="4445" spans="1:4">
      <c r="A4445">
        <v>1.158093</v>
      </c>
      <c r="B4445">
        <v>3.9028209999999999</v>
      </c>
      <c r="C4445">
        <f>LOG10(1.158093)</f>
        <v>6.3743436563308789E-2</v>
      </c>
      <c r="D4445">
        <f>LOG10(3.902821)</f>
        <v>0.59137863314265071</v>
      </c>
    </row>
    <row r="4446" spans="1:4">
      <c r="A4446">
        <v>1.1414770000000001</v>
      </c>
      <c r="B4446">
        <v>3.8314780000000002</v>
      </c>
      <c r="C4446">
        <f>LOG10(1.141477)</f>
        <v>5.7467165170348132E-2</v>
      </c>
      <c r="D4446">
        <f>LOG10(3.831478)</f>
        <v>0.58336633622024459</v>
      </c>
    </row>
    <row r="4447" spans="1:4">
      <c r="A4447">
        <v>1.114547</v>
      </c>
      <c r="B4447">
        <v>3.8947669999999999</v>
      </c>
      <c r="C4447">
        <f>LOG10(1.114547)</f>
        <v>4.7098387226542596E-2</v>
      </c>
      <c r="D4447">
        <f>LOG10(3.894767)</f>
        <v>0.59048148161294023</v>
      </c>
    </row>
    <row r="4448" spans="1:4">
      <c r="A4448">
        <v>1.1451009999999999</v>
      </c>
      <c r="B4448">
        <v>4.677467</v>
      </c>
      <c r="C4448">
        <f>LOG10(1.145101)</f>
        <v>5.8843793931962873E-2</v>
      </c>
      <c r="D4448">
        <f>LOG10(4.677467)</f>
        <v>0.67001073219161811</v>
      </c>
    </row>
    <row r="4449" spans="1:4">
      <c r="A4449">
        <v>1.160175</v>
      </c>
      <c r="B4449">
        <v>3.3690039999999999</v>
      </c>
      <c r="C4449">
        <f>LOG10(1.160175)</f>
        <v>6.4523502849362618E-2</v>
      </c>
      <c r="D4449">
        <f>LOG10(3.369004)</f>
        <v>0.52750152661688643</v>
      </c>
    </row>
    <row r="4450" spans="1:4">
      <c r="A4450">
        <v>1.1178939999999999</v>
      </c>
      <c r="B4450">
        <v>3.5938690000000002</v>
      </c>
      <c r="C4450">
        <f>LOG10(1.117894)</f>
        <v>4.8400625198375048E-2</v>
      </c>
      <c r="D4450">
        <f>LOG10(3.593869)</f>
        <v>0.55556224260767639</v>
      </c>
    </row>
    <row r="4451" spans="1:4">
      <c r="A4451">
        <v>1.13724</v>
      </c>
      <c r="B4451">
        <v>3.4801489999999999</v>
      </c>
      <c r="C4451">
        <f>LOG10(1.13724)</f>
        <v>5.5852126672436234E-2</v>
      </c>
      <c r="D4451">
        <f>LOG10(3.480149)</f>
        <v>0.5415978383409864</v>
      </c>
    </row>
    <row r="4452" spans="1:4">
      <c r="A4452">
        <v>1.1562060000000001</v>
      </c>
      <c r="B4452">
        <v>3.437862</v>
      </c>
      <c r="C4452">
        <f>LOG10(1.156206)</f>
        <v>6.3035218766938031E-2</v>
      </c>
      <c r="D4452">
        <f>LOG10(3.437862)</f>
        <v>0.53628843958740025</v>
      </c>
    </row>
    <row r="4453" spans="1:4">
      <c r="A4453">
        <v>1.134115</v>
      </c>
      <c r="B4453">
        <v>3.6555409999999999</v>
      </c>
      <c r="C4453">
        <f>LOG10(1.134115)</f>
        <v>5.4657094533222012E-2</v>
      </c>
      <c r="D4453">
        <f>LOG10(3.655541)</f>
        <v>0.56295165924954316</v>
      </c>
    </row>
    <row r="4454" spans="1:4">
      <c r="A4454">
        <v>1.170126</v>
      </c>
      <c r="B4454">
        <v>3.8090809999999999</v>
      </c>
      <c r="C4454">
        <f>LOG10(1.170126)</f>
        <v>6.8232629402922601E-2</v>
      </c>
      <c r="D4454">
        <f>LOG10(3.809081)</f>
        <v>0.58082020801904632</v>
      </c>
    </row>
    <row r="4455" spans="1:4">
      <c r="A4455">
        <v>1.1686019999999999</v>
      </c>
      <c r="B4455">
        <v>3.6080589999999999</v>
      </c>
      <c r="C4455">
        <f>LOG10(1.168602)</f>
        <v>6.7666625246729034E-2</v>
      </c>
      <c r="D4455">
        <f>LOG10(3.608059)</f>
        <v>0.55727363063402025</v>
      </c>
    </row>
    <row r="4456" spans="1:4">
      <c r="A4456">
        <v>1.1412819999999999</v>
      </c>
      <c r="B4456">
        <v>3.5629949999999999</v>
      </c>
      <c r="C4456">
        <f>LOG10(1.141282)</f>
        <v>5.7392967741554994E-2</v>
      </c>
      <c r="D4456">
        <f>LOG10(3.562995)</f>
        <v>0.5518152129000099</v>
      </c>
    </row>
    <row r="4457" spans="1:4">
      <c r="A4457">
        <v>1.1570389999999999</v>
      </c>
      <c r="B4457">
        <v>3.8136130000000001</v>
      </c>
      <c r="C4457">
        <f>LOG10(1.157039)</f>
        <v>6.3347997844867429E-2</v>
      </c>
      <c r="D4457">
        <f>LOG10(3.813613)</f>
        <v>0.58133661936230474</v>
      </c>
    </row>
    <row r="4458" spans="1:4">
      <c r="A4458">
        <v>1.1533800000000001</v>
      </c>
      <c r="B4458">
        <v>3.6875360000000001</v>
      </c>
      <c r="C4458">
        <f>LOG10(1.15338)</f>
        <v>6.1972416326702931E-2</v>
      </c>
      <c r="D4458">
        <f>LOG10(3.687536)</f>
        <v>0.56673626885741424</v>
      </c>
    </row>
    <row r="4459" spans="1:4">
      <c r="A4459">
        <v>1.152922</v>
      </c>
      <c r="B4459">
        <v>3.751932</v>
      </c>
      <c r="C4459">
        <f>LOG10(1.152922)</f>
        <v>6.1799926448684823E-2</v>
      </c>
      <c r="D4459">
        <f>LOG10(3.751932)</f>
        <v>0.57425495862696641</v>
      </c>
    </row>
    <row r="4460" spans="1:4">
      <c r="A4460">
        <v>1.156207</v>
      </c>
      <c r="B4460">
        <v>4.0538689999999997</v>
      </c>
      <c r="C4460">
        <f>LOG10(1.156207)</f>
        <v>6.3035594387107846E-2</v>
      </c>
      <c r="D4460">
        <f>LOG10(4.053869)</f>
        <v>0.60786971044076987</v>
      </c>
    </row>
    <row r="4461" spans="1:4">
      <c r="A4461">
        <v>1.133186</v>
      </c>
      <c r="B4461">
        <v>3.8972980000000002</v>
      </c>
      <c r="C4461">
        <f>LOG10(1.133186)</f>
        <v>5.430120036983882E-2</v>
      </c>
      <c r="D4461">
        <f>LOG10(3.897298)</f>
        <v>0.59076361462193194</v>
      </c>
    </row>
    <row r="4462" spans="1:4">
      <c r="A4462">
        <v>1.1444190000000001</v>
      </c>
      <c r="B4462">
        <v>3.440661</v>
      </c>
      <c r="C4462">
        <f>LOG10(1.144419)</f>
        <v>5.8585059485075822E-2</v>
      </c>
      <c r="D4462">
        <f>LOG10(3.440661)</f>
        <v>0.53664188474472285</v>
      </c>
    </row>
    <row r="4463" spans="1:4">
      <c r="A4463">
        <v>1.1488670000000001</v>
      </c>
      <c r="B4463">
        <v>4.0193839999999996</v>
      </c>
      <c r="C4463">
        <f>LOG10(1.148867)</f>
        <v>6.0269754963863706E-2</v>
      </c>
      <c r="D4463">
        <f>LOG10(4.019384)</f>
        <v>0.60415949937802282</v>
      </c>
    </row>
    <row r="4464" spans="1:4">
      <c r="A4464">
        <v>1.178571</v>
      </c>
      <c r="B4464">
        <v>4.0035679999999996</v>
      </c>
      <c r="C4464">
        <f>LOG10(1.178571)</f>
        <v>7.1355750610373414E-2</v>
      </c>
      <c r="D4464">
        <f>LOG10(4.003568)</f>
        <v>0.60244720933225326</v>
      </c>
    </row>
    <row r="4465" spans="1:4">
      <c r="A4465">
        <v>1.1655629999999999</v>
      </c>
      <c r="B4465">
        <v>4.0194859999999997</v>
      </c>
      <c r="C4465">
        <f>LOG10(1.165563)</f>
        <v>6.6535752599548845E-2</v>
      </c>
      <c r="D4465">
        <f>LOG10(4.019486)</f>
        <v>0.60417052033921681</v>
      </c>
    </row>
    <row r="4466" spans="1:4">
      <c r="A4466">
        <v>1.1831179999999999</v>
      </c>
      <c r="B4466">
        <v>4.0393249999999998</v>
      </c>
      <c r="C4466">
        <f>LOG10(1.183118)</f>
        <v>7.3028061781941309E-2</v>
      </c>
      <c r="D4466">
        <f>LOG10(4.039325)</f>
        <v>0.60630879747012345</v>
      </c>
    </row>
    <row r="4467" spans="1:4">
      <c r="A4467">
        <v>1.118546</v>
      </c>
      <c r="B4467">
        <v>3.9050729999999998</v>
      </c>
      <c r="C4467">
        <f>LOG10(1.118546)</f>
        <v>4.8653849081173713E-2</v>
      </c>
      <c r="D4467">
        <f>LOG10(3.905073)</f>
        <v>0.59162915683069439</v>
      </c>
    </row>
    <row r="4468" spans="1:4">
      <c r="A4468">
        <v>1.110449</v>
      </c>
      <c r="B4468">
        <v>3.878479</v>
      </c>
      <c r="C4468">
        <f>LOG10(1.110449)</f>
        <v>4.5498617339970168E-2</v>
      </c>
      <c r="D4468">
        <f>LOG10(3.878479)</f>
        <v>0.58866144430184641</v>
      </c>
    </row>
    <row r="4469" spans="1:4">
      <c r="A4469">
        <v>1.126104</v>
      </c>
      <c r="B4469">
        <v>3.977036</v>
      </c>
      <c r="C4469">
        <f>LOG10(1.126104)</f>
        <v>5.1578501119589074E-2</v>
      </c>
      <c r="D4469">
        <f>LOG10(3.977036)</f>
        <v>0.59955952222324116</v>
      </c>
    </row>
    <row r="4470" spans="1:4">
      <c r="A4470">
        <v>1.1033090000000001</v>
      </c>
      <c r="B4470">
        <v>3.5366339999999998</v>
      </c>
      <c r="C4470">
        <f>LOG10(1.103309)</f>
        <v>4.2697160854610845E-2</v>
      </c>
      <c r="D4470">
        <f>LOG10(3.536634)</f>
        <v>0.54859011777208477</v>
      </c>
    </row>
    <row r="4471" spans="1:4">
      <c r="A4471">
        <v>1.070524</v>
      </c>
      <c r="B4471">
        <v>3.579008</v>
      </c>
      <c r="C4471">
        <f>LOG10(1.070524)</f>
        <v>2.9596408156125346E-2</v>
      </c>
      <c r="D4471">
        <f>LOG10(3.579008)</f>
        <v>0.55376266915054417</v>
      </c>
    </row>
    <row r="4472" spans="1:4">
      <c r="A4472">
        <v>1.1342669999999999</v>
      </c>
      <c r="B4472">
        <v>3.7195010000000002</v>
      </c>
      <c r="C4472">
        <f>LOG10(1.134267)</f>
        <v>5.4715297041748413E-2</v>
      </c>
      <c r="D4472">
        <f>LOG10(3.719501)</f>
        <v>0.57048467980590734</v>
      </c>
    </row>
    <row r="4473" spans="1:4">
      <c r="A4473">
        <v>1.13354</v>
      </c>
      <c r="B4473">
        <v>3.3119179999999999</v>
      </c>
      <c r="C4473">
        <f>LOG10(1.13354)</f>
        <v>5.4436849978872853E-2</v>
      </c>
      <c r="D4473">
        <f>LOG10(3.311918)</f>
        <v>0.52007957551973438</v>
      </c>
    </row>
    <row r="4474" spans="1:4">
      <c r="A4474">
        <v>1.1230929999999999</v>
      </c>
      <c r="B4474">
        <v>3.4013070000000001</v>
      </c>
      <c r="C4474">
        <f>LOG10(1.123093)</f>
        <v>5.0415720388357281E-2</v>
      </c>
      <c r="D4474">
        <f>LOG10(3.401307)</f>
        <v>0.53164583287029665</v>
      </c>
    </row>
    <row r="4475" spans="1:4">
      <c r="A4475">
        <v>1.059126</v>
      </c>
      <c r="B4475">
        <v>3.6192829999999998</v>
      </c>
      <c r="C4475">
        <f>LOG10(1.059126)</f>
        <v>2.4947629465006095E-2</v>
      </c>
      <c r="D4475">
        <f>LOG10(3.619283)</f>
        <v>0.55862254291287705</v>
      </c>
    </row>
    <row r="4476" spans="1:4">
      <c r="A4476">
        <v>1.1172260000000001</v>
      </c>
      <c r="B4476">
        <v>3.7789809999999999</v>
      </c>
      <c r="C4476">
        <f>LOG10(1.117226)</f>
        <v>4.8141034015307581E-2</v>
      </c>
      <c r="D4476">
        <f>LOG10(3.778981)</f>
        <v>0.57737470837218785</v>
      </c>
    </row>
    <row r="4477" spans="1:4">
      <c r="A4477">
        <v>1.1259570000000001</v>
      </c>
      <c r="B4477">
        <v>3.5352589999999999</v>
      </c>
      <c r="C4477">
        <f>LOG10(1.125957)</f>
        <v>5.1521805240631623E-2</v>
      </c>
      <c r="D4477">
        <f>LOG10(3.535259)</f>
        <v>0.54842123656301056</v>
      </c>
    </row>
    <row r="4478" spans="1:4">
      <c r="A4478">
        <v>1.157543</v>
      </c>
      <c r="B4478">
        <v>3.4026990000000001</v>
      </c>
      <c r="C4478">
        <f>LOG10(1.157543)</f>
        <v>6.353713300822629E-2</v>
      </c>
      <c r="D4478">
        <f>LOG10(3.402699)</f>
        <v>0.53182353345646416</v>
      </c>
    </row>
    <row r="4479" spans="1:4">
      <c r="A4479">
        <v>1.1098440000000001</v>
      </c>
      <c r="B4479">
        <v>3.1767789999999998</v>
      </c>
      <c r="C4479">
        <f>LOG10(1.109844)</f>
        <v>4.5261938516000202E-2</v>
      </c>
      <c r="D4479">
        <f>LOG10(3.176779)</f>
        <v>0.50198700317498279</v>
      </c>
    </row>
    <row r="4480" spans="1:4">
      <c r="A4480">
        <v>1.1161369999999999</v>
      </c>
      <c r="B4480">
        <v>3.3391799999999998</v>
      </c>
      <c r="C4480">
        <f>LOG10(1.116137)</f>
        <v>4.7717505257756608E-2</v>
      </c>
      <c r="D4480">
        <f>LOG10(3.33918)</f>
        <v>0.5236398305247898</v>
      </c>
    </row>
    <row r="4481" spans="1:4">
      <c r="A4481">
        <v>1.144766</v>
      </c>
      <c r="B4481">
        <v>3.5849880000000001</v>
      </c>
      <c r="C4481">
        <f>LOG10(1.144766)</f>
        <v>5.871672222650965E-2</v>
      </c>
      <c r="D4481">
        <f>LOG10(3.584988)</f>
        <v>0.55448770629600719</v>
      </c>
    </row>
    <row r="4482" spans="1:4">
      <c r="A4482">
        <v>1.1146689999999999</v>
      </c>
      <c r="B4482">
        <v>3.601226</v>
      </c>
      <c r="C4482">
        <f>LOG10(1.114669)</f>
        <v>4.7145923155627149E-2</v>
      </c>
      <c r="D4482">
        <f>LOG10(3.601226)</f>
        <v>0.55645037698724142</v>
      </c>
    </row>
    <row r="4483" spans="1:4">
      <c r="A4483">
        <v>1.1499649999999999</v>
      </c>
      <c r="B4483">
        <v>3.2624680000000001</v>
      </c>
      <c r="C4483">
        <f>LOG10(1.149965)</f>
        <v>6.0684622494324408E-2</v>
      </c>
      <c r="D4483">
        <f>LOG10(3.262468)</f>
        <v>0.51354626057880415</v>
      </c>
    </row>
    <row r="4484" spans="1:4">
      <c r="A4484">
        <v>1.148957</v>
      </c>
      <c r="B4484">
        <v>3.1180270000000001</v>
      </c>
      <c r="C4484">
        <f>LOG10(1.148957)</f>
        <v>6.0303775413986294E-2</v>
      </c>
      <c r="D4484">
        <f>LOG10(3.118027)</f>
        <v>0.49387987156489532</v>
      </c>
    </row>
    <row r="4485" spans="1:4">
      <c r="A4485">
        <v>1.0926020000000001</v>
      </c>
      <c r="B4485">
        <v>3.1469149999999999</v>
      </c>
      <c r="C4485">
        <f>LOG10(1.092602)</f>
        <v>3.8461991152176009E-2</v>
      </c>
      <c r="D4485">
        <f>LOG10(3.146915)</f>
        <v>0.49788501252570661</v>
      </c>
    </row>
    <row r="4486" spans="1:4">
      <c r="A4486">
        <v>1.0974820000000001</v>
      </c>
      <c r="B4486">
        <v>3.0385749999999998</v>
      </c>
      <c r="C4486">
        <f>LOG10(1.097482)</f>
        <v>4.0397406030532233E-2</v>
      </c>
      <c r="D4486">
        <f>LOG10(3.038575)</f>
        <v>0.48266996034242921</v>
      </c>
    </row>
    <row r="4487" spans="1:4">
      <c r="A4487">
        <v>1.1424479999999999</v>
      </c>
      <c r="B4487">
        <v>3.0546790000000001</v>
      </c>
      <c r="C4487">
        <f>LOG10(1.142448)</f>
        <v>5.7836441716062378E-2</v>
      </c>
      <c r="D4487">
        <f>LOG10(3.054679)</f>
        <v>0.48496557927471529</v>
      </c>
    </row>
    <row r="4488" spans="1:4">
      <c r="A4488">
        <v>1.1155139999999999</v>
      </c>
      <c r="B4488">
        <v>2.9334410000000002</v>
      </c>
      <c r="C4488">
        <f>LOG10(1.115514)</f>
        <v>4.7475025166331529E-2</v>
      </c>
      <c r="D4488">
        <f>LOG10(2.933441)</f>
        <v>0.46737735771951916</v>
      </c>
    </row>
    <row r="4489" spans="1:4">
      <c r="A4489">
        <v>1.0977159999999999</v>
      </c>
      <c r="B4489">
        <v>3.045452</v>
      </c>
      <c r="C4489">
        <f>LOG10(1.097716)</f>
        <v>4.0489994406751786E-2</v>
      </c>
      <c r="D4489">
        <f>LOG10(3.045452)</f>
        <v>0.48365175888606571</v>
      </c>
    </row>
    <row r="4490" spans="1:4">
      <c r="A4490">
        <v>1.105059</v>
      </c>
      <c r="B4490">
        <v>3.0087929999999998</v>
      </c>
      <c r="C4490">
        <f>LOG10(1.105059)</f>
        <v>4.338546597623693E-2</v>
      </c>
      <c r="D4490">
        <f>LOG10(3.008793)</f>
        <v>0.47839231002318683</v>
      </c>
    </row>
    <row r="4491" spans="1:4">
      <c r="A4491">
        <v>1.0983430000000001</v>
      </c>
      <c r="B4491">
        <v>3.0125500000000001</v>
      </c>
      <c r="C4491">
        <f>LOG10(1.098343)</f>
        <v>4.0737986512202951E-2</v>
      </c>
      <c r="D4491">
        <f>LOG10(3.01255)</f>
        <v>0.47893426373027487</v>
      </c>
    </row>
    <row r="4492" spans="1:4">
      <c r="A4492">
        <v>1.0782989999999999</v>
      </c>
      <c r="B4492">
        <v>3.2570220000000001</v>
      </c>
      <c r="C4492">
        <f>LOG10(1.078299)</f>
        <v>3.2739202450814582E-2</v>
      </c>
      <c r="D4492">
        <f>LOG10(3.257022)</f>
        <v>0.51282069207618208</v>
      </c>
    </row>
    <row r="4493" spans="1:4">
      <c r="A4493">
        <v>1.064424</v>
      </c>
      <c r="B4493">
        <v>3.185489</v>
      </c>
      <c r="C4493">
        <f>LOG10(1.064424)</f>
        <v>2.7114658203720107E-2</v>
      </c>
      <c r="D4493">
        <f>LOG10(3.185489)</f>
        <v>0.50317610973275206</v>
      </c>
    </row>
    <row r="4494" spans="1:4">
      <c r="A4494">
        <v>1.0809310000000001</v>
      </c>
      <c r="B4494">
        <v>3.1559409999999999</v>
      </c>
      <c r="C4494">
        <f>LOG10(1.080931)</f>
        <v>3.3797972144185576E-2</v>
      </c>
      <c r="D4494">
        <f>LOG10(3.155941)</f>
        <v>0.4991288755215576</v>
      </c>
    </row>
    <row r="4495" spans="1:4">
      <c r="A4495">
        <v>1.1110100000000001</v>
      </c>
      <c r="B4495">
        <v>3.318587</v>
      </c>
      <c r="C4495">
        <f>LOG10(1.11101)</f>
        <v>4.5717967964516548E-2</v>
      </c>
      <c r="D4495">
        <f>LOG10(3.318587)</f>
        <v>0.52095320758139263</v>
      </c>
    </row>
    <row r="4496" spans="1:4">
      <c r="A4496">
        <v>1.0796650000000001</v>
      </c>
      <c r="B4496">
        <v>3.2713359999999998</v>
      </c>
      <c r="C4496">
        <f>LOG10(1.079665)</f>
        <v>3.3289022875545228E-2</v>
      </c>
      <c r="D4496">
        <f>LOG10(3.271336)</f>
        <v>0.51472515294545418</v>
      </c>
    </row>
    <row r="4497" spans="1:4">
      <c r="A4497">
        <v>1.0632079999999999</v>
      </c>
      <c r="B4497">
        <v>3.368131</v>
      </c>
      <c r="C4497">
        <f>LOG10(1.063208)</f>
        <v>2.6618235751440015E-2</v>
      </c>
      <c r="D4497">
        <f>LOG10(3.368131)</f>
        <v>0.52738897459445444</v>
      </c>
    </row>
    <row r="4498" spans="1:4">
      <c r="A4498">
        <v>1.045307</v>
      </c>
      <c r="B4498">
        <v>3.3730319999999998</v>
      </c>
      <c r="C4498">
        <f>LOG10(1.045307)</f>
        <v>1.924385870082973E-2</v>
      </c>
      <c r="D4498">
        <f>LOG10(3.373032)</f>
        <v>0.52802046136634295</v>
      </c>
    </row>
    <row r="4499" spans="1:4">
      <c r="A4499">
        <v>1.054495</v>
      </c>
      <c r="B4499">
        <v>3.4942160000000002</v>
      </c>
      <c r="C4499">
        <f>LOG10(1.054495)</f>
        <v>2.3044524826991535E-2</v>
      </c>
      <c r="D4499">
        <f>LOG10(3.494216)</f>
        <v>0.54334974801628966</v>
      </c>
    </row>
    <row r="4500" spans="1:4">
      <c r="A4500">
        <v>1.063445</v>
      </c>
      <c r="B4500">
        <v>3.3865129999999999</v>
      </c>
      <c r="C4500">
        <f>LOG10(1.063445)</f>
        <v>2.6715033670646576E-2</v>
      </c>
      <c r="D4500">
        <f>LOG10(3.386513)</f>
        <v>0.52975274709650033</v>
      </c>
    </row>
    <row r="4501" spans="1:4">
      <c r="A4501">
        <v>1.080913</v>
      </c>
      <c r="B4501">
        <v>3.4191009999999999</v>
      </c>
      <c r="C4501">
        <f>LOG10(1.080913)</f>
        <v>3.3790740076862981E-2</v>
      </c>
      <c r="D4501">
        <f>LOG10(3.419101)</f>
        <v>0.53391193001414361</v>
      </c>
    </row>
    <row r="4502" spans="1:4">
      <c r="A4502">
        <v>1.08707</v>
      </c>
      <c r="B4502">
        <v>3.2980719999999999</v>
      </c>
      <c r="C4502">
        <f>LOG10(1.08707)</f>
        <v>3.6257510631754183E-2</v>
      </c>
      <c r="D4502">
        <f>LOG10(3.298072)</f>
        <v>0.51826013246719504</v>
      </c>
    </row>
    <row r="4503" spans="1:4">
      <c r="A4503">
        <v>1.1160600000000001</v>
      </c>
      <c r="B4503">
        <v>3.2942049999999998</v>
      </c>
      <c r="C4503">
        <f>LOG10(1.11606)</f>
        <v>4.768754313961044E-2</v>
      </c>
      <c r="D4503">
        <f>LOG10(3.294205)</f>
        <v>0.51775062203426092</v>
      </c>
    </row>
    <row r="4504" spans="1:4">
      <c r="A4504">
        <v>1.103629</v>
      </c>
      <c r="B4504">
        <v>3.4064950000000001</v>
      </c>
      <c r="C4504">
        <f>LOG10(1.103629)</f>
        <v>4.2823103889877742E-2</v>
      </c>
      <c r="D4504">
        <f>LOG10(3.406495)</f>
        <v>0.5323077558252467</v>
      </c>
    </row>
    <row r="4505" spans="1:4">
      <c r="A4505">
        <v>1.0790040000000001</v>
      </c>
      <c r="B4505">
        <v>3.3396300000000001</v>
      </c>
      <c r="C4505">
        <f>LOG10(1.079004)</f>
        <v>3.3023054668737992E-2</v>
      </c>
      <c r="D4505">
        <f>LOG10(3.33963)</f>
        <v>0.52369835368000828</v>
      </c>
    </row>
    <row r="4506" spans="1:4">
      <c r="A4506">
        <v>1.071652</v>
      </c>
      <c r="B4506">
        <v>3.4056470000000001</v>
      </c>
      <c r="C4506">
        <f>LOG10(1.071652)</f>
        <v>3.0053778811817627E-2</v>
      </c>
      <c r="D4506">
        <f>LOG10(3.405647)</f>
        <v>0.53219963073843668</v>
      </c>
    </row>
    <row r="4507" spans="1:4">
      <c r="A4507">
        <v>1.065186</v>
      </c>
      <c r="B4507">
        <v>3.4586190000000001</v>
      </c>
      <c r="C4507">
        <f>LOG10(1.065186)</f>
        <v>2.7425449765868366E-2</v>
      </c>
      <c r="D4507">
        <f>LOG10(3.458619)</f>
        <v>0.53890272295361752</v>
      </c>
    </row>
    <row r="4508" spans="1:4">
      <c r="A4508">
        <v>1.0625260000000001</v>
      </c>
      <c r="B4508">
        <v>3.4151030000000002</v>
      </c>
      <c r="C4508">
        <f>LOG10(1.062526)</f>
        <v>2.6339566033760944E-2</v>
      </c>
      <c r="D4508">
        <f>LOG10(3.415103)</f>
        <v>0.53340380659941444</v>
      </c>
    </row>
    <row r="4509" spans="1:4">
      <c r="A4509">
        <v>1.061024</v>
      </c>
      <c r="B4509">
        <v>3.2615500000000002</v>
      </c>
      <c r="C4509">
        <f>LOG10(1.061024)</f>
        <v>2.5725207605093413E-2</v>
      </c>
      <c r="D4509">
        <f>LOG10(3.26155)</f>
        <v>0.51342404070233583</v>
      </c>
    </row>
    <row r="4510" spans="1:4">
      <c r="A4510">
        <v>1.0856209999999999</v>
      </c>
      <c r="B4510">
        <v>3.3754360000000001</v>
      </c>
      <c r="C4510">
        <f>LOG10(1.085621)</f>
        <v>3.5678235624331742E-2</v>
      </c>
      <c r="D4510">
        <f>LOG10(3.375436)</f>
        <v>0.52832987795649589</v>
      </c>
    </row>
    <row r="4511" spans="1:4">
      <c r="A4511">
        <v>1.076905</v>
      </c>
      <c r="B4511">
        <v>3.4787859999999999</v>
      </c>
      <c r="C4511">
        <f>LOG10(1.076905)</f>
        <v>3.2177393367128028E-2</v>
      </c>
      <c r="D4511">
        <f>LOG10(3.478786)</f>
        <v>0.5414277136347192</v>
      </c>
    </row>
    <row r="4512" spans="1:4">
      <c r="A4512">
        <v>1.0495209999999999</v>
      </c>
      <c r="B4512">
        <v>3.414536</v>
      </c>
      <c r="C4512">
        <f>LOG10(1.049521)</f>
        <v>2.0991132859225207E-2</v>
      </c>
      <c r="D4512">
        <f>LOG10(3.414536)</f>
        <v>0.53333169591485119</v>
      </c>
    </row>
    <row r="4513" spans="1:4">
      <c r="A4513">
        <v>1.047464</v>
      </c>
      <c r="B4513">
        <v>3.418733</v>
      </c>
      <c r="C4513">
        <f>LOG10(1.047464)</f>
        <v>2.0139105748102751E-2</v>
      </c>
      <c r="D4513">
        <f>LOG10(3.418733)</f>
        <v>0.53386518410908224</v>
      </c>
    </row>
    <row r="4514" spans="1:4">
      <c r="A4514">
        <v>1.073796</v>
      </c>
      <c r="B4514">
        <v>3.2245149999999998</v>
      </c>
      <c r="C4514">
        <f>LOG10(1.073796)</f>
        <v>3.0921781838838279E-2</v>
      </c>
      <c r="D4514">
        <f>LOG10(3.224515)</f>
        <v>0.50846440155621886</v>
      </c>
    </row>
    <row r="4515" spans="1:4">
      <c r="A4515">
        <v>1.098779</v>
      </c>
      <c r="B4515">
        <v>3.2635900000000002</v>
      </c>
      <c r="C4515">
        <f>LOG10(1.098779)</f>
        <v>4.0910350538047001E-2</v>
      </c>
      <c r="D4515">
        <f>LOG10(3.26359)</f>
        <v>0.51369559373321272</v>
      </c>
    </row>
    <row r="4516" spans="1:4">
      <c r="A4516">
        <v>1.087804</v>
      </c>
      <c r="B4516">
        <v>3.1891189999999998</v>
      </c>
      <c r="C4516">
        <f>LOG10(1.087804)</f>
        <v>3.6550651440665154E-2</v>
      </c>
      <c r="D4516">
        <f>LOG10(3.189119)</f>
        <v>0.50367072497488496</v>
      </c>
    </row>
    <row r="4517" spans="1:4">
      <c r="A4517">
        <v>1.0829770000000001</v>
      </c>
      <c r="B4517">
        <v>3.3466079999999998</v>
      </c>
      <c r="C4517">
        <f>LOG10(1.082977)</f>
        <v>3.4619233283535923E-2</v>
      </c>
      <c r="D4517">
        <f>LOG10(3.346608)</f>
        <v>0.52460484489224857</v>
      </c>
    </row>
    <row r="4518" spans="1:4">
      <c r="A4518">
        <v>1.067212</v>
      </c>
      <c r="B4518">
        <v>3.3409209999999998</v>
      </c>
      <c r="C4518">
        <f>LOG10(1.067212)</f>
        <v>2.8250699916254531E-2</v>
      </c>
      <c r="D4518">
        <f>LOG10(3.340921)</f>
        <v>0.52386620635656633</v>
      </c>
    </row>
    <row r="4519" spans="1:4">
      <c r="A4519">
        <v>1.079407</v>
      </c>
      <c r="B4519">
        <v>3.261199</v>
      </c>
      <c r="C4519">
        <f>LOG10(1.079407)</f>
        <v>3.3185230156391445E-2</v>
      </c>
      <c r="D4519">
        <f>LOG10(3.261199)</f>
        <v>0.51337730048182595</v>
      </c>
    </row>
    <row r="4520" spans="1:4">
      <c r="A4520">
        <v>1.0501</v>
      </c>
      <c r="B4520">
        <v>3.2750910000000002</v>
      </c>
      <c r="C4520">
        <f>LOG10(1.0501)</f>
        <v>2.1230658479702524E-2</v>
      </c>
      <c r="D4520">
        <f>LOG10(3.275091)</f>
        <v>0.51522337157934261</v>
      </c>
    </row>
    <row r="4521" spans="1:4">
      <c r="A4521">
        <v>1.0426280000000001</v>
      </c>
      <c r="B4521">
        <v>3.3576540000000001</v>
      </c>
      <c r="C4521">
        <f>LOG10(1.042628)</f>
        <v>1.8129383819667898E-2</v>
      </c>
      <c r="D4521">
        <f>LOG10(3.357654)</f>
        <v>0.52603594086909877</v>
      </c>
    </row>
    <row r="4522" spans="1:4">
      <c r="A4522">
        <v>1.03695</v>
      </c>
      <c r="B4522">
        <v>3.3682400000000001</v>
      </c>
      <c r="C4522">
        <f>LOG10(1.03695)</f>
        <v>1.5757815938114612E-2</v>
      </c>
      <c r="D4522">
        <f>LOG10(3.36824)</f>
        <v>0.52740302907528147</v>
      </c>
    </row>
    <row r="4523" spans="1:4">
      <c r="A4523">
        <v>1.0455380000000001</v>
      </c>
      <c r="B4523">
        <v>3.3678680000000001</v>
      </c>
      <c r="C4523">
        <f>LOG10(1.045538)</f>
        <v>1.9339821840830902E-2</v>
      </c>
      <c r="D4523">
        <f>LOG10(3.367868)</f>
        <v>0.52735506145141553</v>
      </c>
    </row>
    <row r="4524" spans="1:4">
      <c r="A4524">
        <v>1.056489</v>
      </c>
      <c r="B4524">
        <v>3.2865129999999998</v>
      </c>
      <c r="C4524">
        <f>LOG10(1.056489)</f>
        <v>2.3864979604923953E-2</v>
      </c>
      <c r="D4524">
        <f>LOG10(3.286513)</f>
        <v>0.51673535449774921</v>
      </c>
    </row>
    <row r="4525" spans="1:4">
      <c r="A4525">
        <v>1.0526580000000001</v>
      </c>
      <c r="B4525">
        <v>3.4134829999999998</v>
      </c>
      <c r="C4525">
        <f>LOG10(1.052658)</f>
        <v>2.2287295365845401E-2</v>
      </c>
      <c r="D4525">
        <f>LOG10(3.413483)</f>
        <v>0.53319774429782452</v>
      </c>
    </row>
    <row r="4526" spans="1:4">
      <c r="A4526">
        <v>1.065415</v>
      </c>
      <c r="B4526">
        <v>3.359016</v>
      </c>
      <c r="C4526">
        <f>LOG10(1.065415)</f>
        <v>2.751880693292013E-2</v>
      </c>
      <c r="D4526">
        <f>LOG10(3.359016)</f>
        <v>0.5262120725213788</v>
      </c>
    </row>
    <row r="4527" spans="1:4">
      <c r="A4527">
        <v>1.0548090000000001</v>
      </c>
      <c r="B4527">
        <v>3.32619</v>
      </c>
      <c r="C4527">
        <f>LOG10(1.054809)</f>
        <v>2.3173826689904628E-2</v>
      </c>
      <c r="D4527">
        <f>LOG10(3.32619)</f>
        <v>0.52194705354097537</v>
      </c>
    </row>
    <row r="4528" spans="1:4">
      <c r="A4528">
        <v>1.0670139999999999</v>
      </c>
      <c r="B4528">
        <v>3.2252839999999998</v>
      </c>
      <c r="C4528">
        <f>LOG10(1.067014)</f>
        <v>2.8170117721432041E-2</v>
      </c>
      <c r="D4528">
        <f>LOG10(3.225284)</f>
        <v>0.5085679621348248</v>
      </c>
    </row>
    <row r="4529" spans="1:4">
      <c r="A4529">
        <v>1.0679639999999999</v>
      </c>
      <c r="B4529">
        <v>3.2471220000000001</v>
      </c>
      <c r="C4529">
        <f>LOG10(1.067964)</f>
        <v>2.8556613305965522E-2</v>
      </c>
      <c r="D4529">
        <f>LOG10(3.247122)</f>
        <v>0.51149860612875198</v>
      </c>
    </row>
    <row r="4530" spans="1:4">
      <c r="A4530">
        <v>1.0660229999999999</v>
      </c>
      <c r="B4530">
        <v>3.2220780000000002</v>
      </c>
      <c r="C4530">
        <f>LOG10(1.066023)</f>
        <v>2.776657492069088E-2</v>
      </c>
      <c r="D4530">
        <f>LOG10(3.222078)</f>
        <v>0.50813604960261671</v>
      </c>
    </row>
    <row r="4531" spans="1:4">
      <c r="A4531">
        <v>1.0543929999999999</v>
      </c>
      <c r="B4531">
        <v>3.2973400000000002</v>
      </c>
      <c r="C4531">
        <f>LOG10(1.054393)</f>
        <v>2.3002514025859667E-2</v>
      </c>
      <c r="D4531">
        <f>LOG10(3.29734)</f>
        <v>0.51816373104085256</v>
      </c>
    </row>
    <row r="4532" spans="1:4">
      <c r="A4532">
        <v>1.0888869999999999</v>
      </c>
      <c r="B4532">
        <v>3.2617310000000002</v>
      </c>
      <c r="C4532">
        <f>LOG10(1.088887)</f>
        <v>3.6982812884537711E-2</v>
      </c>
      <c r="D4532">
        <f>LOG10(3.261731)</f>
        <v>0.51344814124353422</v>
      </c>
    </row>
    <row r="4533" spans="1:4">
      <c r="A4533">
        <v>1.08643</v>
      </c>
      <c r="B4533">
        <v>3.3004820000000001</v>
      </c>
      <c r="C4533">
        <f>LOG10(1.08643)</f>
        <v>3.6001749438792439E-2</v>
      </c>
      <c r="D4533">
        <f>LOG10(3.300482)</f>
        <v>0.51857736856101988</v>
      </c>
    </row>
    <row r="4534" spans="1:4">
      <c r="A4534">
        <v>1.060046</v>
      </c>
      <c r="B4534">
        <v>3.3303950000000002</v>
      </c>
      <c r="C4534">
        <f>LOG10(1.060046)</f>
        <v>2.5324711597510853E-2</v>
      </c>
      <c r="D4534">
        <f>LOG10(3.330395)</f>
        <v>0.52249574586273506</v>
      </c>
    </row>
    <row r="4535" spans="1:4">
      <c r="A4535">
        <v>1.073528</v>
      </c>
      <c r="B4535">
        <v>3.3197839999999998</v>
      </c>
      <c r="C4535">
        <f>LOG10(1.073528)</f>
        <v>3.0813376286854162E-2</v>
      </c>
      <c r="D4535">
        <f>LOG10(3.319784)</f>
        <v>0.52110982748120604</v>
      </c>
    </row>
    <row r="4536" spans="1:4">
      <c r="A4536">
        <v>1.111802</v>
      </c>
      <c r="B4536">
        <v>3.2143480000000002</v>
      </c>
      <c r="C4536">
        <f>LOG10(1.111802)</f>
        <v>4.6027450947533591E-2</v>
      </c>
      <c r="D4536">
        <f>LOG10(3.214348)</f>
        <v>0.50709289367752874</v>
      </c>
    </row>
    <row r="4537" spans="1:4">
      <c r="A4537">
        <v>1.0794250000000001</v>
      </c>
      <c r="B4537">
        <v>3.1167440000000002</v>
      </c>
      <c r="C4537">
        <f>LOG10(1.079425)</f>
        <v>3.3192472313886306E-2</v>
      </c>
      <c r="D4537">
        <f>LOG10(3.116744)</f>
        <v>0.49370113209614919</v>
      </c>
    </row>
    <row r="4538" spans="1:4">
      <c r="A4538">
        <v>1.0986929999999999</v>
      </c>
      <c r="B4538">
        <v>3.1881430000000002</v>
      </c>
      <c r="C4538">
        <f>LOG10(1.098693)</f>
        <v>4.087635754476858E-2</v>
      </c>
      <c r="D4538">
        <f>LOG10(3.188143)</f>
        <v>0.50353779287404088</v>
      </c>
    </row>
    <row r="4539" spans="1:4">
      <c r="A4539">
        <v>1.1401110000000001</v>
      </c>
      <c r="B4539">
        <v>3.0824919999999998</v>
      </c>
      <c r="C4539">
        <f>LOG10(1.140111)</f>
        <v>5.6947135845892866E-2</v>
      </c>
      <c r="D4539">
        <f>LOG10(3.082492)</f>
        <v>0.48890195814356363</v>
      </c>
    </row>
    <row r="4540" spans="1:4">
      <c r="A4540">
        <v>1.0806910000000001</v>
      </c>
      <c r="B4540">
        <v>2.9742280000000001</v>
      </c>
      <c r="C4540">
        <f>LOG10(1.080691)</f>
        <v>3.3701534676316466E-2</v>
      </c>
      <c r="D4540">
        <f>LOG10(2.974228)</f>
        <v>0.47337425784647513</v>
      </c>
    </row>
    <row r="4541" spans="1:4">
      <c r="A4541">
        <v>1.0893079999999999</v>
      </c>
      <c r="B4541">
        <v>2.836846</v>
      </c>
      <c r="C4541">
        <f>LOG10(1.089308)</f>
        <v>3.7150693151601064E-2</v>
      </c>
      <c r="D4541">
        <f>LOG10(2.836846)</f>
        <v>0.45283576048195429</v>
      </c>
    </row>
    <row r="4542" spans="1:4">
      <c r="A4542">
        <v>1.086193</v>
      </c>
      <c r="B4542">
        <v>2.894476</v>
      </c>
      <c r="C4542">
        <f>LOG10(1.086193)</f>
        <v>3.590699964315891E-2</v>
      </c>
      <c r="D4542">
        <f>LOG10(2.894476)</f>
        <v>0.4615699528971986</v>
      </c>
    </row>
    <row r="4543" spans="1:4">
      <c r="A4543">
        <v>1.100956</v>
      </c>
      <c r="B4543">
        <v>2.8829929999999999</v>
      </c>
      <c r="C4543">
        <f>LOG10(1.100956)</f>
        <v>4.1769962623844491E-2</v>
      </c>
      <c r="D4543">
        <f>LOG10(2.882993)</f>
        <v>0.45984358790847696</v>
      </c>
    </row>
    <row r="4544" spans="1:4">
      <c r="A4544">
        <v>1.1131180000000001</v>
      </c>
      <c r="B4544">
        <v>2.8189380000000002</v>
      </c>
      <c r="C4544">
        <f>LOG10(1.113118)</f>
        <v>4.6541205693623341E-2</v>
      </c>
      <c r="D4544">
        <f>LOG10(2.818938)</f>
        <v>0.45008552406103647</v>
      </c>
    </row>
    <row r="4545" spans="1:4">
      <c r="A4545">
        <v>1.1145080000000001</v>
      </c>
      <c r="B4545">
        <v>2.7105030000000001</v>
      </c>
      <c r="C4545">
        <f>LOG10(1.114508)</f>
        <v>4.7083190217230661E-2</v>
      </c>
      <c r="D4545">
        <f>LOG10(2.710503)</f>
        <v>0.4330498922964599</v>
      </c>
    </row>
    <row r="4546" spans="1:4">
      <c r="A4546">
        <v>1.0931139999999999</v>
      </c>
      <c r="B4546">
        <v>2.8705579999999999</v>
      </c>
      <c r="C4546">
        <f>LOG10(1.093114)</f>
        <v>3.8665456541825446E-2</v>
      </c>
      <c r="D4546">
        <f>LOG10(2.870558)</f>
        <v>0.45796632626912298</v>
      </c>
    </row>
    <row r="4547" spans="1:4">
      <c r="A4547">
        <v>1.071537</v>
      </c>
      <c r="B4547">
        <v>2.8951720000000001</v>
      </c>
      <c r="C4547">
        <f>LOG10(1.071537)</f>
        <v>3.0007171755261398E-2</v>
      </c>
      <c r="D4547">
        <f>LOG10(2.895172)</f>
        <v>0.46167436993977556</v>
      </c>
    </row>
    <row r="4548" spans="1:4">
      <c r="A4548">
        <v>1.105194</v>
      </c>
      <c r="B4548">
        <v>2.826702</v>
      </c>
      <c r="C4548">
        <f>LOG10(1.105194)</f>
        <v>4.3438518504730135E-2</v>
      </c>
      <c r="D4548">
        <f>LOG10(2.826702)</f>
        <v>0.4512800261841462</v>
      </c>
    </row>
    <row r="4549" spans="1:4">
      <c r="A4549">
        <v>1.0631809999999999</v>
      </c>
      <c r="B4549">
        <v>2.8001849999999999</v>
      </c>
      <c r="C4549">
        <f>LOG10(1.063181)</f>
        <v>2.6607206771312657E-2</v>
      </c>
      <c r="D4549">
        <f>LOG10(2.800185)</f>
        <v>0.44718672485115912</v>
      </c>
    </row>
    <row r="4550" spans="1:4">
      <c r="A4550">
        <v>1.056538</v>
      </c>
      <c r="B4550">
        <v>2.822851</v>
      </c>
      <c r="C4550">
        <f>LOG10(1.056538)</f>
        <v>2.3885121732418833E-2</v>
      </c>
      <c r="D4550">
        <f>LOG10(2.822851)</f>
        <v>0.45068795516229981</v>
      </c>
    </row>
    <row r="4551" spans="1:4">
      <c r="A4551">
        <v>1.07707</v>
      </c>
      <c r="B4551">
        <v>2.8135750000000002</v>
      </c>
      <c r="C4551">
        <f>LOG10(1.07707)</f>
        <v>3.2243929505805763E-2</v>
      </c>
      <c r="D4551">
        <f>LOG10(2.813575)</f>
        <v>0.44925849640560073</v>
      </c>
    </row>
    <row r="4552" spans="1:4">
      <c r="A4552">
        <v>1.1046050000000001</v>
      </c>
      <c r="B4552">
        <v>2.9773459999999998</v>
      </c>
      <c r="C4552">
        <f>LOG10(1.104605)</f>
        <v>4.3207004728229532E-2</v>
      </c>
      <c r="D4552">
        <f>LOG10(2.977346)</f>
        <v>0.47382930732362583</v>
      </c>
    </row>
    <row r="4553" spans="1:4">
      <c r="A4553">
        <v>1.105845</v>
      </c>
      <c r="B4553">
        <v>2.9279519999999999</v>
      </c>
      <c r="C4553">
        <f>LOG10(1.105845)</f>
        <v>4.3694258648516685E-2</v>
      </c>
      <c r="D4553">
        <f>LOG10(2.927952)</f>
        <v>0.46656395274632584</v>
      </c>
    </row>
    <row r="4554" spans="1:4">
      <c r="A4554">
        <v>1.0813170000000001</v>
      </c>
      <c r="B4554">
        <v>2.8986540000000001</v>
      </c>
      <c r="C4554">
        <f>LOG10(1.081317)</f>
        <v>3.3953030834766348E-2</v>
      </c>
      <c r="D4554">
        <f>LOG10(2.898654)</f>
        <v>0.46219637856345491</v>
      </c>
    </row>
    <row r="4555" spans="1:4">
      <c r="A4555">
        <v>1.1200319999999999</v>
      </c>
      <c r="B4555">
        <v>3.067288</v>
      </c>
      <c r="C4555">
        <f>LOG10(1.120032)</f>
        <v>4.9230430906690568E-2</v>
      </c>
      <c r="D4555">
        <f>LOG10(3.067288)</f>
        <v>0.4867545555516482</v>
      </c>
    </row>
    <row r="4556" spans="1:4">
      <c r="A4556">
        <v>1.102784</v>
      </c>
      <c r="B4556">
        <v>2.9187439999999998</v>
      </c>
      <c r="C4556">
        <f>LOG10(1.102784)</f>
        <v>4.2490456416218209E-2</v>
      </c>
      <c r="D4556">
        <f>LOG10(2.918744)</f>
        <v>0.46519600514116988</v>
      </c>
    </row>
    <row r="4557" spans="1:4">
      <c r="A4557">
        <v>1.080373</v>
      </c>
      <c r="B4557">
        <v>2.80606</v>
      </c>
      <c r="C4557">
        <f>LOG10(1.080373)</f>
        <v>3.3573722037503313E-2</v>
      </c>
      <c r="D4557">
        <f>LOG10(2.80606)</f>
        <v>0.44809695300393265</v>
      </c>
    </row>
    <row r="4558" spans="1:4">
      <c r="A4558">
        <v>1.091385</v>
      </c>
      <c r="B4558">
        <v>2.8669310000000001</v>
      </c>
      <c r="C4558">
        <f>LOG10(1.091385)</f>
        <v>3.7977980542971614E-2</v>
      </c>
      <c r="D4558">
        <f>LOG10(2.866931)</f>
        <v>0.4574172406688925</v>
      </c>
    </row>
    <row r="4559" spans="1:4">
      <c r="A4559">
        <v>1.0973850000000001</v>
      </c>
      <c r="B4559">
        <v>2.8556210000000002</v>
      </c>
      <c r="C4559">
        <f>LOG10(1.097385)</f>
        <v>4.0359019590923778E-2</v>
      </c>
      <c r="D4559">
        <f>LOG10(2.855621)</f>
        <v>0.45570056706390133</v>
      </c>
    </row>
    <row r="4560" spans="1:4">
      <c r="A4560">
        <v>1.0851059999999999</v>
      </c>
      <c r="B4560">
        <v>2.911019</v>
      </c>
      <c r="C4560">
        <f>LOG10(1.085106)</f>
        <v>3.5472164881786436E-2</v>
      </c>
      <c r="D4560">
        <f>LOG10(2.911019)</f>
        <v>0.46404504005517194</v>
      </c>
    </row>
    <row r="4561" spans="1:4">
      <c r="A4561">
        <v>1.0908519999999999</v>
      </c>
      <c r="B4561">
        <v>2.9623940000000002</v>
      </c>
      <c r="C4561">
        <f>LOG10(1.090852)</f>
        <v>3.7765832216774702E-2</v>
      </c>
      <c r="D4561">
        <f>LOG10(2.962394)</f>
        <v>0.471642819427043</v>
      </c>
    </row>
    <row r="4562" spans="1:4">
      <c r="A4562">
        <v>1.0892489999999999</v>
      </c>
      <c r="B4562">
        <v>2.936226</v>
      </c>
      <c r="C4562">
        <f>LOG10(1.089249)</f>
        <v>3.7127169897962463E-2</v>
      </c>
      <c r="D4562">
        <f>LOG10(2.936226)</f>
        <v>0.46778947998228604</v>
      </c>
    </row>
    <row r="4563" spans="1:4">
      <c r="A4563">
        <v>1.1198060000000001</v>
      </c>
      <c r="B4563">
        <v>2.9164590000000001</v>
      </c>
      <c r="C4563">
        <f>LOG10(1.119806)</f>
        <v>4.9142790145847014E-2</v>
      </c>
      <c r="D4563">
        <f>LOG10(2.916459)</f>
        <v>0.46485587543467216</v>
      </c>
    </row>
    <row r="4564" spans="1:4">
      <c r="A4564">
        <v>1.0917829999999999</v>
      </c>
      <c r="B4564">
        <v>2.860792</v>
      </c>
      <c r="C4564">
        <f>LOG10(1.091783)</f>
        <v>3.8136327684109919E-2</v>
      </c>
      <c r="D4564">
        <f>LOG10(2.860792)</f>
        <v>0.45648628264409785</v>
      </c>
    </row>
    <row r="4565" spans="1:4">
      <c r="A4565">
        <v>1.09277</v>
      </c>
      <c r="B4565">
        <v>2.945338</v>
      </c>
      <c r="C4565">
        <f>LOG10(1.09277)</f>
        <v>3.8528763741102243E-2</v>
      </c>
      <c r="D4565">
        <f>LOG10(2.945338)</f>
        <v>0.46913514058724165</v>
      </c>
    </row>
    <row r="4566" spans="1:4">
      <c r="A4566">
        <v>1.058764</v>
      </c>
      <c r="B4566">
        <v>2.9605809999999999</v>
      </c>
      <c r="C4566">
        <f>LOG10(1.058764)</f>
        <v>2.4799166037745957E-2</v>
      </c>
      <c r="D4566">
        <f>LOG10(2.960581)</f>
        <v>0.4713769476581155</v>
      </c>
    </row>
    <row r="4567" spans="1:4">
      <c r="A4567">
        <v>1.059623</v>
      </c>
      <c r="B4567">
        <v>2.9081860000000002</v>
      </c>
      <c r="C4567">
        <f>LOG10(1.059623)</f>
        <v>2.5151376451048132E-2</v>
      </c>
      <c r="D4567">
        <f>LOG10(2.908186)</f>
        <v>0.46362217941890499</v>
      </c>
    </row>
    <row r="4568" spans="1:4">
      <c r="A4568">
        <v>1.106239</v>
      </c>
      <c r="B4568">
        <v>2.9761639999999998</v>
      </c>
      <c r="C4568">
        <f>LOG10(1.106239)</f>
        <v>4.3848965276004015E-2</v>
      </c>
      <c r="D4568">
        <f>LOG10(2.976164)</f>
        <v>0.47365685910926003</v>
      </c>
    </row>
    <row r="4569" spans="1:4">
      <c r="A4569">
        <v>1.110635</v>
      </c>
      <c r="B4569">
        <v>3.0089389999999998</v>
      </c>
      <c r="C4569">
        <f>LOG10(1.110635)</f>
        <v>4.5571355492892658E-2</v>
      </c>
      <c r="D4569">
        <f>LOG10(3.008939)</f>
        <v>0.47841338340909711</v>
      </c>
    </row>
    <row r="4570" spans="1:4">
      <c r="A4570">
        <v>1.10772</v>
      </c>
      <c r="B4570">
        <v>3.0003039999999999</v>
      </c>
      <c r="C4570">
        <f>LOG10(1.10772)</f>
        <v>4.4429997014745717E-2</v>
      </c>
      <c r="D4570">
        <f>LOG10(3.000304)</f>
        <v>0.47716526099754819</v>
      </c>
    </row>
    <row r="4571" spans="1:4">
      <c r="A4571">
        <v>1.1183369999999999</v>
      </c>
      <c r="B4571">
        <v>2.8328500000000001</v>
      </c>
      <c r="C4571">
        <f>LOG10(1.118337)</f>
        <v>4.8572693699348232E-2</v>
      </c>
      <c r="D4571">
        <f>LOG10(2.83285)</f>
        <v>0.45222357914558586</v>
      </c>
    </row>
    <row r="4572" spans="1:4">
      <c r="A4572">
        <v>1.112897</v>
      </c>
      <c r="B4572">
        <v>2.8322069999999999</v>
      </c>
      <c r="C4572">
        <f>LOG10(1.112897)</f>
        <v>4.6454971700756291E-2</v>
      </c>
      <c r="D4572">
        <f>LOG10(2.832207)</f>
        <v>0.45212499183991073</v>
      </c>
    </row>
    <row r="4573" spans="1:4">
      <c r="A4573">
        <v>1.0797289999999999</v>
      </c>
      <c r="B4573">
        <v>3.0127039999999998</v>
      </c>
      <c r="C4573">
        <f>LOG10(1.079729)</f>
        <v>3.3314766067246121E-2</v>
      </c>
      <c r="D4573">
        <f>LOG10(3.012704)</f>
        <v>0.47895646407244385</v>
      </c>
    </row>
    <row r="4574" spans="1:4">
      <c r="A4574">
        <v>1.0834839999999999</v>
      </c>
      <c r="B4574">
        <v>2.9321459999999999</v>
      </c>
      <c r="C4574">
        <f>LOG10(1.083484)</f>
        <v>3.4822502399706939E-2</v>
      </c>
      <c r="D4574">
        <f>LOG10(2.932146)</f>
        <v>0.46718559128141063</v>
      </c>
    </row>
    <row r="4575" spans="1:4">
      <c r="A4575">
        <v>1.085723</v>
      </c>
      <c r="B4575">
        <v>2.8845109999999998</v>
      </c>
      <c r="C4575">
        <f>LOG10(1.085723)</f>
        <v>3.5719038037202971E-2</v>
      </c>
      <c r="D4575">
        <f>LOG10(2.884511)</f>
        <v>0.46007219946687455</v>
      </c>
    </row>
    <row r="4576" spans="1:4">
      <c r="A4576">
        <v>1.0818080000000001</v>
      </c>
      <c r="B4576">
        <v>2.9529589999999999</v>
      </c>
      <c r="C4576">
        <f>LOG10(1.081808)</f>
        <v>3.4150188737593713E-2</v>
      </c>
      <c r="D4576">
        <f>LOG10(2.952959)</f>
        <v>0.47025741709803792</v>
      </c>
    </row>
    <row r="4577" spans="1:4">
      <c r="A4577">
        <v>1.1040890000000001</v>
      </c>
      <c r="B4577">
        <v>2.9698530000000001</v>
      </c>
      <c r="C4577">
        <f>LOG10(1.104089)</f>
        <v>4.3004083040807856E-2</v>
      </c>
      <c r="D4577">
        <f>LOG10(2.969853)</f>
        <v>0.47273495340179061</v>
      </c>
    </row>
    <row r="4578" spans="1:4">
      <c r="A4578">
        <v>1.1094889999999999</v>
      </c>
      <c r="B4578">
        <v>3.1538599999999999</v>
      </c>
      <c r="C4578">
        <f>LOG10(1.109489)</f>
        <v>4.5123000787961526E-2</v>
      </c>
      <c r="D4578">
        <f>LOG10(3.15386)</f>
        <v>0.49884241106741439</v>
      </c>
    </row>
    <row r="4579" spans="1:4">
      <c r="A4579">
        <v>1.107092</v>
      </c>
      <c r="B4579">
        <v>3.0674260000000002</v>
      </c>
      <c r="C4579">
        <f>LOG10(1.107092)</f>
        <v>4.4183712506675105E-2</v>
      </c>
      <c r="D4579">
        <f>LOG10(3.067426)</f>
        <v>0.48677409440497138</v>
      </c>
    </row>
    <row r="4580" spans="1:4">
      <c r="A4580">
        <v>1.110241</v>
      </c>
      <c r="B4580">
        <v>3.0580660000000002</v>
      </c>
      <c r="C4580">
        <f>LOG10(1.110241)</f>
        <v>4.5417261317742812E-2</v>
      </c>
      <c r="D4580">
        <f>LOG10(3.058066)</f>
        <v>0.48544685423735184</v>
      </c>
    </row>
    <row r="4581" spans="1:4">
      <c r="A4581">
        <v>1.102063</v>
      </c>
      <c r="B4581">
        <v>2.814155</v>
      </c>
      <c r="C4581">
        <f>LOG10(1.102063)</f>
        <v>4.2206421893538446E-2</v>
      </c>
      <c r="D4581">
        <f>LOG10(2.814155)</f>
        <v>0.44934801413313763</v>
      </c>
    </row>
    <row r="4582" spans="1:4">
      <c r="A4582">
        <v>1.116595</v>
      </c>
      <c r="B4582">
        <v>3.142245</v>
      </c>
      <c r="C4582">
        <f>LOG10(1.116595)</f>
        <v>4.7895678791796167E-2</v>
      </c>
      <c r="D4582">
        <f>LOG10(3.142245)</f>
        <v>0.49724004384841186</v>
      </c>
    </row>
    <row r="4583" spans="1:4">
      <c r="A4583">
        <v>1.1054809999999999</v>
      </c>
      <c r="B4583">
        <v>3.1790120000000002</v>
      </c>
      <c r="C4583">
        <f>LOG10(1.105481)</f>
        <v>4.3551282721095236E-2</v>
      </c>
      <c r="D4583">
        <f>LOG10(3.179012)</f>
        <v>0.50229216727430315</v>
      </c>
    </row>
    <row r="4584" spans="1:4">
      <c r="A4584">
        <v>1.105283</v>
      </c>
      <c r="B4584">
        <v>3.1305649999999998</v>
      </c>
      <c r="C4584">
        <f>LOG10(1.105283)</f>
        <v>4.3473490331091845E-2</v>
      </c>
      <c r="D4584">
        <f>LOG10(3.130565)</f>
        <v>0.49562272548202346</v>
      </c>
    </row>
    <row r="4585" spans="1:4">
      <c r="A4585">
        <v>1.0619099999999999</v>
      </c>
      <c r="B4585">
        <v>3.3799410000000001</v>
      </c>
      <c r="C4585">
        <f>LOG10(1.06191)</f>
        <v>2.6087710568733991E-2</v>
      </c>
      <c r="D4585">
        <f>LOG10(3.379941)</f>
        <v>0.52890911933147988</v>
      </c>
    </row>
    <row r="4586" spans="1:4">
      <c r="A4586">
        <v>1.084784</v>
      </c>
      <c r="B4586">
        <v>3.1472220000000002</v>
      </c>
      <c r="C4586">
        <f>LOG10(1.084784)</f>
        <v>3.5343270952417384E-2</v>
      </c>
      <c r="D4586">
        <f>LOG10(3.147222)</f>
        <v>0.4979273784310087</v>
      </c>
    </row>
    <row r="4587" spans="1:4">
      <c r="A4587">
        <v>1.086276</v>
      </c>
      <c r="B4587">
        <v>2.9920599999999999</v>
      </c>
      <c r="C4587">
        <f>LOG10(1.086276)</f>
        <v>3.5940184413128497E-2</v>
      </c>
      <c r="D4587">
        <f>LOG10(2.99206)</f>
        <v>0.4759702982190428</v>
      </c>
    </row>
    <row r="4588" spans="1:4">
      <c r="A4588">
        <v>1.0292140000000001</v>
      </c>
      <c r="B4588">
        <v>3.9515910000000001</v>
      </c>
      <c r="C4588">
        <f>LOG10(1.029214)</f>
        <v>1.2505685118365048E-2</v>
      </c>
      <c r="D4588">
        <f>LOG10(3.951591)</f>
        <v>0.59677198762733596</v>
      </c>
    </row>
    <row r="4589" spans="1:4">
      <c r="A4589">
        <v>1.0106520000000001</v>
      </c>
      <c r="B4589">
        <v>3.965687</v>
      </c>
      <c r="C4589">
        <f>LOG10(1.010652)</f>
        <v>4.6016397681047008E-3</v>
      </c>
      <c r="D4589">
        <f>LOG10(3.965687)</f>
        <v>0.59831843363702553</v>
      </c>
    </row>
    <row r="4590" spans="1:4">
      <c r="A4590">
        <v>1.032438</v>
      </c>
      <c r="B4590">
        <v>3.8982169999999998</v>
      </c>
      <c r="C4590">
        <f>LOG10(1.032438)</f>
        <v>1.3863980845290849E-2</v>
      </c>
      <c r="D4590">
        <f>LOG10(3.898217)</f>
        <v>0.59086601109752546</v>
      </c>
    </row>
    <row r="4591" spans="1:4">
      <c r="A4591">
        <v>1.0153179999999999</v>
      </c>
      <c r="B4591">
        <v>3.6452200000000001</v>
      </c>
      <c r="C4591">
        <f>LOG10(1.015318)</f>
        <v>6.6020856142361478E-3</v>
      </c>
      <c r="D4591">
        <f>LOG10(3.64522)</f>
        <v>0.56172374442429607</v>
      </c>
    </row>
    <row r="4592" spans="1:4">
      <c r="A4592">
        <v>1.021387</v>
      </c>
      <c r="B4592">
        <v>3.9581230000000001</v>
      </c>
      <c r="C4592">
        <f>LOG10(1.021387)</f>
        <v>9.1903259454131428E-3</v>
      </c>
      <c r="D4592">
        <f>LOG10(3.958123)</f>
        <v>0.59748928592678752</v>
      </c>
    </row>
    <row r="4593" spans="1:4">
      <c r="A4593">
        <v>1.0094650000000001</v>
      </c>
      <c r="B4593">
        <v>3.4501249999999999</v>
      </c>
      <c r="C4593">
        <f>LOG10(1.009465)</f>
        <v>4.0912657557603373E-3</v>
      </c>
      <c r="D4593">
        <f>LOG10(3.450125)</f>
        <v>0.53783483009553645</v>
      </c>
    </row>
    <row r="4594" spans="1:4">
      <c r="A4594">
        <v>1.0189319999999999</v>
      </c>
      <c r="B4594">
        <v>3.7284519999999999</v>
      </c>
      <c r="C4594">
        <f>LOG10(1.018932)</f>
        <v>8.1452016608128969E-3</v>
      </c>
      <c r="D4594">
        <f>LOG10(3.728452)</f>
        <v>0.57152855636610522</v>
      </c>
    </row>
    <row r="4595" spans="1:4">
      <c r="A4595">
        <v>1.0378689999999999</v>
      </c>
      <c r="B4595">
        <v>3.6056460000000001</v>
      </c>
      <c r="C4595">
        <f>LOG10(1.037869)</f>
        <v>1.6142540248976971E-2</v>
      </c>
      <c r="D4595">
        <f>LOG10(3.605646)</f>
        <v>0.55698308572709143</v>
      </c>
    </row>
    <row r="4596" spans="1:4">
      <c r="A4596">
        <v>1.010567</v>
      </c>
      <c r="B4596">
        <v>3.5702219999999998</v>
      </c>
      <c r="C4596">
        <f>LOG10(1.010567)</f>
        <v>4.5651122755533376E-3</v>
      </c>
      <c r="D4596">
        <f>LOG10(3.570222)</f>
        <v>0.55269522182014275</v>
      </c>
    </row>
    <row r="4597" spans="1:4">
      <c r="A4597">
        <v>1.026411</v>
      </c>
      <c r="B4597">
        <v>4.0159149999999997</v>
      </c>
      <c r="C4597">
        <f>LOG10(1.026411)</f>
        <v>1.1321297706020667E-2</v>
      </c>
      <c r="D4597">
        <f>LOG10(4.015915)</f>
        <v>0.60378451204990435</v>
      </c>
    </row>
    <row r="4598" spans="1:4">
      <c r="A4598">
        <v>1.0206919999999999</v>
      </c>
      <c r="B4598">
        <v>4.0327330000000003</v>
      </c>
      <c r="C4598">
        <f>LOG10(1.020692)</f>
        <v>8.8947108623759642E-3</v>
      </c>
      <c r="D4598">
        <f>LOG10(4.032733)</f>
        <v>0.60559946910277773</v>
      </c>
    </row>
    <row r="4599" spans="1:4">
      <c r="A4599">
        <v>1.032311</v>
      </c>
      <c r="B4599">
        <v>3.8558349999999999</v>
      </c>
      <c r="C4599">
        <f>LOG10(1.032311)</f>
        <v>1.3810555078506349E-2</v>
      </c>
      <c r="D4599">
        <f>LOG10(3.855835)</f>
        <v>0.58611844117407386</v>
      </c>
    </row>
    <row r="4600" spans="1:4">
      <c r="A4600">
        <v>1.0030110000000001</v>
      </c>
      <c r="B4600">
        <v>3.8530440000000001</v>
      </c>
      <c r="C4600">
        <f>LOG10(1.003011)</f>
        <v>1.3056959447500648E-3</v>
      </c>
      <c r="D4600">
        <f>LOG10(3.853044)</f>
        <v>0.58580396848564442</v>
      </c>
    </row>
    <row r="4601" spans="1:4">
      <c r="A4601">
        <v>1.0277780000000001</v>
      </c>
      <c r="B4601">
        <v>3.9889559999999999</v>
      </c>
      <c r="C4601">
        <f>LOG10(1.027778)</f>
        <v>1.1899317201207215E-2</v>
      </c>
      <c r="D4601">
        <f>LOG10(3.988956)</f>
        <v>0.60085924587048289</v>
      </c>
    </row>
    <row r="4602" spans="1:4">
      <c r="A4602">
        <v>1.0172239999999999</v>
      </c>
      <c r="B4602">
        <v>3.8886090000000002</v>
      </c>
      <c r="C4602">
        <f>LOG10(1.017224)</f>
        <v>7.4165982050138895E-3</v>
      </c>
      <c r="D4602">
        <f>LOG10(3.888609)</f>
        <v>0.58979427699181552</v>
      </c>
    </row>
    <row r="4603" spans="1:4">
      <c r="A4603">
        <v>1.017164</v>
      </c>
      <c r="B4603">
        <v>4.273434</v>
      </c>
      <c r="C4603">
        <f>LOG10(1.017164)</f>
        <v>7.3909809983436492E-3</v>
      </c>
      <c r="D4603">
        <f>LOG10(4.273434)</f>
        <v>0.63077700099267842</v>
      </c>
    </row>
    <row r="4604" spans="1:4">
      <c r="A4604">
        <v>1.0089950000000001</v>
      </c>
      <c r="B4604">
        <v>4.2519799999999996</v>
      </c>
      <c r="C4604">
        <f>LOG10(1.008995)</f>
        <v>3.8890141281000606E-3</v>
      </c>
      <c r="D4604">
        <f>LOG10(4.25198)</f>
        <v>0.62859121306902344</v>
      </c>
    </row>
    <row r="4605" spans="1:4">
      <c r="A4605">
        <v>1.022079</v>
      </c>
      <c r="B4605">
        <v>3.715719</v>
      </c>
      <c r="C4605">
        <f>LOG10(1.022079)</f>
        <v>9.4844652097464573E-3</v>
      </c>
      <c r="D4605">
        <f>LOG10(3.715719)</f>
        <v>0.57004286318925956</v>
      </c>
    </row>
    <row r="4606" spans="1:4">
      <c r="A4606">
        <v>1.0124390000000001</v>
      </c>
      <c r="B4606">
        <v>4.1454810000000002</v>
      </c>
      <c r="C4606">
        <f>LOG10(1.012439)</f>
        <v>5.3688661963776415E-3</v>
      </c>
      <c r="D4606">
        <f>LOG10(4.145481)</f>
        <v>0.61757492898188948</v>
      </c>
    </row>
    <row r="4607" spans="1:4">
      <c r="A4607">
        <v>1.0209189999999999</v>
      </c>
      <c r="B4607">
        <v>4.1510569999999998</v>
      </c>
      <c r="C4607">
        <f>LOG10(1.020919)</f>
        <v>8.9912864076666984E-3</v>
      </c>
      <c r="D4607">
        <f>LOG10(4.151057)</f>
        <v>0.6181586969091164</v>
      </c>
    </row>
    <row r="4608" spans="1:4">
      <c r="A4608">
        <v>1.0076339999999999</v>
      </c>
      <c r="B4608">
        <v>4.349831</v>
      </c>
      <c r="C4608">
        <f>LOG10(1.007634)</f>
        <v>3.3028132159736469E-3</v>
      </c>
      <c r="D4608">
        <f>LOG10(4.349831)</f>
        <v>0.6384723840366574</v>
      </c>
    </row>
    <row r="4609" spans="1:4">
      <c r="A4609">
        <v>1.0286489999999999</v>
      </c>
      <c r="B4609">
        <v>4.1214649999999997</v>
      </c>
      <c r="C4609">
        <f>LOG10(1.028649)</f>
        <v>1.2267208224187929E-2</v>
      </c>
      <c r="D4609">
        <f>LOG10(4.121465)</f>
        <v>0.61505161611192871</v>
      </c>
    </row>
    <row r="4610" spans="1:4">
      <c r="A4610">
        <v>1.0129429999999999</v>
      </c>
      <c r="B4610">
        <v>4.1672729999999998</v>
      </c>
      <c r="C4610">
        <f>LOG10(1.012943)</f>
        <v>5.5850075696070988E-3</v>
      </c>
      <c r="D4610">
        <f>LOG10(4.167273)</f>
        <v>0.6198519522235213</v>
      </c>
    </row>
    <row r="4611" spans="1:4">
      <c r="A4611">
        <v>1.0171509999999999</v>
      </c>
      <c r="B4611">
        <v>4.1416029999999999</v>
      </c>
      <c r="C4611">
        <f>LOG10(1.017151)</f>
        <v>7.3854304043944946E-3</v>
      </c>
      <c r="D4611">
        <f>LOG10(4.141603)</f>
        <v>0.6171684665582533</v>
      </c>
    </row>
    <row r="4612" spans="1:4">
      <c r="A4612">
        <v>1.000956</v>
      </c>
      <c r="B4612">
        <v>4.1265049999999999</v>
      </c>
      <c r="C4612">
        <f>LOG10(1.000956)</f>
        <v>4.1498719241239625E-4</v>
      </c>
      <c r="D4612">
        <f>LOG10(4.126505)</f>
        <v>0.61558237567124474</v>
      </c>
    </row>
    <row r="4613" spans="1:4">
      <c r="A4613">
        <v>1.024553</v>
      </c>
      <c r="B4613">
        <v>3.9262950000000001</v>
      </c>
      <c r="C4613">
        <f>LOG10(1.024553)</f>
        <v>1.0534429318162201E-2</v>
      </c>
      <c r="D4613">
        <f>LOG10(3.926295)</f>
        <v>0.5939829269652217</v>
      </c>
    </row>
    <row r="4614" spans="1:4">
      <c r="A4614">
        <v>1.007347</v>
      </c>
      <c r="B4614">
        <v>3.3641299999999998</v>
      </c>
      <c r="C4614">
        <f>LOG10(1.007347)</f>
        <v>3.179097392202521E-3</v>
      </c>
      <c r="D4614">
        <f>LOG10(3.36413)</f>
        <v>0.52687276988205034</v>
      </c>
    </row>
    <row r="4615" spans="1:4">
      <c r="A4615">
        <v>1.0077069999999999</v>
      </c>
      <c r="B4615">
        <v>3.807696</v>
      </c>
      <c r="C4615">
        <f>LOG10(1.007707)</f>
        <v>3.334275382617206E-3</v>
      </c>
      <c r="D4615">
        <f>LOG10(3.807696)</f>
        <v>0.58066226776057084</v>
      </c>
    </row>
    <row r="4616" spans="1:4">
      <c r="A4616">
        <v>1.0198370000000001</v>
      </c>
      <c r="B4616">
        <v>3.3770859999999998</v>
      </c>
      <c r="C4616">
        <f>LOG10(1.019837)</f>
        <v>8.5307642546502086E-3</v>
      </c>
      <c r="D4616">
        <f>LOG10(3.377086)</f>
        <v>0.52854212040736159</v>
      </c>
    </row>
    <row r="4617" spans="1:4">
      <c r="A4617">
        <v>1.011023</v>
      </c>
      <c r="B4617">
        <v>3.3342540000000001</v>
      </c>
      <c r="C4617">
        <f>LOG10(1.011023)</f>
        <v>4.7610355706889382E-3</v>
      </c>
      <c r="D4617">
        <f>LOG10(3.334254)</f>
        <v>0.52299868085389889</v>
      </c>
    </row>
    <row r="4618" spans="1:4">
      <c r="A4618">
        <v>1.0083409999999999</v>
      </c>
      <c r="B4618">
        <v>3.4192469999999999</v>
      </c>
      <c r="C4618">
        <f>LOG10(1.008341)</f>
        <v>3.6074263300186521E-3</v>
      </c>
      <c r="D4618">
        <f>LOG10(3.419247)</f>
        <v>0.5339304745498612</v>
      </c>
    </row>
    <row r="4619" spans="1:4">
      <c r="A4619">
        <v>1.0060709999999999</v>
      </c>
      <c r="B4619">
        <v>3.6819730000000002</v>
      </c>
      <c r="C4619">
        <f>LOG10(1.006071)</f>
        <v>2.6286306405405202E-3</v>
      </c>
      <c r="D4619">
        <f>LOG10(3.681973)</f>
        <v>0.56608059948738632</v>
      </c>
    </row>
    <row r="4620" spans="1:4">
      <c r="A4620">
        <v>1.0223359999999999</v>
      </c>
      <c r="B4620">
        <v>3.4792239999999999</v>
      </c>
      <c r="C4620">
        <f>LOG10(1.022336)</f>
        <v>9.5936540803397974E-3</v>
      </c>
      <c r="D4620">
        <f>LOG10(3.479224)</f>
        <v>0.54148239046999969</v>
      </c>
    </row>
    <row r="4621" spans="1:4">
      <c r="A4621">
        <v>1.0180370000000001</v>
      </c>
      <c r="B4621">
        <v>3.5858530000000002</v>
      </c>
      <c r="C4621">
        <f>LOG10(1.018037)</f>
        <v>7.7635624838630129E-3</v>
      </c>
      <c r="D4621">
        <f>LOG10(3.585853)</f>
        <v>0.55459248193631727</v>
      </c>
    </row>
    <row r="4622" spans="1:4">
      <c r="A4622">
        <v>1.0281290000000001</v>
      </c>
      <c r="B4622">
        <v>3.1198899999999998</v>
      </c>
      <c r="C4622">
        <f>LOG10(1.028129)</f>
        <v>1.2047609283124455E-2</v>
      </c>
      <c r="D4622">
        <f>LOG10(3.11989)</f>
        <v>0.49413928208409319</v>
      </c>
    </row>
    <row r="4623" spans="1:4">
      <c r="A4623">
        <v>1.0114730000000001</v>
      </c>
      <c r="B4623">
        <v>3.1588310000000002</v>
      </c>
      <c r="C4623">
        <f>LOG10(1.011473)</f>
        <v>4.9542943163986526E-3</v>
      </c>
      <c r="D4623">
        <f>LOG10(3.158831)</f>
        <v>0.49952639142247313</v>
      </c>
    </row>
    <row r="4624" spans="1:4">
      <c r="A4624">
        <v>1.026483</v>
      </c>
      <c r="B4624">
        <v>3.2649889999999999</v>
      </c>
      <c r="C4624">
        <f>LOG10(1.026483)</f>
        <v>1.1351761239656488E-2</v>
      </c>
      <c r="D4624">
        <f>LOG10(3.264989)</f>
        <v>0.51388172244192021</v>
      </c>
    </row>
    <row r="4625" spans="1:4">
      <c r="A4625">
        <v>1.0119320000000001</v>
      </c>
      <c r="B4625">
        <v>3.6081400000000001</v>
      </c>
      <c r="C4625">
        <f>LOG10(1.011932)</f>
        <v>5.1513296806612431E-3</v>
      </c>
      <c r="D4625">
        <f>LOG10(3.60814)</f>
        <v>0.55728338032441416</v>
      </c>
    </row>
    <row r="4626" spans="1:4">
      <c r="A4626">
        <v>1.02528</v>
      </c>
      <c r="B4626">
        <v>3.3778510000000002</v>
      </c>
      <c r="C4626">
        <f>LOG10(1.02528)</f>
        <v>1.0842485732106012E-2</v>
      </c>
      <c r="D4626">
        <f>LOG10(3.377851)</f>
        <v>0.52864048854316403</v>
      </c>
    </row>
    <row r="4627" spans="1:4">
      <c r="A4627">
        <v>1.0339229999999999</v>
      </c>
      <c r="B4627">
        <v>3.3486899999999999</v>
      </c>
      <c r="C4627">
        <f>LOG10(1.033923)</f>
        <v>1.4488196475235188E-2</v>
      </c>
      <c r="D4627">
        <f>LOG10(3.34869)</f>
        <v>0.52487494523444922</v>
      </c>
    </row>
    <row r="4628" spans="1:4">
      <c r="A4628">
        <v>1.0353779999999999</v>
      </c>
      <c r="B4628">
        <v>3.3110430000000002</v>
      </c>
      <c r="C4628">
        <f>LOG10(1.035378)</f>
        <v>1.509893273381349E-2</v>
      </c>
      <c r="D4628">
        <f>LOG10(3.311043)</f>
        <v>0.51996482090352081</v>
      </c>
    </row>
    <row r="4629" spans="1:4">
      <c r="A4629">
        <v>1.0081880000000001</v>
      </c>
      <c r="B4629">
        <v>3.2288830000000002</v>
      </c>
      <c r="C4629">
        <f>LOG10(1.008188)</f>
        <v>3.541523924589683E-3</v>
      </c>
      <c r="D4629">
        <f>LOG10(3.228883)</f>
        <v>0.50905230845012006</v>
      </c>
    </row>
    <row r="4630" spans="1:4">
      <c r="A4630">
        <v>1.017768</v>
      </c>
      <c r="B4630">
        <v>3.2116959999999999</v>
      </c>
      <c r="C4630">
        <f>LOG10(1.017768)</f>
        <v>7.6487919470857564E-3</v>
      </c>
      <c r="D4630">
        <f>LOG10(3.211696)</f>
        <v>0.50673443082498826</v>
      </c>
    </row>
    <row r="4631" spans="1:4">
      <c r="A4631">
        <v>1.016384</v>
      </c>
      <c r="B4631">
        <v>3.08467</v>
      </c>
      <c r="C4631">
        <f>LOG10(1.016384)</f>
        <v>7.057819732912831E-3</v>
      </c>
      <c r="D4631">
        <f>LOG10(3.08467)</f>
        <v>0.48920870974856773</v>
      </c>
    </row>
    <row r="4632" spans="1:4">
      <c r="A4632">
        <v>1.019312</v>
      </c>
      <c r="B4632">
        <v>3.0966670000000001</v>
      </c>
      <c r="C4632">
        <f>LOG10(1.019312)</f>
        <v>8.3071370375737922E-3</v>
      </c>
      <c r="D4632">
        <f>LOG10(3.096667)</f>
        <v>0.49089450602257551</v>
      </c>
    </row>
    <row r="4633" spans="1:4">
      <c r="A4633">
        <v>1.017992</v>
      </c>
      <c r="B4633">
        <v>3.1671610000000001</v>
      </c>
      <c r="C4633">
        <f>LOG10(1.017992)</f>
        <v>7.7443650640926067E-3</v>
      </c>
      <c r="D4633">
        <f>LOG10(3.167161)</f>
        <v>0.50067014093249229</v>
      </c>
    </row>
    <row r="4634" spans="1:4">
      <c r="A4634">
        <v>1.011441</v>
      </c>
      <c r="B4634">
        <v>3.0771109999999999</v>
      </c>
      <c r="C4634">
        <f>LOG10(1.011441)</f>
        <v>4.9405543122046265E-3</v>
      </c>
      <c r="D4634">
        <f>LOG10(3.077111)</f>
        <v>0.48814316274664782</v>
      </c>
    </row>
    <row r="4635" spans="1:4">
      <c r="A4635">
        <v>1.0207219999999999</v>
      </c>
      <c r="B4635">
        <v>3.3212540000000002</v>
      </c>
      <c r="C4635">
        <f>LOG10(1.020722)</f>
        <v>8.9074753819276334E-3</v>
      </c>
      <c r="D4635">
        <f>LOG10(3.321254)</f>
        <v>0.52130209046745146</v>
      </c>
    </row>
    <row r="4636" spans="1:4">
      <c r="A4636">
        <v>1.0189079999999999</v>
      </c>
      <c r="B4636">
        <v>3.2974600000000001</v>
      </c>
      <c r="C4636">
        <f>LOG10(1.018908)</f>
        <v>8.1349721358588579E-3</v>
      </c>
      <c r="D4636">
        <f>LOG10(3.29746)</f>
        <v>0.51817953601987665</v>
      </c>
    </row>
    <row r="4637" spans="1:4">
      <c r="A4637">
        <v>1.0562670000000001</v>
      </c>
      <c r="B4637">
        <v>3.239395</v>
      </c>
      <c r="C4637">
        <f>LOG10(1.056267)</f>
        <v>2.3773711729847675E-2</v>
      </c>
      <c r="D4637">
        <f>LOG10(3.239395)</f>
        <v>0.51046390752269954</v>
      </c>
    </row>
    <row r="4638" spans="1:4">
      <c r="A4638">
        <v>1.0927420000000001</v>
      </c>
      <c r="B4638">
        <v>3.3208090000000001</v>
      </c>
      <c r="C4638">
        <f>LOG10(1.092742)</f>
        <v>3.8517635689191372E-2</v>
      </c>
      <c r="D4638">
        <f>LOG10(3.320809)</f>
        <v>0.521243897389567</v>
      </c>
    </row>
    <row r="4639" spans="1:4">
      <c r="A4639">
        <v>1.0646500000000001</v>
      </c>
      <c r="B4639">
        <v>3.3931079999999998</v>
      </c>
      <c r="C4639">
        <f>LOG10(1.06465)</f>
        <v>2.7206858430935135E-2</v>
      </c>
      <c r="D4639">
        <f>LOG10(3.393108)</f>
        <v>0.53059768312215327</v>
      </c>
    </row>
    <row r="4640" spans="1:4">
      <c r="A4640">
        <v>1.0392870000000001</v>
      </c>
      <c r="B4640">
        <v>3.4061650000000001</v>
      </c>
      <c r="C4640">
        <f>LOG10(1.039287)</f>
        <v>1.6735494914879769E-2</v>
      </c>
      <c r="D4640">
        <f>LOG10(3.406165)</f>
        <v>0.53226568204521363</v>
      </c>
    </row>
    <row r="4641" spans="1:4">
      <c r="A4641">
        <v>1.0224660000000001</v>
      </c>
      <c r="B4641">
        <v>3.4234499999999999</v>
      </c>
      <c r="C4641">
        <f>LOG10(1.022466)</f>
        <v>9.6488753513709977E-3</v>
      </c>
      <c r="D4641">
        <f>LOG10(3.42345)</f>
        <v>0.53446398931370187</v>
      </c>
    </row>
    <row r="4642" spans="1:4">
      <c r="A4642">
        <v>1.02498</v>
      </c>
      <c r="B4642">
        <v>3.5125069999999998</v>
      </c>
      <c r="C4642">
        <f>LOG10(1.02498)</f>
        <v>1.0715391270427199E-2</v>
      </c>
      <c r="D4642">
        <f>LOG10(3.512507)</f>
        <v>0.54561719841017375</v>
      </c>
    </row>
    <row r="4643" spans="1:4">
      <c r="A4643">
        <v>1.0305740000000001</v>
      </c>
      <c r="B4643">
        <v>3.5195240000000001</v>
      </c>
      <c r="C4643">
        <f>LOG10(1.030574)</f>
        <v>1.3079181595883697E-2</v>
      </c>
      <c r="D4643">
        <f>LOG10(3.519524)</f>
        <v>0.54648393104858006</v>
      </c>
    </row>
    <row r="4644" spans="1:4">
      <c r="A4644">
        <v>1.0269109999999999</v>
      </c>
      <c r="B4644">
        <v>3.3532169999999999</v>
      </c>
      <c r="C4644">
        <f>LOG10(1.026911)</f>
        <v>1.153280593049164E-2</v>
      </c>
      <c r="D4644">
        <f>LOG10(3.353217)</f>
        <v>0.52546165926035093</v>
      </c>
    </row>
    <row r="4645" spans="1:4">
      <c r="A4645">
        <v>1.0412239999999999</v>
      </c>
      <c r="B4645">
        <v>3.4115959999999999</v>
      </c>
      <c r="C4645">
        <f>LOG10(1.041224)</f>
        <v>1.7544169951450844E-2</v>
      </c>
      <c r="D4645">
        <f>LOG10(3.411596)</f>
        <v>0.53295759654034569</v>
      </c>
    </row>
    <row r="4646" spans="1:4">
      <c r="A4646">
        <v>1.0616540000000001</v>
      </c>
      <c r="B4646">
        <v>3.3660260000000002</v>
      </c>
      <c r="C4646">
        <f>LOG10(1.061654)</f>
        <v>2.5983000385376452E-2</v>
      </c>
      <c r="D4646">
        <f>LOG10(3.366026)</f>
        <v>0.52711746624851563</v>
      </c>
    </row>
    <row r="4647" spans="1:4">
      <c r="A4647">
        <v>1.0720099999999999</v>
      </c>
      <c r="B4647">
        <v>3.3356970000000001</v>
      </c>
      <c r="C4647">
        <f>LOG10(1.07201)</f>
        <v>3.0198836592350883E-2</v>
      </c>
      <c r="D4647">
        <f>LOG10(3.335697)</f>
        <v>0.52318659436245796</v>
      </c>
    </row>
    <row r="4648" spans="1:4">
      <c r="A4648">
        <v>1.0439069999999999</v>
      </c>
      <c r="B4648">
        <v>3.3833000000000002</v>
      </c>
      <c r="C4648">
        <f>LOG10(1.043907)</f>
        <v>1.8661809790882763E-2</v>
      </c>
      <c r="D4648">
        <f>LOG10(3.3833)</f>
        <v>0.52934050874512306</v>
      </c>
    </row>
    <row r="4649" spans="1:4">
      <c r="A4649">
        <v>1.0422359999999999</v>
      </c>
      <c r="B4649">
        <v>3.4253339999999999</v>
      </c>
      <c r="C4649">
        <f>LOG10(1.042236)</f>
        <v>1.7966070108162199E-2</v>
      </c>
      <c r="D4649">
        <f>LOG10(3.425334)</f>
        <v>0.53470292540061726</v>
      </c>
    </row>
    <row r="4650" spans="1:4">
      <c r="A4650">
        <v>1.038934</v>
      </c>
      <c r="B4650">
        <v>3.4382980000000001</v>
      </c>
      <c r="C4650">
        <f>LOG10(1.038934)</f>
        <v>1.6587959158493679E-2</v>
      </c>
      <c r="D4650">
        <f>LOG10(3.438298)</f>
        <v>0.53634351462764474</v>
      </c>
    </row>
    <row r="4651" spans="1:4">
      <c r="A4651">
        <v>1.0280849999999999</v>
      </c>
      <c r="B4651">
        <v>3.436976</v>
      </c>
      <c r="C4651">
        <f>LOG10(1.028085)</f>
        <v>1.2029022737943139E-2</v>
      </c>
      <c r="D4651">
        <f>LOG10(3.436976)</f>
        <v>0.53617649952042079</v>
      </c>
    </row>
    <row r="4652" spans="1:4">
      <c r="A4652">
        <v>1.027706</v>
      </c>
      <c r="B4652">
        <v>3.4213100000000001</v>
      </c>
      <c r="C4652">
        <f>LOG10(1.027706)</f>
        <v>1.1868892052960035E-2</v>
      </c>
      <c r="D4652">
        <f>LOG10(3.42131)</f>
        <v>0.5341924267690531</v>
      </c>
    </row>
    <row r="4653" spans="1:4">
      <c r="A4653">
        <v>1.026116</v>
      </c>
      <c r="B4653">
        <v>3.3298939999999999</v>
      </c>
      <c r="C4653">
        <f>LOG10(1.026116)</f>
        <v>1.1196459520658331E-2</v>
      </c>
      <c r="D4653">
        <f>LOG10(3.329894)</f>
        <v>0.52243040889737391</v>
      </c>
    </row>
    <row r="4654" spans="1:4">
      <c r="A4654">
        <v>1.026281</v>
      </c>
      <c r="B4654">
        <v>3.4704470000000001</v>
      </c>
      <c r="C4654">
        <f>LOG10(1.026281)</f>
        <v>1.1266288690812453E-2</v>
      </c>
      <c r="D4654">
        <f>LOG10(3.470447)</f>
        <v>0.54038541632711168</v>
      </c>
    </row>
    <row r="4655" spans="1:4">
      <c r="A4655">
        <v>1.0361819999999999</v>
      </c>
      <c r="B4655">
        <v>3.4225099999999999</v>
      </c>
      <c r="C4655">
        <f>LOG10(1.036182)</f>
        <v>1.5436043684963751E-2</v>
      </c>
      <c r="D4655">
        <f>LOG10(3.42251)</f>
        <v>0.53434472574349268</v>
      </c>
    </row>
    <row r="4656" spans="1:4">
      <c r="A4656">
        <v>1.031431</v>
      </c>
      <c r="B4656">
        <v>3.4367139999999998</v>
      </c>
      <c r="C4656">
        <f>LOG10(1.031431)</f>
        <v>1.3440180131213371E-2</v>
      </c>
      <c r="D4656">
        <f>LOG10(3.436714)</f>
        <v>0.53614339207614736</v>
      </c>
    </row>
    <row r="4657" spans="1:4">
      <c r="A4657">
        <v>1.0215399999999999</v>
      </c>
      <c r="B4657">
        <v>3.3581989999999999</v>
      </c>
      <c r="C4657">
        <f>LOG10(1.02154)</f>
        <v>9.2553767826240307E-3</v>
      </c>
      <c r="D4657">
        <f>LOG10(3.358199)</f>
        <v>0.52610642796676366</v>
      </c>
    </row>
    <row r="4658" spans="1:4">
      <c r="A4658">
        <v>1.039401</v>
      </c>
      <c r="B4658">
        <v>3.2340309999999999</v>
      </c>
      <c r="C4658">
        <f>LOG10(1.039401)</f>
        <v>1.6783130318544566E-2</v>
      </c>
      <c r="D4658">
        <f>LOG10(3.234031)</f>
        <v>0.50974417854639131</v>
      </c>
    </row>
    <row r="4659" spans="1:4">
      <c r="A4659">
        <v>1.0551550000000001</v>
      </c>
      <c r="B4659">
        <v>3.2445949999999999</v>
      </c>
      <c r="C4659">
        <f>LOG10(1.055155)</f>
        <v>2.3316261245267113E-2</v>
      </c>
      <c r="D4659">
        <f>LOG10(3.244595)</f>
        <v>0.51116049459024793</v>
      </c>
    </row>
    <row r="4660" spans="1:4">
      <c r="A4660">
        <v>1.0260039999999999</v>
      </c>
      <c r="B4660">
        <v>3.190753</v>
      </c>
      <c r="C4660">
        <f>LOG10(1.026004)</f>
        <v>1.1149053928371809E-2</v>
      </c>
      <c r="D4660">
        <f>LOG10(3.190753)</f>
        <v>0.50389318624023527</v>
      </c>
    </row>
    <row r="4661" spans="1:4">
      <c r="A4661">
        <v>1.045472</v>
      </c>
      <c r="B4661">
        <v>3.2774489999999998</v>
      </c>
      <c r="C4661">
        <f>LOG10(1.045472)</f>
        <v>1.931240596446954E-2</v>
      </c>
      <c r="D4661">
        <f>LOG10(3.277449)</f>
        <v>0.5155359424091378</v>
      </c>
    </row>
    <row r="4662" spans="1:4">
      <c r="A4662">
        <v>1.0462320000000001</v>
      </c>
      <c r="B4662">
        <v>3.299871</v>
      </c>
      <c r="C4662">
        <f>LOG10(1.046232)</f>
        <v>1.9627999204020728E-2</v>
      </c>
      <c r="D4662">
        <f>LOG10(3.299871)</f>
        <v>0.5184969625799456</v>
      </c>
    </row>
    <row r="4663" spans="1:4">
      <c r="A4663">
        <v>1.0439989999999999</v>
      </c>
      <c r="B4663">
        <v>3.223973</v>
      </c>
      <c r="C4663">
        <f>LOG10(1.043999)</f>
        <v>1.8700082675161031E-2</v>
      </c>
      <c r="D4663">
        <f>LOG10(3.223973)</f>
        <v>0.50839139603624406</v>
      </c>
    </row>
    <row r="4664" spans="1:4">
      <c r="A4664">
        <v>1.017803</v>
      </c>
      <c r="B4664">
        <v>3.3325040000000001</v>
      </c>
      <c r="C4664">
        <f>LOG10(1.017803)</f>
        <v>7.6637266330958397E-3</v>
      </c>
      <c r="D4664">
        <f>LOG10(3.332504)</f>
        <v>0.52277067936928323</v>
      </c>
    </row>
    <row r="4665" spans="1:4">
      <c r="A4665">
        <v>1.020386</v>
      </c>
      <c r="B4665">
        <v>3.3360280000000002</v>
      </c>
      <c r="C4665">
        <f>LOG10(1.020386)</f>
        <v>8.7644913289156925E-3</v>
      </c>
      <c r="D4665">
        <f>LOG10(3.336028)</f>
        <v>0.52322968710792572</v>
      </c>
    </row>
    <row r="4666" spans="1:4">
      <c r="A4666">
        <v>1.0231410000000001</v>
      </c>
      <c r="B4666">
        <v>3.3823940000000001</v>
      </c>
      <c r="C4666">
        <f>LOG10(1.023141)</f>
        <v>9.9354883576076806E-3</v>
      </c>
      <c r="D4666">
        <f>LOG10(3.382394)</f>
        <v>0.52922419523672126</v>
      </c>
    </row>
    <row r="4667" spans="1:4">
      <c r="A4667">
        <v>1.0288280000000001</v>
      </c>
      <c r="B4667">
        <v>3.3543479999999999</v>
      </c>
      <c r="C4667">
        <f>LOG10(1.028828)</f>
        <v>1.2342775253570889E-2</v>
      </c>
      <c r="D4667">
        <f>LOG10(3.354348)</f>
        <v>0.52560811689846187</v>
      </c>
    </row>
    <row r="4668" spans="1:4">
      <c r="A4668">
        <v>1.0249349999999999</v>
      </c>
      <c r="B4668">
        <v>3.3290950000000001</v>
      </c>
      <c r="C4668">
        <f>LOG10(1.024935)</f>
        <v>1.0696323892815135E-2</v>
      </c>
      <c r="D4668">
        <f>LOG10(3.329095)</f>
        <v>0.52232618848412327</v>
      </c>
    </row>
    <row r="4669" spans="1:4">
      <c r="A4669">
        <v>1.0318430000000001</v>
      </c>
      <c r="B4669">
        <v>3.3611520000000001</v>
      </c>
      <c r="C4669">
        <f>LOG10(1.031843)</f>
        <v>1.3613622271154391E-2</v>
      </c>
      <c r="D4669">
        <f>LOG10(3.361152)</f>
        <v>0.52648815283502126</v>
      </c>
    </row>
    <row r="4670" spans="1:4">
      <c r="A4670">
        <v>1.031131</v>
      </c>
      <c r="B4670">
        <v>3.3787500000000001</v>
      </c>
      <c r="C4670">
        <f>LOG10(1.031131)</f>
        <v>1.3313843715154369E-2</v>
      </c>
      <c r="D4670">
        <f>LOG10(3.37875)</f>
        <v>0.52875605870678188</v>
      </c>
    </row>
    <row r="4671" spans="1:4">
      <c r="A4671">
        <v>1.04223</v>
      </c>
      <c r="B4671">
        <v>3.3188900000000001</v>
      </c>
      <c r="C4671">
        <f>LOG10(1.04223)</f>
        <v>1.7963569931242637E-2</v>
      </c>
      <c r="D4671">
        <f>LOG10(3.31889)</f>
        <v>0.52099285855965083</v>
      </c>
    </row>
    <row r="4672" spans="1:4">
      <c r="A4672">
        <v>1.034178</v>
      </c>
      <c r="B4672">
        <v>3.2249430000000001</v>
      </c>
      <c r="C4672">
        <f>LOG10(1.034178)</f>
        <v>1.4595294816608853E-2</v>
      </c>
      <c r="D4672">
        <f>LOG10(3.224943)</f>
        <v>0.50852204300098136</v>
      </c>
    </row>
    <row r="4673" spans="1:4">
      <c r="A4673">
        <v>1.0328109999999999</v>
      </c>
      <c r="B4673">
        <v>3.2017030000000002</v>
      </c>
      <c r="C4673">
        <f>LOG10(1.032811)</f>
        <v>1.4020854755905249E-2</v>
      </c>
      <c r="D4673">
        <f>LOG10(3.201703)</f>
        <v>0.50538104293509611</v>
      </c>
    </row>
    <row r="4674" spans="1:4">
      <c r="A4674">
        <v>1.0164660000000001</v>
      </c>
      <c r="B4674">
        <v>3.2762859999999998</v>
      </c>
      <c r="C4674">
        <f>LOG10(1.016466)</f>
        <v>7.0928564031397948E-3</v>
      </c>
      <c r="D4674">
        <f>LOG10(3.276286)</f>
        <v>0.5153818060311014</v>
      </c>
    </row>
    <row r="4675" spans="1:4">
      <c r="A4675">
        <v>1.018065</v>
      </c>
      <c r="B4675">
        <v>3.2931029999999999</v>
      </c>
      <c r="C4675">
        <f>LOG10(1.018065)</f>
        <v>7.7755071167881036E-3</v>
      </c>
      <c r="D4675">
        <f>LOG10(3.293103)</f>
        <v>0.51760531456616565</v>
      </c>
    </row>
    <row r="4676" spans="1:4">
      <c r="A4676">
        <v>1.0466310000000001</v>
      </c>
      <c r="B4676">
        <v>3.3155830000000002</v>
      </c>
      <c r="C4676">
        <f>LOG10(1.046631)</f>
        <v>1.9793593894527308E-2</v>
      </c>
      <c r="D4676">
        <f>LOG10(3.315583)</f>
        <v>0.52055990421026965</v>
      </c>
    </row>
    <row r="4677" spans="1:4">
      <c r="A4677">
        <v>1.035137</v>
      </c>
      <c r="B4677">
        <v>3.327563</v>
      </c>
      <c r="C4677">
        <f>LOG10(1.035137)</f>
        <v>1.4997832311347268E-2</v>
      </c>
      <c r="D4677">
        <f>LOG10(3.327563)</f>
        <v>0.52212628662405391</v>
      </c>
    </row>
    <row r="4678" spans="1:4">
      <c r="A4678">
        <v>1.02766</v>
      </c>
      <c r="B4678">
        <v>3.303175</v>
      </c>
      <c r="C4678">
        <f>LOG10(1.02766)</f>
        <v>1.1849452647841062E-2</v>
      </c>
      <c r="D4678">
        <f>LOG10(3.303175)</f>
        <v>0.51893158293181452</v>
      </c>
    </row>
    <row r="4679" spans="1:4">
      <c r="A4679">
        <v>1.0453079999999999</v>
      </c>
      <c r="B4679">
        <v>3.3518650000000001</v>
      </c>
      <c r="C4679">
        <f>LOG10(1.045308)</f>
        <v>1.9244274171379659E-2</v>
      </c>
      <c r="D4679">
        <f>LOG10(3.351865)</f>
        <v>0.52528651862896392</v>
      </c>
    </row>
    <row r="4680" spans="1:4">
      <c r="A4680">
        <v>1.0441929999999999</v>
      </c>
      <c r="B4680">
        <v>3.2513269999999999</v>
      </c>
      <c r="C4680">
        <f>LOG10(1.044193)</f>
        <v>1.8780777486492213E-2</v>
      </c>
      <c r="D4680">
        <f>LOG10(3.251327)</f>
        <v>0.51206065056467398</v>
      </c>
    </row>
    <row r="4681" spans="1:4">
      <c r="A4681">
        <v>1.0091760000000001</v>
      </c>
      <c r="B4681">
        <v>3.1831640000000001</v>
      </c>
      <c r="C4681">
        <f>LOG10(1.009176)</f>
        <v>3.9669136732181304E-3</v>
      </c>
      <c r="D4681">
        <f>LOG10(3.183164)</f>
        <v>0.50285901451174297</v>
      </c>
    </row>
    <row r="4682" spans="1:4">
      <c r="A4682">
        <v>1.017585</v>
      </c>
      <c r="B4682">
        <v>3.1896049999999998</v>
      </c>
      <c r="C4682">
        <f>LOG10(1.017585)</f>
        <v>7.5706965106651716E-3</v>
      </c>
      <c r="D4682">
        <f>LOG10(3.189605)</f>
        <v>0.503736903451525</v>
      </c>
    </row>
    <row r="4683" spans="1:4">
      <c r="A4683">
        <v>1.0121329999999999</v>
      </c>
      <c r="B4683">
        <v>3.0595560000000002</v>
      </c>
      <c r="C4683">
        <f>LOG10(1.012133)</f>
        <v>5.2375850046251036E-3</v>
      </c>
      <c r="D4683">
        <f>LOG10(3.059556)</f>
        <v>0.48565840663167475</v>
      </c>
    </row>
    <row r="4684" spans="1:4">
      <c r="A4684">
        <v>1.0319290000000001</v>
      </c>
      <c r="B4684">
        <v>3.031558</v>
      </c>
      <c r="C4684">
        <f>LOG10(1.031929)</f>
        <v>1.3649817476308168E-2</v>
      </c>
      <c r="D4684">
        <f>LOG10(3.031558)</f>
        <v>0.48166588160578289</v>
      </c>
    </row>
    <row r="4685" spans="1:4">
      <c r="A4685">
        <v>1.0405</v>
      </c>
      <c r="B4685">
        <v>2.8673229999999998</v>
      </c>
      <c r="C4685">
        <f>LOG10(1.0405)</f>
        <v>1.7242084547645732E-2</v>
      </c>
      <c r="D4685">
        <f>LOG10(2.867323)</f>
        <v>0.45747661837946169</v>
      </c>
    </row>
    <row r="4686" spans="1:4">
      <c r="A4686">
        <v>1.028189</v>
      </c>
      <c r="B4686">
        <v>2.9507490000000001</v>
      </c>
      <c r="C4686">
        <f>LOG10(1.028189)</f>
        <v>1.2072953290152131E-2</v>
      </c>
      <c r="D4686">
        <f>LOG10(2.950749)</f>
        <v>0.46993226861513926</v>
      </c>
    </row>
    <row r="4687" spans="1:4">
      <c r="A4687">
        <v>1.016891</v>
      </c>
      <c r="B4687">
        <v>2.8727670000000001</v>
      </c>
      <c r="C4687">
        <f>LOG10(1.016891)</f>
        <v>7.2744036252918049E-3</v>
      </c>
      <c r="D4687">
        <f>LOG10(2.872767)</f>
        <v>0.45830040332651778</v>
      </c>
    </row>
    <row r="4688" spans="1:4">
      <c r="A4688">
        <v>1.0189539999999999</v>
      </c>
      <c r="B4688">
        <v>2.8351069999999998</v>
      </c>
      <c r="C4688">
        <f>LOG10(1.018954)</f>
        <v>8.1545785136910541E-3</v>
      </c>
      <c r="D4688">
        <f>LOG10(2.835107)</f>
        <v>0.45256945428100576</v>
      </c>
    </row>
    <row r="4689" spans="1:4">
      <c r="A4689">
        <v>1.0356700000000001</v>
      </c>
      <c r="B4689">
        <v>2.7945530000000001</v>
      </c>
      <c r="C4689">
        <f>LOG10(1.03567)</f>
        <v>1.5221396326696052E-2</v>
      </c>
      <c r="D4689">
        <f>LOG10(2.794553)</f>
        <v>0.44631235062727537</v>
      </c>
    </row>
    <row r="4690" spans="1:4">
      <c r="A4690">
        <v>1.031488</v>
      </c>
      <c r="B4690">
        <v>2.9403290000000002</v>
      </c>
      <c r="C4690">
        <f>LOG10(1.031488)</f>
        <v>1.3464179896085161E-2</v>
      </c>
      <c r="D4690">
        <f>LOG10(2.940329)</f>
        <v>0.46839592731368962</v>
      </c>
    </row>
    <row r="4691" spans="1:4">
      <c r="A4691">
        <v>1.021503</v>
      </c>
      <c r="B4691">
        <v>3.034071</v>
      </c>
      <c r="C4691">
        <f>LOG10(1.021503)</f>
        <v>9.23964642762699E-3</v>
      </c>
      <c r="D4691">
        <f>LOG10(3.034071)</f>
        <v>0.48202573945250138</v>
      </c>
    </row>
    <row r="4692" spans="1:4">
      <c r="A4692">
        <v>1.0259910000000001</v>
      </c>
      <c r="B4692">
        <v>2.7911899999999998</v>
      </c>
      <c r="C4692">
        <f>LOG10(1.025991)</f>
        <v>1.1143551158370188E-2</v>
      </c>
      <c r="D4692">
        <f>LOG10(2.79119)</f>
        <v>0.44578940049544324</v>
      </c>
    </row>
    <row r="4693" spans="1:4">
      <c r="A4693">
        <v>1.0145919999999999</v>
      </c>
      <c r="B4693">
        <v>2.9171529999999999</v>
      </c>
      <c r="C4693">
        <f>LOG10(1.014592)</f>
        <v>6.291433607688586E-3</v>
      </c>
      <c r="D4693">
        <f>LOG10(2.917153)</f>
        <v>0.46495920776869182</v>
      </c>
    </row>
    <row r="4694" spans="1:4">
      <c r="A4694">
        <v>1.0291680000000001</v>
      </c>
      <c r="B4694">
        <v>2.9215279999999999</v>
      </c>
      <c r="C4694">
        <f>LOG10(1.029168)</f>
        <v>1.2486274196416769E-2</v>
      </c>
      <c r="D4694">
        <f>LOG10(2.921528)</f>
        <v>0.46561005295579205</v>
      </c>
    </row>
    <row r="4695" spans="1:4">
      <c r="A4695">
        <v>1.012065</v>
      </c>
      <c r="B4695">
        <v>2.9436290000000001</v>
      </c>
      <c r="C4695">
        <f>LOG10(1.012065)</f>
        <v>5.2084060164228506E-3</v>
      </c>
      <c r="D4695">
        <f>LOG10(2.943629)</f>
        <v>0.46888307285094477</v>
      </c>
    </row>
    <row r="4696" spans="1:4">
      <c r="A4696">
        <v>1.0359119999999999</v>
      </c>
      <c r="B4696">
        <v>3.1722990000000002</v>
      </c>
      <c r="C4696">
        <f>LOG10(1.035912)</f>
        <v>1.5322863963602154E-2</v>
      </c>
      <c r="D4696">
        <f>LOG10(3.172299)</f>
        <v>0.50137411431085732</v>
      </c>
    </row>
    <row r="4697" spans="1:4">
      <c r="A4697">
        <v>1.028869</v>
      </c>
      <c r="B4697">
        <v>2.9546950000000001</v>
      </c>
      <c r="C4697">
        <f>LOG10(1.028869)</f>
        <v>1.2360082052152381E-2</v>
      </c>
      <c r="D4697">
        <f>LOG10(2.954695)</f>
        <v>0.47051265724659275</v>
      </c>
    </row>
    <row r="4698" spans="1:4">
      <c r="A4698">
        <v>1.0219009999999999</v>
      </c>
      <c r="B4698">
        <v>3.0464699999999998</v>
      </c>
      <c r="C4698">
        <f>LOG10(1.021901)</f>
        <v>9.4088241389197313E-3</v>
      </c>
      <c r="D4698">
        <f>LOG10(3.04647)</f>
        <v>0.48379690578278983</v>
      </c>
    </row>
    <row r="4699" spans="1:4">
      <c r="A4699">
        <v>1.0340199999999999</v>
      </c>
      <c r="B4699">
        <v>3.1998519999999999</v>
      </c>
      <c r="C4699">
        <f>LOG10(1.03402)</f>
        <v>1.4528938956798285E-2</v>
      </c>
      <c r="D4699">
        <f>LOG10(3.199852)</f>
        <v>0.50512989173561207</v>
      </c>
    </row>
    <row r="4700" spans="1:4">
      <c r="A4700">
        <v>1.0299910000000001</v>
      </c>
      <c r="B4700">
        <v>2.9961359999999999</v>
      </c>
      <c r="C4700">
        <f>LOG10(1.029991)</f>
        <v>1.2833429882440349E-2</v>
      </c>
      <c r="D4700">
        <f>LOG10(2.996136)</f>
        <v>0.47656152288223752</v>
      </c>
    </row>
    <row r="4701" spans="1:4">
      <c r="A4701">
        <v>1.0153190000000001</v>
      </c>
      <c r="B4701">
        <v>2.912982</v>
      </c>
      <c r="C4701">
        <f>LOG10(1.015319)</f>
        <v>6.6025133563505332E-3</v>
      </c>
      <c r="D4701">
        <f>LOG10(2.912982)</f>
        <v>0.46433780102834471</v>
      </c>
    </row>
    <row r="4702" spans="1:4">
      <c r="A4702">
        <v>1.014556</v>
      </c>
      <c r="B4702">
        <v>3.1501480000000002</v>
      </c>
      <c r="C4702">
        <f>LOG10(1.014556)</f>
        <v>6.276023591908441E-3</v>
      </c>
      <c r="D4702">
        <f>LOG10(3.150148)</f>
        <v>0.49833095825734747</v>
      </c>
    </row>
    <row r="4703" spans="1:4">
      <c r="A4703">
        <v>1.0168600000000001</v>
      </c>
      <c r="B4703">
        <v>3.0239750000000001</v>
      </c>
      <c r="C4703">
        <f>LOG10(1.01686)</f>
        <v>7.2611639229486994E-3</v>
      </c>
      <c r="D4703">
        <f>LOG10(3.023975)</f>
        <v>0.48057819641682509</v>
      </c>
    </row>
    <row r="4704" spans="1:4">
      <c r="A4704">
        <v>1.010318</v>
      </c>
      <c r="B4704">
        <v>3.1695760000000002</v>
      </c>
      <c r="C4704">
        <f>LOG10(1.010318)</f>
        <v>4.4580905236563956E-3</v>
      </c>
      <c r="D4704">
        <f>LOG10(3.169576)</f>
        <v>0.50100116973314324</v>
      </c>
    </row>
    <row r="4705" spans="1:4">
      <c r="A4705">
        <v>1.0264740000000001</v>
      </c>
      <c r="B4705">
        <v>3.2446329999999999</v>
      </c>
      <c r="C4705">
        <f>LOG10(1.026474)</f>
        <v>1.1347953414809573E-2</v>
      </c>
      <c r="D4705">
        <f>LOG10(3.244633)</f>
        <v>0.51116558092418851</v>
      </c>
    </row>
    <row r="4706" spans="1:4">
      <c r="A4706">
        <v>1.016993</v>
      </c>
      <c r="B4706">
        <v>3.1009850000000001</v>
      </c>
      <c r="C4706">
        <f>LOG10(1.016993)</f>
        <v>7.3179636682355409E-3</v>
      </c>
      <c r="D4706">
        <f>LOG10(3.100985)</f>
        <v>0.49149966548499352</v>
      </c>
    </row>
    <row r="4707" spans="1:4">
      <c r="A4707">
        <v>1.022599</v>
      </c>
      <c r="B4707">
        <v>3.2121019999999998</v>
      </c>
      <c r="C4707">
        <f>LOG10(1.022599)</f>
        <v>9.7053636939660147E-3</v>
      </c>
      <c r="D4707">
        <f>LOG10(3.212102)</f>
        <v>0.50678932780645858</v>
      </c>
    </row>
    <row r="4708" spans="1:4">
      <c r="A4708">
        <v>1.0130440000000001</v>
      </c>
      <c r="B4708">
        <v>3.177454</v>
      </c>
      <c r="C4708">
        <f>LOG10(1.013044)</f>
        <v>5.6283086793463234E-3</v>
      </c>
      <c r="D4708">
        <f>LOG10(3.177454)</f>
        <v>0.50207927199055424</v>
      </c>
    </row>
    <row r="4709" spans="1:4">
      <c r="A4709">
        <v>1.019155</v>
      </c>
      <c r="B4709">
        <v>3.1699350000000002</v>
      </c>
      <c r="C4709">
        <f>LOG10(1.019155)</f>
        <v>8.2402394779923852E-3</v>
      </c>
      <c r="D4709">
        <f>LOG10(3.169935)</f>
        <v>0.50105035703455181</v>
      </c>
    </row>
    <row r="4710" spans="1:4">
      <c r="A4710">
        <v>1.0094209999999999</v>
      </c>
      <c r="B4710">
        <v>3.1665700000000001</v>
      </c>
      <c r="C4710">
        <f>LOG10(1.009421)</f>
        <v>4.0723355564258167E-3</v>
      </c>
      <c r="D4710">
        <f>LOG10(3.16657)</f>
        <v>0.50058909295633103</v>
      </c>
    </row>
    <row r="4711" spans="1:4">
      <c r="A4711">
        <v>1.0156670000000001</v>
      </c>
      <c r="B4711">
        <v>3.2122600000000001</v>
      </c>
      <c r="C4711">
        <f>LOG10(1.015667)</f>
        <v>6.7513420348164627E-3</v>
      </c>
      <c r="D4711">
        <f>LOG10(3.21226)</f>
        <v>0.50681068978081645</v>
      </c>
    </row>
    <row r="4712" spans="1:4">
      <c r="A4712">
        <v>1.034772</v>
      </c>
      <c r="B4712">
        <v>3.2001240000000002</v>
      </c>
      <c r="C4712">
        <f>LOG10(1.034772)</f>
        <v>1.4844668585272672E-2</v>
      </c>
      <c r="D4712">
        <f>LOG10(3.200124)</f>
        <v>0.50516680690502802</v>
      </c>
    </row>
    <row r="4713" spans="1:4">
      <c r="A4713">
        <v>1.087582</v>
      </c>
      <c r="B4713">
        <v>3.2742499999999999</v>
      </c>
      <c r="C4713">
        <f>LOG10(1.087582)</f>
        <v>3.6462011194458556E-2</v>
      </c>
      <c r="D4713">
        <f>LOG10(3.27425)</f>
        <v>0.51511183618630429</v>
      </c>
    </row>
    <row r="4714" spans="1:4">
      <c r="A4714">
        <v>1.1539170000000001</v>
      </c>
      <c r="B4714">
        <v>3.2019030000000002</v>
      </c>
      <c r="C4714">
        <f>LOG10(1.153917)</f>
        <v>6.217457161143046E-2</v>
      </c>
      <c r="D4714">
        <f>LOG10(3.201903)</f>
        <v>0.50540817105522362</v>
      </c>
    </row>
    <row r="4715" spans="1:4">
      <c r="A4715">
        <v>1.165959</v>
      </c>
      <c r="B4715">
        <v>3.0683940000000001</v>
      </c>
      <c r="C4715">
        <f>LOG10(1.165959)</f>
        <v>6.6683279079236768E-2</v>
      </c>
      <c r="D4715">
        <f>LOG10(3.068394)</f>
        <v>0.48691112484653259</v>
      </c>
    </row>
    <row r="4716" spans="1:4">
      <c r="A4716">
        <v>1.120045</v>
      </c>
      <c r="B4716">
        <v>3.1849090000000002</v>
      </c>
      <c r="C4716">
        <f>LOG10(1.120045)</f>
        <v>4.9235471651508558E-2</v>
      </c>
      <c r="D4716">
        <f>LOG10(3.184909)</f>
        <v>0.50309702808033419</v>
      </c>
    </row>
    <row r="4717" spans="1:4">
      <c r="A4717">
        <v>1.1155619999999999</v>
      </c>
      <c r="B4717">
        <v>3.3632879999999998</v>
      </c>
      <c r="C4717">
        <f>LOG10(1.115562)</f>
        <v>4.7493712234933934E-2</v>
      </c>
      <c r="D4717">
        <f>LOG10(3.363288)</f>
        <v>0.52676405775633672</v>
      </c>
    </row>
    <row r="4718" spans="1:4">
      <c r="A4718">
        <v>1.095051</v>
      </c>
      <c r="B4718">
        <v>3.170261</v>
      </c>
      <c r="C4718">
        <f>LOG10(1.095051)</f>
        <v>3.9434346119328029E-2</v>
      </c>
      <c r="D4718">
        <f>LOG10(3.170261)</f>
        <v>0.50109501811481649</v>
      </c>
    </row>
    <row r="4719" spans="1:4">
      <c r="A4719">
        <v>1.108581</v>
      </c>
      <c r="B4719">
        <v>3.2697970000000001</v>
      </c>
      <c r="C4719">
        <f>LOG10(1.108581)</f>
        <v>4.4767430935255467E-2</v>
      </c>
      <c r="D4719">
        <f>LOG10(3.269797)</f>
        <v>0.51452079103445747</v>
      </c>
    </row>
    <row r="4720" spans="1:4">
      <c r="A4720">
        <v>1.174536</v>
      </c>
      <c r="B4720">
        <v>3.2629489999999999</v>
      </c>
      <c r="C4720">
        <f>LOG10(1.174536)</f>
        <v>6.9866332617875532E-2</v>
      </c>
      <c r="D4720">
        <f>LOG10(3.262949)</f>
        <v>0.51361028580391199</v>
      </c>
    </row>
    <row r="4721" spans="1:4">
      <c r="A4721">
        <v>1.073442</v>
      </c>
      <c r="B4721">
        <v>3.3627229999999999</v>
      </c>
      <c r="C4721">
        <f>LOG10(1.073442)</f>
        <v>3.0778583695002696E-2</v>
      </c>
      <c r="D4721">
        <f>LOG10(3.362723)</f>
        <v>0.5266910943363089</v>
      </c>
    </row>
    <row r="4722" spans="1:4">
      <c r="A4722">
        <v>1.0287740000000001</v>
      </c>
      <c r="B4722">
        <v>3.2994500000000002</v>
      </c>
      <c r="C4722">
        <f>LOG10(1.028774)</f>
        <v>1.2319979881066236E-2</v>
      </c>
      <c r="D4722">
        <f>LOG10(3.29945)</f>
        <v>0.5184415514316989</v>
      </c>
    </row>
    <row r="4723" spans="1:4">
      <c r="A4723">
        <v>1.0529230000000001</v>
      </c>
      <c r="B4723">
        <v>3.4819239999999998</v>
      </c>
      <c r="C4723">
        <f>LOG10(1.052923)</f>
        <v>2.2396612498087758E-2</v>
      </c>
      <c r="D4723">
        <f>LOG10(3.481924)</f>
        <v>0.54181928753351305</v>
      </c>
    </row>
    <row r="4724" spans="1:4">
      <c r="A4724">
        <v>1.0234829999999999</v>
      </c>
      <c r="B4724">
        <v>3.329059</v>
      </c>
      <c r="C4724">
        <f>LOG10(1.023483)</f>
        <v>1.008063344942068E-2</v>
      </c>
      <c r="D4724">
        <f>LOG10(3.329059)</f>
        <v>0.52232149210691459</v>
      </c>
    </row>
    <row r="4725" spans="1:4">
      <c r="A4725">
        <v>1.010839</v>
      </c>
      <c r="B4725">
        <v>3.3152200000000001</v>
      </c>
      <c r="C4725">
        <f>LOG10(1.010839)</f>
        <v>4.6819894390629562E-3</v>
      </c>
      <c r="D4725">
        <f>LOG10(3.31522)</f>
        <v>0.52051235374101634</v>
      </c>
    </row>
    <row r="4726" spans="1:4">
      <c r="A4726">
        <v>1.040554</v>
      </c>
      <c r="B4726">
        <v>3.3184179999999999</v>
      </c>
      <c r="C4726">
        <f>LOG10(1.040554)</f>
        <v>1.7264623032498157E-2</v>
      </c>
      <c r="D4726">
        <f>LOG10(3.318418)</f>
        <v>0.52093109044649288</v>
      </c>
    </row>
    <row r="4727" spans="1:4">
      <c r="A4727">
        <v>1.0141739999999999</v>
      </c>
      <c r="B4727">
        <v>3.5219239999999998</v>
      </c>
      <c r="C4727">
        <f>LOG10(1.014174)</f>
        <v>6.1124725091643026E-3</v>
      </c>
      <c r="D4727">
        <f>LOG10(3.521924)</f>
        <v>0.54677998004217621</v>
      </c>
    </row>
    <row r="4728" spans="1:4">
      <c r="A4728">
        <v>1.0173449999999999</v>
      </c>
      <c r="B4728">
        <v>3.4058120000000001</v>
      </c>
      <c r="C4728">
        <f>LOG10(1.017345)</f>
        <v>7.4682549759292668E-3</v>
      </c>
      <c r="D4728">
        <f>LOG10(3.405812)</f>
        <v>0.53222067133767625</v>
      </c>
    </row>
    <row r="4729" spans="1:4">
      <c r="A4729">
        <v>1.0106550000000001</v>
      </c>
      <c r="B4729">
        <v>3.6680890000000002</v>
      </c>
      <c r="C4729">
        <f>LOG10(1.010655)</f>
        <v>4.6029289175962924E-3</v>
      </c>
      <c r="D4729">
        <f>LOG10(3.668089)</f>
        <v>0.56443986454977468</v>
      </c>
    </row>
    <row r="4730" spans="1:4">
      <c r="A4730">
        <v>1.0160039999999999</v>
      </c>
      <c r="B4730">
        <v>3.4562339999999998</v>
      </c>
      <c r="C4730">
        <f>LOG10(1.016004)</f>
        <v>6.8954177653295246E-3</v>
      </c>
      <c r="D4730">
        <f>LOG10(3.456234)</f>
        <v>0.53860313816695227</v>
      </c>
    </row>
    <row r="4731" spans="1:4">
      <c r="A4731">
        <v>1.081051</v>
      </c>
      <c r="B4731">
        <v>3.3358140000000001</v>
      </c>
      <c r="C4731">
        <f>LOG10(1.081051)</f>
        <v>3.3846182848883265E-2</v>
      </c>
      <c r="D4731">
        <f>LOG10(3.335814)</f>
        <v>0.52320182702995655</v>
      </c>
    </row>
    <row r="4732" spans="1:4">
      <c r="A4732">
        <v>1.0808720000000001</v>
      </c>
      <c r="B4732">
        <v>3.3259270000000001</v>
      </c>
      <c r="C4732">
        <f>LOG10(1.080872)</f>
        <v>3.3774266585040111E-2</v>
      </c>
      <c r="D4732">
        <f>LOG10(3.325927)</f>
        <v>0.5219127127592964</v>
      </c>
    </row>
    <row r="4733" spans="1:4">
      <c r="A4733">
        <v>1.080492</v>
      </c>
      <c r="B4733">
        <v>3.3723049999999999</v>
      </c>
      <c r="C4733">
        <f>LOG10(1.080492)</f>
        <v>3.3621555699854942E-2</v>
      </c>
      <c r="D4733">
        <f>LOG10(3.372305)</f>
        <v>0.52792684644700938</v>
      </c>
    </row>
    <row r="4734" spans="1:4">
      <c r="A4734">
        <v>1.0797639999999999</v>
      </c>
      <c r="B4734">
        <v>3.5369660000000001</v>
      </c>
      <c r="C4734">
        <f>LOG10(1.079764)</f>
        <v>3.3328843729797421E-2</v>
      </c>
      <c r="D4734">
        <f>LOG10(3.536966)</f>
        <v>0.54863088506684221</v>
      </c>
    </row>
    <row r="4735" spans="1:4">
      <c r="A4735">
        <v>1.095207</v>
      </c>
      <c r="B4735">
        <v>3.5280390000000001</v>
      </c>
      <c r="C4735">
        <f>LOG10(1.095207)</f>
        <v>3.9496210921822976E-2</v>
      </c>
      <c r="D4735">
        <f>LOG10(3.528039)</f>
        <v>0.54753337730762164</v>
      </c>
    </row>
    <row r="4736" spans="1:4">
      <c r="A4736">
        <v>1.117907</v>
      </c>
      <c r="B4736">
        <v>3.1494800000000001</v>
      </c>
      <c r="C4736">
        <f>LOG10(1.117907)</f>
        <v>4.8405675583686462E-2</v>
      </c>
      <c r="D4736">
        <f>LOG10(3.14948)</f>
        <v>0.49823885481409697</v>
      </c>
    </row>
    <row r="4737" spans="1:4">
      <c r="A4737">
        <v>1.1059369999999999</v>
      </c>
      <c r="B4737">
        <v>3.1373989999999998</v>
      </c>
      <c r="C4737">
        <f>LOG10(1.105937)</f>
        <v>4.3730387970808061E-2</v>
      </c>
      <c r="D4737">
        <f>LOG10(3.137399)</f>
        <v>0.4965697537883132</v>
      </c>
    </row>
    <row r="4738" spans="1:4">
      <c r="A4738">
        <v>1.1274189999999999</v>
      </c>
      <c r="B4738">
        <v>3.1422469999999998</v>
      </c>
      <c r="C4738">
        <f>LOG10(1.127419)</f>
        <v>5.2085349559586235E-2</v>
      </c>
      <c r="D4738">
        <f>LOG10(3.142247)</f>
        <v>0.49724032027137932</v>
      </c>
    </row>
    <row r="4739" spans="1:4">
      <c r="A4739">
        <v>1.13262</v>
      </c>
      <c r="B4739">
        <v>3.0177679999999998</v>
      </c>
      <c r="C4739">
        <f>LOG10(1.13262)</f>
        <v>5.4084226205351513E-2</v>
      </c>
      <c r="D4739">
        <f>LOG10(3.017768)</f>
        <v>0.47968584902715383</v>
      </c>
    </row>
    <row r="4740" spans="1:4">
      <c r="A4740">
        <v>1.140558</v>
      </c>
      <c r="B4740">
        <v>3.10303</v>
      </c>
      <c r="C4740">
        <f>LOG10(1.140558)</f>
        <v>5.7117375048422007E-2</v>
      </c>
      <c r="D4740">
        <f>LOG10(3.10303)</f>
        <v>0.49178597435035187</v>
      </c>
    </row>
    <row r="4741" spans="1:4">
      <c r="A4741">
        <v>1.135135</v>
      </c>
      <c r="B4741">
        <v>3.1802790000000001</v>
      </c>
      <c r="C4741">
        <f>LOG10(1.135135)</f>
        <v>5.5047514629178354E-2</v>
      </c>
      <c r="D4741">
        <f>LOG10(3.180279)</f>
        <v>0.50246522150813278</v>
      </c>
    </row>
    <row r="4742" spans="1:4">
      <c r="A4742">
        <v>1.1300410000000001</v>
      </c>
      <c r="B4742">
        <v>3.0199639999999999</v>
      </c>
      <c r="C4742">
        <f>LOG10(1.130041)</f>
        <v>5.3094200784955421E-2</v>
      </c>
      <c r="D4742">
        <f>LOG10(3.019964)</f>
        <v>0.48000176590597987</v>
      </c>
    </row>
    <row r="4743" spans="1:4">
      <c r="A4743">
        <v>1.1137649999999999</v>
      </c>
      <c r="B4743">
        <v>3.1724770000000002</v>
      </c>
      <c r="C4743">
        <f>LOG10(1.113765)</f>
        <v>4.6793566089475103E-2</v>
      </c>
      <c r="D4743">
        <f>LOG10(3.172477)</f>
        <v>0.50139848220589378</v>
      </c>
    </row>
    <row r="4744" spans="1:4">
      <c r="A4744">
        <v>1.096087</v>
      </c>
      <c r="B4744">
        <v>3.234756</v>
      </c>
      <c r="C4744">
        <f>LOG10(1.096087)</f>
        <v>3.9845026885924582E-2</v>
      </c>
      <c r="D4744">
        <f>LOG10(3.234756)</f>
        <v>0.50984152709124153</v>
      </c>
    </row>
    <row r="4745" spans="1:4">
      <c r="A4745">
        <v>1.097308</v>
      </c>
      <c r="B4745">
        <v>3.2868819999999999</v>
      </c>
      <c r="C4745">
        <f>LOG10(1.097308)</f>
        <v>4.0328545465275846E-2</v>
      </c>
      <c r="D4745">
        <f>LOG10(3.286882)</f>
        <v>0.51678411306588357</v>
      </c>
    </row>
    <row r="4746" spans="1:4">
      <c r="A4746">
        <v>1.076489</v>
      </c>
      <c r="B4746">
        <v>3.2070180000000001</v>
      </c>
      <c r="C4746">
        <f>LOG10(1.076489)</f>
        <v>3.2009596385508113E-2</v>
      </c>
      <c r="D4746">
        <f>LOG10(3.207018)</f>
        <v>0.5061013974958668</v>
      </c>
    </row>
    <row r="4747" spans="1:4">
      <c r="A4747">
        <v>1.0726530000000001</v>
      </c>
      <c r="B4747">
        <v>3.964696</v>
      </c>
      <c r="C4747">
        <f>LOG10(1.072653)</f>
        <v>3.04592517347122E-2</v>
      </c>
      <c r="D4747">
        <f>LOG10(3.964696)</f>
        <v>0.59820989264126112</v>
      </c>
    </row>
    <row r="4748" spans="1:4">
      <c r="A4748">
        <v>1.052395</v>
      </c>
      <c r="B4748">
        <v>3.3083040000000001</v>
      </c>
      <c r="C4748">
        <f>LOG10(1.052395)</f>
        <v>2.2178776056037137E-2</v>
      </c>
      <c r="D4748">
        <f>LOG10(3.308304)</f>
        <v>0.51960541002694238</v>
      </c>
    </row>
    <row r="4749" spans="1:4">
      <c r="A4749">
        <v>1.0878859999999999</v>
      </c>
      <c r="B4749">
        <v>3.2540279999999999</v>
      </c>
      <c r="C4749">
        <f>LOG10(1.087886)</f>
        <v>3.658338785764817E-2</v>
      </c>
      <c r="D4749">
        <f>LOG10(3.254028)</f>
        <v>0.51242128559935729</v>
      </c>
    </row>
    <row r="4750" spans="1:4">
      <c r="A4750">
        <v>1.0988169999999999</v>
      </c>
      <c r="B4750">
        <v>3.2168999999999999</v>
      </c>
      <c r="C4750">
        <f>LOG10(1.098817)</f>
        <v>4.0925369850344583E-2</v>
      </c>
      <c r="D4750">
        <f>LOG10(3.2169)</f>
        <v>0.50743756070824786</v>
      </c>
    </row>
    <row r="4751" spans="1:4">
      <c r="A4751">
        <v>1.087364</v>
      </c>
      <c r="B4751">
        <v>3.4027539999999998</v>
      </c>
      <c r="C4751">
        <f>LOG10(1.087364)</f>
        <v>3.6374950460654601E-2</v>
      </c>
      <c r="D4751">
        <f>LOG10(3.402754)</f>
        <v>0.53183055317917916</v>
      </c>
    </row>
    <row r="4752" spans="1:4">
      <c r="A4752">
        <v>1.0772980000000001</v>
      </c>
      <c r="B4752">
        <v>3.389691</v>
      </c>
      <c r="C4752">
        <f>LOG10(1.077298)</f>
        <v>3.2335853580284846E-2</v>
      </c>
      <c r="D4752">
        <f>LOG10(3.389691)</f>
        <v>0.5301601102646345</v>
      </c>
    </row>
    <row r="4753" spans="1:4">
      <c r="A4753">
        <v>1.0833330000000001</v>
      </c>
      <c r="B4753">
        <v>3.308907</v>
      </c>
      <c r="C4753">
        <f>LOG10(1.083333)</f>
        <v>3.4761972630120069E-2</v>
      </c>
      <c r="D4753">
        <f>LOG10(3.308907)</f>
        <v>0.51968456106906946</v>
      </c>
    </row>
    <row r="4754" spans="1:4">
      <c r="A4754">
        <v>1.0925400000000001</v>
      </c>
      <c r="B4754">
        <v>3.1288900000000002</v>
      </c>
      <c r="C4754">
        <f>LOG10(1.09254)</f>
        <v>3.8437346293502997E-2</v>
      </c>
      <c r="D4754">
        <f>LOG10(3.12889)</f>
        <v>0.49539029525461509</v>
      </c>
    </row>
    <row r="4755" spans="1:4">
      <c r="A4755">
        <v>1.080573</v>
      </c>
      <c r="B4755">
        <v>3.2220080000000002</v>
      </c>
      <c r="C4755">
        <f>LOG10(1.080573)</f>
        <v>3.3654111734079395E-2</v>
      </c>
      <c r="D4755">
        <f>LOG10(3.222008)</f>
        <v>0.5081266144045965</v>
      </c>
    </row>
    <row r="4756" spans="1:4">
      <c r="A4756">
        <v>1.0654410000000001</v>
      </c>
      <c r="B4756">
        <v>3.092867</v>
      </c>
      <c r="C4756">
        <f>LOG10(1.065441)</f>
        <v>2.7529405168117704E-2</v>
      </c>
      <c r="D4756">
        <f>LOG10(3.092867)</f>
        <v>0.49036124479852228</v>
      </c>
    </row>
    <row r="4757" spans="1:4">
      <c r="A4757">
        <v>1.0770219999999999</v>
      </c>
      <c r="B4757">
        <v>3.2936160000000001</v>
      </c>
      <c r="C4757">
        <f>LOG10(1.077022)</f>
        <v>3.2224574589548867E-2</v>
      </c>
      <c r="D4757">
        <f>LOG10(3.293616)</f>
        <v>0.51767296374617988</v>
      </c>
    </row>
    <row r="4758" spans="1:4">
      <c r="A4758">
        <v>1.0661560000000001</v>
      </c>
      <c r="B4758">
        <v>3.1939669999999998</v>
      </c>
      <c r="C4758">
        <f>LOG10(1.066156)</f>
        <v>2.7820755330654694E-2</v>
      </c>
      <c r="D4758">
        <f>LOG10(3.193967)</f>
        <v>0.50433042470417355</v>
      </c>
    </row>
    <row r="4759" spans="1:4">
      <c r="A4759">
        <v>1.1228830000000001</v>
      </c>
      <c r="B4759">
        <v>3.4007540000000001</v>
      </c>
      <c r="C4759">
        <f>LOG10(1.122883)</f>
        <v>5.0334506838911185E-2</v>
      </c>
      <c r="D4759">
        <f>LOG10(3.400754)</f>
        <v>0.53157521755266812</v>
      </c>
    </row>
    <row r="4760" spans="1:4">
      <c r="A4760">
        <v>1.1090059999999999</v>
      </c>
      <c r="B4760">
        <v>3.077172</v>
      </c>
      <c r="C4760">
        <f>LOG10(1.109006)</f>
        <v>4.4933895797349833E-2</v>
      </c>
      <c r="D4760">
        <f>LOG10(3.077172)</f>
        <v>0.48815177202360083</v>
      </c>
    </row>
    <row r="4761" spans="1:4">
      <c r="A4761">
        <v>1.1089389999999999</v>
      </c>
      <c r="B4761">
        <v>3.2125159999999999</v>
      </c>
      <c r="C4761">
        <f>LOG10(1.108939)</f>
        <v>4.4907657337607695E-2</v>
      </c>
      <c r="D4761">
        <f>LOG10(3.212516)</f>
        <v>0.50684529935706502</v>
      </c>
    </row>
    <row r="4762" spans="1:4">
      <c r="A4762">
        <v>1.111548</v>
      </c>
      <c r="B4762">
        <v>3.333135</v>
      </c>
      <c r="C4762">
        <f>LOG10(1.111548)</f>
        <v>4.5928221587438853E-2</v>
      </c>
      <c r="D4762">
        <f>LOG10(3.333135)</f>
        <v>0.52285290398987827</v>
      </c>
    </row>
    <row r="4763" spans="1:4">
      <c r="A4763">
        <v>1.1141449999999999</v>
      </c>
      <c r="B4763">
        <v>3.3611219999999999</v>
      </c>
      <c r="C4763">
        <f>LOG10(1.114145)</f>
        <v>4.6941715615015742E-2</v>
      </c>
      <c r="D4763">
        <f>LOG10(3.361122)</f>
        <v>0.52648427651743668</v>
      </c>
    </row>
    <row r="4764" spans="1:4">
      <c r="A4764">
        <v>1.082192</v>
      </c>
      <c r="B4764">
        <v>3.4913750000000001</v>
      </c>
      <c r="C4764">
        <f>LOG10(1.082192)</f>
        <v>3.4304319128352717E-2</v>
      </c>
      <c r="D4764">
        <f>LOG10(3.491375)</f>
        <v>0.54299649782139203</v>
      </c>
    </row>
    <row r="4765" spans="1:4">
      <c r="A4765">
        <v>1.1065659999999999</v>
      </c>
      <c r="B4765">
        <v>3.5040879999999999</v>
      </c>
      <c r="C4765">
        <f>LOG10(1.106566)</f>
        <v>4.3977322087034455E-2</v>
      </c>
      <c r="D4765">
        <f>LOG10(3.504088)</f>
        <v>0.54457500429812933</v>
      </c>
    </row>
    <row r="4766" spans="1:4">
      <c r="A4766">
        <v>1.0857840000000001</v>
      </c>
      <c r="B4766">
        <v>2.9854820000000002</v>
      </c>
      <c r="C4766">
        <f>LOG10(1.085784)</f>
        <v>3.5743437648535659E-2</v>
      </c>
      <c r="D4766">
        <f>LOG10(2.985482)</f>
        <v>0.47501445708730461</v>
      </c>
    </row>
    <row r="4767" spans="1:4">
      <c r="A4767">
        <v>1.13628</v>
      </c>
      <c r="B4767">
        <v>3.1748599999999998</v>
      </c>
      <c r="C4767">
        <f>LOG10(1.13628)</f>
        <v>5.5485362599627643E-2</v>
      </c>
      <c r="D4767">
        <f>LOG10(3.17486)</f>
        <v>0.50172457921287461</v>
      </c>
    </row>
    <row r="4768" spans="1:4">
      <c r="A4768">
        <v>1.102784</v>
      </c>
      <c r="B4768">
        <v>3.1376330000000001</v>
      </c>
      <c r="C4768">
        <f>LOG10(1.102784)</f>
        <v>4.2490456416218209E-2</v>
      </c>
      <c r="D4768">
        <f>LOG10(3.137633)</f>
        <v>0.49660214403231917</v>
      </c>
    </row>
    <row r="4769" spans="1:4">
      <c r="A4769">
        <v>1.112957</v>
      </c>
      <c r="B4769">
        <v>3.1644329999999998</v>
      </c>
      <c r="C4769">
        <f>LOG10(1.112957)</f>
        <v>4.6478385337877577E-2</v>
      </c>
      <c r="D4769">
        <f>LOG10(3.164433)</f>
        <v>0.50029590486494169</v>
      </c>
    </row>
    <row r="4770" spans="1:4">
      <c r="A4770">
        <v>1.1169519999999999</v>
      </c>
      <c r="B4770">
        <v>3.1694439999999999</v>
      </c>
      <c r="C4770">
        <f>LOG10(1.116952)</f>
        <v>4.8034510104824055E-2</v>
      </c>
      <c r="D4770">
        <f>LOG10(3.169444)</f>
        <v>0.50098308275073278</v>
      </c>
    </row>
    <row r="4771" spans="1:4">
      <c r="A4771">
        <v>1.11422</v>
      </c>
      <c r="B4771">
        <v>3.0972369999999998</v>
      </c>
      <c r="C4771">
        <f>LOG10(1.11422)</f>
        <v>4.6970949682284845E-2</v>
      </c>
      <c r="D4771">
        <f>LOG10(3.097237)</f>
        <v>0.49097443876140501</v>
      </c>
    </row>
    <row r="4772" spans="1:4">
      <c r="A4772">
        <v>1.1077760000000001</v>
      </c>
      <c r="B4772">
        <v>2.8921830000000002</v>
      </c>
      <c r="C4772">
        <f>LOG10(1.107776)</f>
        <v>4.4451951909714418E-2</v>
      </c>
      <c r="D4772">
        <f>LOG10(2.892183)</f>
        <v>0.46122576904287926</v>
      </c>
    </row>
    <row r="4773" spans="1:4">
      <c r="A4773">
        <v>1.1155759999999999</v>
      </c>
      <c r="B4773">
        <v>2.9239359999999999</v>
      </c>
      <c r="C4773">
        <f>LOG10(1.115576)</f>
        <v>4.7499162478483826E-2</v>
      </c>
      <c r="D4773">
        <f>LOG10(2.923936)</f>
        <v>0.46596786242021726</v>
      </c>
    </row>
    <row r="4774" spans="1:4">
      <c r="A4774">
        <v>1.090768</v>
      </c>
      <c r="B4774">
        <v>2.8650769999999999</v>
      </c>
      <c r="C4774">
        <f>LOG10(1.090768)</f>
        <v>3.7732388503847712E-2</v>
      </c>
      <c r="D4774">
        <f>LOG10(2.865077)</f>
        <v>0.45713629828446889</v>
      </c>
    </row>
    <row r="4775" spans="1:4">
      <c r="A4775">
        <v>1.096414</v>
      </c>
      <c r="B4775">
        <v>2.9853139999999998</v>
      </c>
      <c r="C4775">
        <f>LOG10(1.096414)</f>
        <v>3.9974572365388761E-2</v>
      </c>
      <c r="D4775">
        <f>LOG10(2.985314)</f>
        <v>0.47499001764138177</v>
      </c>
    </row>
    <row r="4776" spans="1:4">
      <c r="A4776">
        <v>1.085137</v>
      </c>
      <c r="B4776">
        <v>3.0190489999999999</v>
      </c>
      <c r="C4776">
        <f>LOG10(1.085137)</f>
        <v>3.5484571906197956E-2</v>
      </c>
      <c r="D4776">
        <f>LOG10(3.019049)</f>
        <v>0.47987016179981806</v>
      </c>
    </row>
    <row r="4777" spans="1:4">
      <c r="A4777">
        <v>1.085914</v>
      </c>
      <c r="B4777">
        <v>3.0507439999999999</v>
      </c>
      <c r="C4777">
        <f>LOG10(1.085914)</f>
        <v>3.5795432246969551E-2</v>
      </c>
      <c r="D4777">
        <f>LOG10(3.050744)</f>
        <v>0.48440576580301409</v>
      </c>
    </row>
    <row r="4778" spans="1:4">
      <c r="A4778">
        <v>1.0745469999999999</v>
      </c>
      <c r="B4778">
        <v>2.9579369999999998</v>
      </c>
      <c r="C4778">
        <f>LOG10(1.074547)</f>
        <v>3.1225416006375538E-2</v>
      </c>
      <c r="D4778">
        <f>LOG10(2.957937)</f>
        <v>0.47098891988273672</v>
      </c>
    </row>
    <row r="4779" spans="1:4">
      <c r="A4779">
        <v>1.0463739999999999</v>
      </c>
      <c r="B4779">
        <v>2.953004</v>
      </c>
      <c r="C4779">
        <f>LOG10(1.046374)</f>
        <v>1.9686939889964339E-2</v>
      </c>
      <c r="D4779">
        <f>LOG10(2.953004)</f>
        <v>0.47026403524030735</v>
      </c>
    </row>
    <row r="4780" spans="1:4">
      <c r="A4780">
        <v>1.0575540000000001</v>
      </c>
      <c r="B4780">
        <v>3.1968670000000001</v>
      </c>
      <c r="C4780">
        <f>LOG10(1.057554)</f>
        <v>2.4302552220386082E-2</v>
      </c>
      <c r="D4780">
        <f>LOG10(3.196867)</f>
        <v>0.5047245685933639</v>
      </c>
    </row>
    <row r="4781" spans="1:4">
      <c r="A4781">
        <v>1.0763990000000001</v>
      </c>
      <c r="B4781">
        <v>3.1328</v>
      </c>
      <c r="C4781">
        <f>LOG10(1.076399)</f>
        <v>3.19732856221112E-2</v>
      </c>
      <c r="D4781">
        <f>LOG10(3.1328)</f>
        <v>0.49593267012304382</v>
      </c>
    </row>
    <row r="4782" spans="1:4">
      <c r="A4782">
        <v>1.057939</v>
      </c>
      <c r="B4782">
        <v>3.2731970000000001</v>
      </c>
      <c r="C4782">
        <f>LOG10(1.057939)</f>
        <v>2.4460627314351082E-2</v>
      </c>
      <c r="D4782">
        <f>LOG10(3.273197)</f>
        <v>0.51497214445809736</v>
      </c>
    </row>
    <row r="4783" spans="1:4">
      <c r="A4783">
        <v>1.1069770000000001</v>
      </c>
      <c r="B4783">
        <v>3.4340120000000001</v>
      </c>
      <c r="C4783">
        <f>LOG10(1.106977)</f>
        <v>4.4138597503065251E-2</v>
      </c>
      <c r="D4783">
        <f>LOG10(3.434012)</f>
        <v>0.53580180845002212</v>
      </c>
    </row>
    <row r="4784" spans="1:4">
      <c r="A4784">
        <v>1.0626279999999999</v>
      </c>
      <c r="B4784">
        <v>3.2912539999999999</v>
      </c>
      <c r="C4784">
        <f>LOG10(1.062628)</f>
        <v>2.6381255282811197E-2</v>
      </c>
      <c r="D4784">
        <f>LOG10(3.291254)</f>
        <v>0.5173613999308726</v>
      </c>
    </row>
    <row r="4785" spans="1:4">
      <c r="A4785">
        <v>1.0379659999999999</v>
      </c>
      <c r="B4785">
        <v>3.3909180000000001</v>
      </c>
      <c r="C4785">
        <f>LOG10(1.037966)</f>
        <v>1.6183127833997248E-2</v>
      </c>
      <c r="D4785">
        <f>LOG10(3.390918)</f>
        <v>0.53031728769076592</v>
      </c>
    </row>
    <row r="4786" spans="1:4">
      <c r="A4786">
        <v>1.0399099999999999</v>
      </c>
      <c r="B4786">
        <v>3.3700760000000001</v>
      </c>
      <c r="C4786">
        <f>LOG10(1.03991)</f>
        <v>1.6995754496172803E-2</v>
      </c>
      <c r="D4786">
        <f>LOG10(3.370076)</f>
        <v>0.52763969493912843</v>
      </c>
    </row>
    <row r="4787" spans="1:4">
      <c r="A4787">
        <v>1.063377</v>
      </c>
      <c r="B4787">
        <v>3.4297460000000002</v>
      </c>
      <c r="C4787">
        <f>LOG10(1.063377)</f>
        <v>2.6687262635007987E-2</v>
      </c>
      <c r="D4787">
        <f>LOG10(3.429746)</f>
        <v>0.53526195826930145</v>
      </c>
    </row>
    <row r="4788" spans="1:4">
      <c r="A4788">
        <v>1.0665</v>
      </c>
      <c r="B4788">
        <v>3.264443</v>
      </c>
      <c r="C4788">
        <f>LOG10(1.0665)</f>
        <v>2.7960859785447545E-2</v>
      </c>
      <c r="D4788">
        <f>LOG10(3.264443)</f>
        <v>0.51380908984917029</v>
      </c>
    </row>
    <row r="4789" spans="1:4">
      <c r="A4789">
        <v>1.0663039999999999</v>
      </c>
      <c r="B4789">
        <v>3.337663</v>
      </c>
      <c r="C4789">
        <f>LOG10(1.066304)</f>
        <v>2.788103836848406E-2</v>
      </c>
      <c r="D4789">
        <f>LOG10(3.337663)</f>
        <v>0.52344248434175578</v>
      </c>
    </row>
    <row r="4790" spans="1:4">
      <c r="A4790">
        <v>1.059564</v>
      </c>
      <c r="B4790">
        <v>3.359785</v>
      </c>
      <c r="C4790">
        <f>LOG10(1.059564)</f>
        <v>2.5127194182622624E-2</v>
      </c>
      <c r="D4790">
        <f>LOG10(3.359785)</f>
        <v>0.5263114868240325</v>
      </c>
    </row>
    <row r="4791" spans="1:4">
      <c r="A4791">
        <v>1.074219</v>
      </c>
      <c r="B4791">
        <v>3.4495209999999998</v>
      </c>
      <c r="C4791">
        <f>LOG10(1.074219)</f>
        <v>3.1092829590571674E-2</v>
      </c>
      <c r="D4791">
        <f>LOG10(3.449521)</f>
        <v>0.53775879318937059</v>
      </c>
    </row>
    <row r="4792" spans="1:4">
      <c r="A4792">
        <v>1.0801369999999999</v>
      </c>
      <c r="B4792">
        <v>3.3629410000000002</v>
      </c>
      <c r="C4792">
        <f>LOG10(1.080137)</f>
        <v>3.3478843052322155E-2</v>
      </c>
      <c r="D4792">
        <f>LOG10(3.362941)</f>
        <v>0.52671924804636283</v>
      </c>
    </row>
    <row r="4793" spans="1:4">
      <c r="A4793">
        <v>1.049736</v>
      </c>
      <c r="B4793">
        <v>3.2961689999999999</v>
      </c>
      <c r="C4793">
        <f>LOG10(1.049736)</f>
        <v>2.1080091299221556E-2</v>
      </c>
      <c r="D4793">
        <f>LOG10(3.296169)</f>
        <v>0.51800947058753222</v>
      </c>
    </row>
    <row r="4794" spans="1:4">
      <c r="A4794">
        <v>1.0422629999999999</v>
      </c>
      <c r="B4794">
        <v>3.4038689999999998</v>
      </c>
      <c r="C4794">
        <f>LOG10(1.042263)</f>
        <v>1.7977320726187962E-2</v>
      </c>
      <c r="D4794">
        <f>LOG10(3.403869)</f>
        <v>0.53197283764290038</v>
      </c>
    </row>
    <row r="4795" spans="1:4">
      <c r="A4795">
        <v>1.041372</v>
      </c>
      <c r="B4795">
        <v>3.401732</v>
      </c>
      <c r="C4795">
        <f>LOG10(1.041372)</f>
        <v>1.7605896357753267E-2</v>
      </c>
      <c r="D4795">
        <f>LOG10(3.401732)</f>
        <v>0.53170009543002883</v>
      </c>
    </row>
    <row r="4796" spans="1:4">
      <c r="A4796">
        <v>1.049247</v>
      </c>
      <c r="B4796">
        <v>3.2671169999999998</v>
      </c>
      <c r="C4796">
        <f>LOG10(1.049247)</f>
        <v>2.0877736153426852E-2</v>
      </c>
      <c r="D4796">
        <f>LOG10(3.267117)</f>
        <v>0.51416468744285071</v>
      </c>
    </row>
    <row r="4797" spans="1:4">
      <c r="A4797">
        <v>1.0536380000000001</v>
      </c>
      <c r="B4797">
        <v>3.398514</v>
      </c>
      <c r="C4797">
        <f>LOG10(1.053638)</f>
        <v>2.2691425291531803E-2</v>
      </c>
      <c r="D4797">
        <f>LOG10(3.398514)</f>
        <v>0.53128906331528303</v>
      </c>
    </row>
    <row r="4798" spans="1:4">
      <c r="A4798">
        <v>1.0456129999999999</v>
      </c>
      <c r="B4798">
        <v>3.5542750000000001</v>
      </c>
      <c r="C4798">
        <f>LOG10(1.045613)</f>
        <v>1.937097414514239E-2</v>
      </c>
      <c r="D4798">
        <f>LOG10(3.554275)</f>
        <v>0.55075102683510158</v>
      </c>
    </row>
    <row r="4799" spans="1:4">
      <c r="A4799">
        <v>1.049941</v>
      </c>
      <c r="B4799">
        <v>3.610331</v>
      </c>
      <c r="C4799">
        <f>LOG10(1.049941)</f>
        <v>2.1164895170553255E-2</v>
      </c>
      <c r="D4799">
        <f>LOG10(3.610331)</f>
        <v>0.55754702043298321</v>
      </c>
    </row>
    <row r="4800" spans="1:4">
      <c r="A4800">
        <v>1.0518419999999999</v>
      </c>
      <c r="B4800">
        <v>3.4422350000000002</v>
      </c>
      <c r="C4800">
        <f>LOG10(1.051842)</f>
        <v>2.1950508181247802E-2</v>
      </c>
      <c r="D4800">
        <f>LOG10(3.442235)</f>
        <v>0.53684051611338857</v>
      </c>
    </row>
    <row r="4801" spans="1:4">
      <c r="A4801">
        <v>1.0555760000000001</v>
      </c>
      <c r="B4801">
        <v>3.2674240000000001</v>
      </c>
      <c r="C4801">
        <f>LOG10(1.055576)</f>
        <v>2.348950736645062E-2</v>
      </c>
      <c r="D4801">
        <f>LOG10(3.267424)</f>
        <v>0.5142054947179272</v>
      </c>
    </row>
    <row r="4802" spans="1:4">
      <c r="A4802">
        <v>1.0440039999999999</v>
      </c>
      <c r="B4802">
        <v>3.1957019999999998</v>
      </c>
      <c r="C4802">
        <f>LOG10(1.044004)</f>
        <v>1.8702162626587859E-2</v>
      </c>
      <c r="D4802">
        <f>LOG10(3.195702)</f>
        <v>0.50456627446246949</v>
      </c>
    </row>
    <row r="4803" spans="1:4">
      <c r="A4803">
        <v>1.0629770000000001</v>
      </c>
      <c r="B4803">
        <v>3.1860050000000002</v>
      </c>
      <c r="C4803">
        <f>LOG10(1.062977)</f>
        <v>2.6523867645452698E-2</v>
      </c>
      <c r="D4803">
        <f>LOG10(3.186005)</f>
        <v>0.50324645303156146</v>
      </c>
    </row>
    <row r="4804" spans="1:4">
      <c r="A4804">
        <v>1.0478460000000001</v>
      </c>
      <c r="B4804">
        <v>3.203335</v>
      </c>
      <c r="C4804">
        <f>LOG10(1.047846)</f>
        <v>2.0297459876060079E-2</v>
      </c>
      <c r="D4804">
        <f>LOG10(3.203335)</f>
        <v>0.50560235890849214</v>
      </c>
    </row>
    <row r="4805" spans="1:4">
      <c r="A4805">
        <v>1.052254</v>
      </c>
      <c r="B4805">
        <v>3.3119529999999999</v>
      </c>
      <c r="C4805">
        <f>LOG10(1.052254)</f>
        <v>2.2120585334410917E-2</v>
      </c>
      <c r="D4805">
        <f>LOG10(3.311953)</f>
        <v>0.52008416507374799</v>
      </c>
    </row>
    <row r="4806" spans="1:4">
      <c r="A4806">
        <v>1.0591729999999999</v>
      </c>
      <c r="B4806">
        <v>3.284608</v>
      </c>
      <c r="C4806">
        <f>LOG10(1.059173)</f>
        <v>2.4966901381437877E-2</v>
      </c>
      <c r="D4806">
        <f>LOG10(3.284608)</f>
        <v>0.51648354631731752</v>
      </c>
    </row>
    <row r="4807" spans="1:4">
      <c r="A4807">
        <v>1.0409569999999999</v>
      </c>
      <c r="B4807">
        <v>3.305005</v>
      </c>
      <c r="C4807">
        <f>LOG10(1.040957)</f>
        <v>1.7432789982750968E-2</v>
      </c>
      <c r="D4807">
        <f>LOG10(3.305005)</f>
        <v>0.51917212084760966</v>
      </c>
    </row>
    <row r="4808" spans="1:4">
      <c r="A4808">
        <v>1.042076</v>
      </c>
      <c r="B4808">
        <v>3.4030330000000002</v>
      </c>
      <c r="C4808">
        <f>LOG10(1.042076)</f>
        <v>1.7899393797474565E-2</v>
      </c>
      <c r="D4808">
        <f>LOG10(3.403033)</f>
        <v>0.53186616057051217</v>
      </c>
    </row>
    <row r="4809" spans="1:4">
      <c r="A4809">
        <v>1.0496449999999999</v>
      </c>
      <c r="B4809">
        <v>3.3433820000000001</v>
      </c>
      <c r="C4809">
        <f>LOG10(1.049645)</f>
        <v>2.1042441346327847E-2</v>
      </c>
      <c r="D4809">
        <f>LOG10(3.343382)</f>
        <v>0.52418599998897863</v>
      </c>
    </row>
    <row r="4810" spans="1:4">
      <c r="A4810">
        <v>1.0473980000000001</v>
      </c>
      <c r="B4810">
        <v>3.4930560000000002</v>
      </c>
      <c r="C4810">
        <f>LOG10(1.047398)</f>
        <v>2.0111740283632964E-2</v>
      </c>
      <c r="D4810">
        <f>LOG10(3.493056)</f>
        <v>0.54320554821881906</v>
      </c>
    </row>
    <row r="4811" spans="1:4">
      <c r="A4811">
        <v>1.05196</v>
      </c>
      <c r="B4811">
        <v>3.4728500000000002</v>
      </c>
      <c r="C4811">
        <f>LOG10(1.05196)</f>
        <v>2.1999226405603849E-2</v>
      </c>
      <c r="D4811">
        <f>LOG10(3.47285)</f>
        <v>0.54068602558570478</v>
      </c>
    </row>
    <row r="4812" spans="1:4">
      <c r="A4812">
        <v>1.0717490000000001</v>
      </c>
      <c r="B4812">
        <v>3.4651890000000001</v>
      </c>
      <c r="C4812">
        <f>LOG10(1.071749)</f>
        <v>3.00930869625308E-2</v>
      </c>
      <c r="D4812">
        <f>LOG10(3.465189)</f>
        <v>0.5397269270917131</v>
      </c>
    </row>
    <row r="4813" spans="1:4">
      <c r="A4813">
        <v>1.069998</v>
      </c>
      <c r="B4813">
        <v>3.3737900000000001</v>
      </c>
      <c r="C4813">
        <f>LOG10(1.069998)</f>
        <v>2.9382965919064249E-2</v>
      </c>
      <c r="D4813">
        <f>LOG10(3.37379)</f>
        <v>0.52811804663498285</v>
      </c>
    </row>
    <row r="4814" spans="1:4">
      <c r="A4814">
        <v>1.055599</v>
      </c>
      <c r="B4814">
        <v>3.3940579999999998</v>
      </c>
      <c r="C4814">
        <f>LOG10(1.055599)</f>
        <v>2.349897012826252E-2</v>
      </c>
      <c r="D4814">
        <f>LOG10(3.394058)</f>
        <v>0.53071925956819943</v>
      </c>
    </row>
    <row r="4815" spans="1:4">
      <c r="A4815">
        <v>1.0931139999999999</v>
      </c>
      <c r="B4815">
        <v>3.2349610000000002</v>
      </c>
      <c r="C4815">
        <f>LOG10(1.093114)</f>
        <v>3.8665456541825446E-2</v>
      </c>
      <c r="D4815">
        <f>LOG10(3.234961)</f>
        <v>0.50986904927461374</v>
      </c>
    </row>
    <row r="4816" spans="1:4">
      <c r="A4816">
        <v>1.095817</v>
      </c>
      <c r="B4816">
        <v>3.3450340000000001</v>
      </c>
      <c r="C4816">
        <f>LOG10(1.095817)</f>
        <v>3.9738033595427415E-2</v>
      </c>
      <c r="D4816">
        <f>LOG10(3.345034)</f>
        <v>0.5244005364348856</v>
      </c>
    </row>
    <row r="4817" spans="1:4">
      <c r="A4817">
        <v>1.0470109999999999</v>
      </c>
      <c r="B4817">
        <v>3.3249140000000001</v>
      </c>
      <c r="C4817">
        <f>LOG10(1.047011)</f>
        <v>1.9951244443126705E-2</v>
      </c>
      <c r="D4817">
        <f>LOG10(3.324914)</f>
        <v>0.52178041661402086</v>
      </c>
    </row>
    <row r="4818" spans="1:4">
      <c r="A4818">
        <v>1.0521039999999999</v>
      </c>
      <c r="B4818">
        <v>3.3278129999999999</v>
      </c>
      <c r="C4818">
        <f>LOG10(1.052104)</f>
        <v>2.2058671750889616E-2</v>
      </c>
      <c r="D4818">
        <f>LOG10(3.327813)</f>
        <v>0.52215891396788139</v>
      </c>
    </row>
    <row r="4819" spans="1:4">
      <c r="A4819">
        <v>1.066514</v>
      </c>
      <c r="B4819">
        <v>3.3030010000000001</v>
      </c>
      <c r="C4819">
        <f>LOG10(1.066514)</f>
        <v>2.7966560753886305E-2</v>
      </c>
      <c r="D4819">
        <f>LOG10(3.303001)</f>
        <v>0.51890870517625109</v>
      </c>
    </row>
    <row r="4820" spans="1:4">
      <c r="A4820">
        <v>1.0641700000000001</v>
      </c>
      <c r="B4820">
        <v>3.5028830000000002</v>
      </c>
      <c r="C4820">
        <f>LOG10(1.06417)</f>
        <v>2.7011011572256341E-2</v>
      </c>
      <c r="D4820">
        <f>LOG10(3.502883)</f>
        <v>0.54442563166454705</v>
      </c>
    </row>
    <row r="4821" spans="1:4">
      <c r="A4821">
        <v>1.05738</v>
      </c>
      <c r="B4821">
        <v>3.399384</v>
      </c>
      <c r="C4821">
        <f>LOG10(1.05738)</f>
        <v>2.423109160741025E-2</v>
      </c>
      <c r="D4821">
        <f>LOG10(3.399384)</f>
        <v>0.53140022597212744</v>
      </c>
    </row>
    <row r="4822" spans="1:4">
      <c r="A4822">
        <v>1.0595479999999999</v>
      </c>
      <c r="B4822">
        <v>3.340964</v>
      </c>
      <c r="C4822">
        <f>LOG10(1.059548)</f>
        <v>2.5120636047223841E-2</v>
      </c>
      <c r="D4822">
        <f>LOG10(3.340964)</f>
        <v>0.52387179599563438</v>
      </c>
    </row>
    <row r="4823" spans="1:4">
      <c r="A4823">
        <v>1.082748</v>
      </c>
      <c r="B4823">
        <v>3.1173760000000001</v>
      </c>
      <c r="C4823">
        <f>LOG10(1.082748)</f>
        <v>3.4527390194753635E-2</v>
      </c>
      <c r="D4823">
        <f>LOG10(3.117376)</f>
        <v>0.49378918754375145</v>
      </c>
    </row>
    <row r="4824" spans="1:4">
      <c r="A4824">
        <v>1.0422899999999999</v>
      </c>
      <c r="B4824">
        <v>3.0553460000000001</v>
      </c>
      <c r="C4824">
        <f>LOG10(1.04229)</f>
        <v>1.798857105276833E-2</v>
      </c>
      <c r="D4824">
        <f>LOG10(3.055346)</f>
        <v>0.48506039866435124</v>
      </c>
    </row>
    <row r="4825" spans="1:4">
      <c r="A4825">
        <v>1.0382880000000001</v>
      </c>
      <c r="B4825">
        <v>3.023695</v>
      </c>
      <c r="C4825">
        <f>LOG10(1.038288)</f>
        <v>1.6317834689992785E-2</v>
      </c>
      <c r="D4825">
        <f>LOG10(3.023695)</f>
        <v>0.48053798177051671</v>
      </c>
    </row>
    <row r="4826" spans="1:4">
      <c r="A4826">
        <v>1.0552699999999999</v>
      </c>
      <c r="B4826">
        <v>2.9417469999999999</v>
      </c>
      <c r="C4826">
        <f>LOG10(1.05527)</f>
        <v>2.3363591868689648E-2</v>
      </c>
      <c r="D4826">
        <f>LOG10(2.941747)</f>
        <v>0.46860531923153237</v>
      </c>
    </row>
    <row r="4827" spans="1:4">
      <c r="A4827">
        <v>1.060287</v>
      </c>
      <c r="B4827">
        <v>2.8956050000000002</v>
      </c>
      <c r="C4827">
        <f>LOG10(1.060287)</f>
        <v>2.5423436628521902E-2</v>
      </c>
      <c r="D4827">
        <f>LOG10(2.895605)</f>
        <v>0.46173931787716449</v>
      </c>
    </row>
    <row r="4828" spans="1:4">
      <c r="A4828">
        <v>1.0679000000000001</v>
      </c>
      <c r="B4828">
        <v>2.9691589999999999</v>
      </c>
      <c r="C4828">
        <f>LOG10(1.0679)</f>
        <v>2.8530586511328729E-2</v>
      </c>
      <c r="D4828">
        <f>LOG10(2.969159)</f>
        <v>0.47263345491287939</v>
      </c>
    </row>
    <row r="4829" spans="1:4">
      <c r="A4829">
        <v>1.065229</v>
      </c>
      <c r="B4829">
        <v>2.9972569999999998</v>
      </c>
      <c r="C4829">
        <f>LOG10(1.065229)</f>
        <v>2.744298124468764E-2</v>
      </c>
      <c r="D4829">
        <f>LOG10(2.997257)</f>
        <v>0.47672398315136749</v>
      </c>
    </row>
    <row r="4830" spans="1:4">
      <c r="A4830">
        <v>1.077472</v>
      </c>
      <c r="B4830">
        <v>2.9597609999999999</v>
      </c>
      <c r="C4830">
        <f>LOG10(1.077472)</f>
        <v>3.2405993075465656E-2</v>
      </c>
      <c r="D4830">
        <f>LOG10(2.959761)</f>
        <v>0.47125664329818562</v>
      </c>
    </row>
    <row r="4831" spans="1:4">
      <c r="A4831">
        <v>1.075758</v>
      </c>
      <c r="B4831">
        <v>2.9204370000000002</v>
      </c>
      <c r="C4831">
        <f>LOG10(1.075758)</f>
        <v>3.1714584448236126E-2</v>
      </c>
      <c r="D4831">
        <f>LOG10(2.920437)</f>
        <v>0.46544784202667328</v>
      </c>
    </row>
    <row r="4832" spans="1:4">
      <c r="A4832">
        <v>1.077963</v>
      </c>
      <c r="B4832">
        <v>2.8572989999999998</v>
      </c>
      <c r="C4832">
        <f>LOG10(1.077963)</f>
        <v>3.2603854383556966E-2</v>
      </c>
      <c r="D4832">
        <f>LOG10(2.857299)</f>
        <v>0.45595568919464713</v>
      </c>
    </row>
    <row r="4833" spans="1:4">
      <c r="A4833">
        <v>1.071186</v>
      </c>
      <c r="B4833">
        <v>2.8041260000000001</v>
      </c>
      <c r="C4833">
        <f>LOG10(1.071186)</f>
        <v>2.9864887974752646E-2</v>
      </c>
      <c r="D4833">
        <f>LOG10(2.804126)</f>
        <v>0.44779752422874664</v>
      </c>
    </row>
    <row r="4834" spans="1:4">
      <c r="A4834">
        <v>1.080724</v>
      </c>
      <c r="B4834">
        <v>2.923047</v>
      </c>
      <c r="C4834">
        <f>LOG10(1.080724)</f>
        <v>3.3714796098027612E-2</v>
      </c>
      <c r="D4834">
        <f>LOG10(2.923047)</f>
        <v>0.4658357984831793</v>
      </c>
    </row>
    <row r="4835" spans="1:4">
      <c r="A4835">
        <v>1.0808</v>
      </c>
      <c r="B4835">
        <v>2.8710689999999999</v>
      </c>
      <c r="C4835">
        <f>LOG10(1.0808)</f>
        <v>3.374533601397417E-2</v>
      </c>
      <c r="D4835">
        <f>LOG10(2.871069)</f>
        <v>0.45804362996051162</v>
      </c>
    </row>
    <row r="4836" spans="1:4">
      <c r="A4836">
        <v>1.082719</v>
      </c>
      <c r="B4836">
        <v>2.9335290000000001</v>
      </c>
      <c r="C4836">
        <f>LOG10(1.082719)</f>
        <v>3.4515758024902081E-2</v>
      </c>
      <c r="D4836">
        <f>LOG10(2.933529)</f>
        <v>0.46739038588036208</v>
      </c>
    </row>
    <row r="4837" spans="1:4">
      <c r="A4837">
        <v>1.070397</v>
      </c>
      <c r="B4837">
        <v>2.9093399999999998</v>
      </c>
      <c r="C4837">
        <f>LOG10(1.070397)</f>
        <v>2.9544883228987538E-2</v>
      </c>
      <c r="D4837">
        <f>LOG10(2.90934)</f>
        <v>0.46379447803473922</v>
      </c>
    </row>
    <row r="4838" spans="1:4">
      <c r="A4838">
        <v>1.0643339999999999</v>
      </c>
      <c r="B4838">
        <v>2.8401360000000002</v>
      </c>
      <c r="C4838">
        <f>LOG10(1.064334)</f>
        <v>2.7077935848812087E-2</v>
      </c>
      <c r="D4838">
        <f>LOG10(2.840136)</f>
        <v>0.45333913674963433</v>
      </c>
    </row>
    <row r="4839" spans="1:4">
      <c r="A4839">
        <v>1.0788960000000001</v>
      </c>
      <c r="B4839">
        <v>2.7899959999999999</v>
      </c>
      <c r="C4839">
        <f>LOG10(1.078896)</f>
        <v>3.2979582956346579E-2</v>
      </c>
      <c r="D4839">
        <f>LOG10(2.789996)</f>
        <v>0.44560358062873268</v>
      </c>
    </row>
    <row r="4840" spans="1:4">
      <c r="A4840">
        <v>1.0655349999999999</v>
      </c>
      <c r="B4840">
        <v>2.933243</v>
      </c>
      <c r="C4840">
        <f>LOG10(1.065535)</f>
        <v>2.7567719706925561E-2</v>
      </c>
      <c r="D4840">
        <f>LOG10(2.933243)</f>
        <v>0.46734804292859139</v>
      </c>
    </row>
    <row r="4841" spans="1:4">
      <c r="A4841">
        <v>1.053517</v>
      </c>
      <c r="B4841">
        <v>3.007771</v>
      </c>
      <c r="C4841">
        <f>LOG10(1.053517)</f>
        <v>2.264154796179757E-2</v>
      </c>
      <c r="D4841">
        <f>LOG10(3.007771)</f>
        <v>0.47824476768348134</v>
      </c>
    </row>
    <row r="4842" spans="1:4">
      <c r="A4842">
        <v>1.0567839999999999</v>
      </c>
      <c r="B4842">
        <v>2.9771459999999998</v>
      </c>
      <c r="C4842">
        <f>LOG10(1.056784)</f>
        <v>2.3986229318513831E-2</v>
      </c>
      <c r="D4842">
        <f>LOG10(2.977146)</f>
        <v>0.47380013308125107</v>
      </c>
    </row>
    <row r="4843" spans="1:4">
      <c r="A4843">
        <v>1.0751459999999999</v>
      </c>
      <c r="B4843">
        <v>2.9008959999999999</v>
      </c>
      <c r="C4843">
        <f>LOG10(1.075146)</f>
        <v>3.146744349717797E-2</v>
      </c>
      <c r="D4843">
        <f>LOG10(2.900896)</f>
        <v>0.46253215919365259</v>
      </c>
    </row>
    <row r="4844" spans="1:4">
      <c r="A4844">
        <v>1.093631</v>
      </c>
      <c r="B4844">
        <v>2.9588190000000001</v>
      </c>
      <c r="C4844">
        <f>LOG10(1.093631)</f>
        <v>3.8870812220084698E-2</v>
      </c>
      <c r="D4844">
        <f>LOG10(2.958819)</f>
        <v>0.47111839885258983</v>
      </c>
    </row>
    <row r="4845" spans="1:4">
      <c r="A4845">
        <v>1.069744</v>
      </c>
      <c r="B4845">
        <v>2.9096540000000002</v>
      </c>
      <c r="C4845">
        <f>LOG10(1.069744)</f>
        <v>2.9279859283851638E-2</v>
      </c>
      <c r="D4845">
        <f>LOG10(2.909654)</f>
        <v>0.46384134815264966</v>
      </c>
    </row>
    <row r="4846" spans="1:4">
      <c r="A4846">
        <v>1.081232</v>
      </c>
      <c r="B4846">
        <v>2.8562810000000001</v>
      </c>
      <c r="C4846">
        <f>LOG10(1.081232)</f>
        <v>3.3918890539234699E-2</v>
      </c>
      <c r="D4846">
        <f>LOG10(2.856281)</f>
        <v>0.45580093095646523</v>
      </c>
    </row>
    <row r="4847" spans="1:4">
      <c r="A4847">
        <v>1.0875189999999999</v>
      </c>
      <c r="B4847">
        <v>2.8693659999999999</v>
      </c>
      <c r="C4847">
        <f>LOG10(1.087519)</f>
        <v>3.6436853234099363E-2</v>
      </c>
      <c r="D4847">
        <f>LOG10(2.869366)</f>
        <v>0.45778594791224209</v>
      </c>
    </row>
    <row r="4848" spans="1:4">
      <c r="A4848">
        <v>1.0896509999999999</v>
      </c>
      <c r="B4848">
        <v>2.8878819999999998</v>
      </c>
      <c r="C4848">
        <f>LOG10(1.089651)</f>
        <v>3.728742175321606E-2</v>
      </c>
      <c r="D4848">
        <f>LOG10(2.887882)</f>
        <v>0.46057944381594235</v>
      </c>
    </row>
    <row r="4849" spans="1:4">
      <c r="A4849">
        <v>1.087062</v>
      </c>
      <c r="B4849">
        <v>2.6871230000000002</v>
      </c>
      <c r="C4849">
        <f>LOG10(1.087062)</f>
        <v>3.6254314546277089E-2</v>
      </c>
      <c r="D4849">
        <f>LOG10(2.687123)</f>
        <v>0.42928754622426496</v>
      </c>
    </row>
    <row r="4850" spans="1:4">
      <c r="A4850">
        <v>1.0906279999999999</v>
      </c>
      <c r="B4850">
        <v>3.0129959999999998</v>
      </c>
      <c r="C4850">
        <f>LOG10(1.090628)</f>
        <v>3.7676643258555298E-2</v>
      </c>
      <c r="D4850">
        <f>LOG10(3.012996)</f>
        <v>0.47899855511209566</v>
      </c>
    </row>
    <row r="4851" spans="1:4">
      <c r="A4851">
        <v>1.097296</v>
      </c>
      <c r="B4851">
        <v>3.033074</v>
      </c>
      <c r="C4851">
        <f>LOG10(1.097296)</f>
        <v>4.0323796058291395E-2</v>
      </c>
      <c r="D4851">
        <f>LOG10(3.033074)</f>
        <v>0.48188300622217478</v>
      </c>
    </row>
    <row r="4852" spans="1:4">
      <c r="A4852">
        <v>1.0826290000000001</v>
      </c>
      <c r="B4852">
        <v>2.9565540000000001</v>
      </c>
      <c r="C4852">
        <f>LOG10(1.082629)</f>
        <v>3.4479656203491603E-2</v>
      </c>
      <c r="D4852">
        <f>LOG10(2.956554)</f>
        <v>0.47078581558198823</v>
      </c>
    </row>
    <row r="4853" spans="1:4">
      <c r="A4853">
        <v>1.1060449999999999</v>
      </c>
      <c r="B4853">
        <v>2.9725299999999999</v>
      </c>
      <c r="C4853">
        <f>LOG10(1.106045)</f>
        <v>4.3772796818694545E-2</v>
      </c>
      <c r="D4853">
        <f>LOG10(2.97253)</f>
        <v>0.47312624639206163</v>
      </c>
    </row>
    <row r="4854" spans="1:4">
      <c r="A4854">
        <v>1.0901639999999999</v>
      </c>
      <c r="B4854">
        <v>2.759512</v>
      </c>
      <c r="C4854">
        <f>LOG10(1.090164)</f>
        <v>3.7491836415313097E-2</v>
      </c>
      <c r="D4854">
        <f>LOG10(2.759512)</f>
        <v>0.4408322869761877</v>
      </c>
    </row>
    <row r="4855" spans="1:4">
      <c r="A4855">
        <v>1.0877239999999999</v>
      </c>
      <c r="B4855">
        <v>2.9309069999999999</v>
      </c>
      <c r="C4855">
        <f>LOG10(1.087724)</f>
        <v>3.6518711094626899E-2</v>
      </c>
      <c r="D4855">
        <f>LOG10(2.930907)</f>
        <v>0.46700203814924962</v>
      </c>
    </row>
    <row r="4856" spans="1:4">
      <c r="A4856">
        <v>1.075963</v>
      </c>
      <c r="B4856">
        <v>3.0286</v>
      </c>
      <c r="C4856">
        <f>LOG10(1.075963)</f>
        <v>3.1797337155543011E-2</v>
      </c>
      <c r="D4856">
        <f>LOG10(3.0286)</f>
        <v>0.48124191801292249</v>
      </c>
    </row>
    <row r="4857" spans="1:4">
      <c r="A4857">
        <v>1.1059859999999999</v>
      </c>
      <c r="B4857">
        <v>2.7989790000000001</v>
      </c>
      <c r="C4857">
        <f>LOG10(1.105986)</f>
        <v>4.3749629535380363E-2</v>
      </c>
      <c r="D4857">
        <f>LOG10(2.798979)</f>
        <v>0.44699964008162041</v>
      </c>
    </row>
    <row r="4858" spans="1:4">
      <c r="A4858">
        <v>1.094371</v>
      </c>
      <c r="B4858">
        <v>2.897697</v>
      </c>
      <c r="C4858">
        <f>LOG10(1.094371)</f>
        <v>3.9164576054726501E-2</v>
      </c>
      <c r="D4858">
        <f>LOG10(2.897697)</f>
        <v>0.46205297116008753</v>
      </c>
    </row>
    <row r="4859" spans="1:4">
      <c r="A4859">
        <v>1.0991439999999999</v>
      </c>
      <c r="B4859">
        <v>2.9965519999999999</v>
      </c>
      <c r="C4859">
        <f>LOG10(1.099144)</f>
        <v>4.1054593523221508E-2</v>
      </c>
      <c r="D4859">
        <f>LOG10(2.996552)</f>
        <v>0.47662181853078855</v>
      </c>
    </row>
    <row r="4860" spans="1:4">
      <c r="A4860">
        <v>1.056535</v>
      </c>
      <c r="B4860">
        <v>3.0285880000000001</v>
      </c>
      <c r="C4860">
        <f>LOG10(1.056535)</f>
        <v>2.3883888567785429E-2</v>
      </c>
      <c r="D4860">
        <f>LOG10(3.028588)</f>
        <v>0.48124019723629058</v>
      </c>
    </row>
    <row r="4861" spans="1:4">
      <c r="A4861">
        <v>1.1112310000000001</v>
      </c>
      <c r="B4861">
        <v>3.0737960000000002</v>
      </c>
      <c r="C4861">
        <f>LOG10(1.111231)</f>
        <v>4.5804348407337152E-2</v>
      </c>
      <c r="D4861">
        <f>LOG10(3.073796)</f>
        <v>0.48767504110315674</v>
      </c>
    </row>
    <row r="4862" spans="1:4">
      <c r="A4862">
        <v>1.0942270000000001</v>
      </c>
      <c r="B4862">
        <v>2.8873169999999999</v>
      </c>
      <c r="C4862">
        <f>LOG10(1.094227)</f>
        <v>3.9107426769673437E-2</v>
      </c>
      <c r="D4862">
        <f>LOG10(2.887317)</f>
        <v>0.46049446791015691</v>
      </c>
    </row>
    <row r="4863" spans="1:4">
      <c r="A4863">
        <v>1.0986370000000001</v>
      </c>
      <c r="B4863">
        <v>2.9529809999999999</v>
      </c>
      <c r="C4863">
        <f>LOG10(1.098637)</f>
        <v>4.0854221141959919E-2</v>
      </c>
      <c r="D4863">
        <f>LOG10(2.952981)</f>
        <v>0.4702606526468589</v>
      </c>
    </row>
    <row r="4864" spans="1:4">
      <c r="A4864">
        <v>1.0838159999999999</v>
      </c>
      <c r="B4864">
        <v>2.9382259999999998</v>
      </c>
      <c r="C4864">
        <f>LOG10(1.083816)</f>
        <v>3.4955558062623654E-2</v>
      </c>
      <c r="D4864">
        <f>LOG10(2.938226)</f>
        <v>0.46808519743724736</v>
      </c>
    </row>
    <row r="4865" spans="1:4">
      <c r="A4865">
        <v>1.0941890000000001</v>
      </c>
      <c r="B4865">
        <v>3.041086</v>
      </c>
      <c r="C4865">
        <f>LOG10(1.094189)</f>
        <v>3.9092344454141136E-2</v>
      </c>
      <c r="D4865">
        <f>LOG10(3.041086)</f>
        <v>0.48302870189267899</v>
      </c>
    </row>
    <row r="4866" spans="1:4">
      <c r="A4866">
        <v>1.1052820000000001</v>
      </c>
      <c r="B4866">
        <v>2.9794619999999998</v>
      </c>
      <c r="C4866">
        <f>LOG10(1.105282)</f>
        <v>4.3473097404865414E-2</v>
      </c>
      <c r="D4866">
        <f>LOG10(2.979462)</f>
        <v>0.47413785081281007</v>
      </c>
    </row>
    <row r="4867" spans="1:4">
      <c r="A4867">
        <v>1.085958</v>
      </c>
      <c r="B4867">
        <v>3.0340410000000002</v>
      </c>
      <c r="C4867">
        <f>LOG10(1.085958)</f>
        <v>3.5813029008847162E-2</v>
      </c>
      <c r="D4867">
        <f>LOG10(3.034041)</f>
        <v>0.48202144525540774</v>
      </c>
    </row>
    <row r="4868" spans="1:4">
      <c r="A4868">
        <v>1.0873079999999999</v>
      </c>
      <c r="B4868">
        <v>2.992372</v>
      </c>
      <c r="C4868">
        <f>LOG10(1.087308)</f>
        <v>3.6352583417724002E-2</v>
      </c>
      <c r="D4868">
        <f>LOG10(2.992372)</f>
        <v>0.4760155823424071</v>
      </c>
    </row>
    <row r="4869" spans="1:4">
      <c r="A4869">
        <v>1.119818</v>
      </c>
      <c r="B4869">
        <v>3.019355</v>
      </c>
      <c r="C4869">
        <f>LOG10(1.119818)</f>
        <v>4.9147444082206733E-2</v>
      </c>
      <c r="D4869">
        <f>LOG10(3.019355)</f>
        <v>0.47991417810332349</v>
      </c>
    </row>
    <row r="4870" spans="1:4">
      <c r="A4870">
        <v>1.13706</v>
      </c>
      <c r="B4870">
        <v>3.113645</v>
      </c>
      <c r="C4870">
        <f>LOG10(1.13706)</f>
        <v>5.5783381997674027E-2</v>
      </c>
      <c r="D4870">
        <f>LOG10(3.113645)</f>
        <v>0.49326909528098029</v>
      </c>
    </row>
    <row r="4871" spans="1:4">
      <c r="A4871">
        <v>1.105518</v>
      </c>
      <c r="B4871">
        <v>3.080225</v>
      </c>
      <c r="C4871">
        <f>LOG10(1.105518)</f>
        <v>4.3565818137738979E-2</v>
      </c>
      <c r="D4871">
        <f>LOG10(3.080225)</f>
        <v>0.48858244139960677</v>
      </c>
    </row>
    <row r="4872" spans="1:4">
      <c r="A4872">
        <v>1.110816</v>
      </c>
      <c r="B4872">
        <v>3.1936059999999999</v>
      </c>
      <c r="C4872">
        <f>LOG10(1.110816)</f>
        <v>4.5642126625272741E-2</v>
      </c>
      <c r="D4872">
        <f>LOG10(3.193606)</f>
        <v>0.50428133554053223</v>
      </c>
    </row>
    <row r="4873" spans="1:4">
      <c r="A4873">
        <v>1.0947499999999999</v>
      </c>
      <c r="B4873">
        <v>3.026411</v>
      </c>
      <c r="C4873">
        <f>LOG10(1.09475)</f>
        <v>3.9314953864163088E-2</v>
      </c>
      <c r="D4873">
        <f>LOG10(3.026411)</f>
        <v>0.48092790680392472</v>
      </c>
    </row>
    <row r="4874" spans="1:4">
      <c r="A4874">
        <v>1.1189229999999999</v>
      </c>
      <c r="B4874">
        <v>2.8958819999999998</v>
      </c>
      <c r="C4874">
        <f>LOG10(1.118923)</f>
        <v>4.8800201071951592E-2</v>
      </c>
      <c r="D4874">
        <f>LOG10(2.895882)</f>
        <v>0.46178086146401143</v>
      </c>
    </row>
    <row r="4875" spans="1:4">
      <c r="A4875">
        <v>1.0328010000000001</v>
      </c>
      <c r="B4875">
        <v>3.1960440000000001</v>
      </c>
      <c r="C4875">
        <f>LOG10(1.032801)</f>
        <v>1.401664976017614E-2</v>
      </c>
      <c r="D4875">
        <f>LOG10(3.196044)</f>
        <v>0.50461274962370173</v>
      </c>
    </row>
    <row r="4876" spans="1:4">
      <c r="A4876">
        <v>1.008429</v>
      </c>
      <c r="B4876">
        <v>3.5345200000000001</v>
      </c>
      <c r="C4876">
        <f>LOG10(1.008429)</f>
        <v>3.6453264519282196E-3</v>
      </c>
      <c r="D4876">
        <f>LOG10(3.53452)</f>
        <v>0.54833044344959203</v>
      </c>
    </row>
    <row r="4877" spans="1:4">
      <c r="A4877">
        <v>1.018689</v>
      </c>
      <c r="B4877">
        <v>3.6237170000000001</v>
      </c>
      <c r="C4877">
        <f>LOG10(1.018689)</f>
        <v>8.0416165882181475E-3</v>
      </c>
      <c r="D4877">
        <f>LOG10(3.623717)</f>
        <v>0.55915427340392043</v>
      </c>
    </row>
    <row r="4878" spans="1:4">
      <c r="A4878">
        <v>1.0166440000000001</v>
      </c>
      <c r="B4878">
        <v>3.6172040000000001</v>
      </c>
      <c r="C4878">
        <f>LOG10(1.016644)</f>
        <v>7.1689018881123728E-3</v>
      </c>
      <c r="D4878">
        <f>LOG10(3.617204)</f>
        <v>0.55837300242376464</v>
      </c>
    </row>
    <row r="4879" spans="1:4">
      <c r="A4879">
        <v>1.013174</v>
      </c>
      <c r="B4879">
        <v>3.7690950000000001</v>
      </c>
      <c r="C4879">
        <f>LOG10(1.013174)</f>
        <v>5.6840364270268539E-3</v>
      </c>
      <c r="D4879">
        <f>LOG10(3.769095)</f>
        <v>0.57623708397542694</v>
      </c>
    </row>
    <row r="4880" spans="1:4">
      <c r="A4880">
        <v>1.0096890000000001</v>
      </c>
      <c r="B4880">
        <v>3.9145129999999999</v>
      </c>
      <c r="C4880">
        <f>LOG10(1.009689)</f>
        <v>4.1876248886896896E-3</v>
      </c>
      <c r="D4880">
        <f>LOG10(3.914513)</f>
        <v>0.59267773968426529</v>
      </c>
    </row>
    <row r="4881" spans="1:4">
      <c r="A4881">
        <v>1.026937</v>
      </c>
      <c r="B4881">
        <v>3.4908830000000002</v>
      </c>
      <c r="C4881">
        <f>LOG10(1.026937)</f>
        <v>1.1543801541199076E-2</v>
      </c>
      <c r="D4881">
        <f>LOG10(3.490883)</f>
        <v>0.54293529329831369</v>
      </c>
    </row>
    <row r="4882" spans="1:4">
      <c r="A4882">
        <v>1.0237959999999999</v>
      </c>
      <c r="B4882">
        <v>3.3112509999999999</v>
      </c>
      <c r="C4882">
        <f>LOG10(1.023796)</f>
        <v>1.0213428416686826E-2</v>
      </c>
      <c r="D4882">
        <f>LOG10(3.311251)</f>
        <v>0.51999210246252903</v>
      </c>
    </row>
    <row r="4883" spans="1:4">
      <c r="A4883">
        <v>1.0181819999999999</v>
      </c>
      <c r="B4883">
        <v>3.3805360000000002</v>
      </c>
      <c r="C4883">
        <f>LOG10(1.018182)</f>
        <v>7.8254150645356672E-3</v>
      </c>
      <c r="D4883">
        <f>LOG10(3.380536)</f>
        <v>0.52898556518504902</v>
      </c>
    </row>
    <row r="4884" spans="1:4">
      <c r="A4884">
        <v>1.02871</v>
      </c>
      <c r="B4884">
        <v>3.2986789999999999</v>
      </c>
      <c r="C4884">
        <f>LOG10(1.02871)</f>
        <v>1.2292961593827258E-2</v>
      </c>
      <c r="D4884">
        <f>LOG10(3.298679)</f>
        <v>0.51834005567522867</v>
      </c>
    </row>
    <row r="4885" spans="1:4">
      <c r="A4885">
        <v>1.018667</v>
      </c>
      <c r="B4885">
        <v>3.1905139999999999</v>
      </c>
      <c r="C4885">
        <f>LOG10(1.018667)</f>
        <v>8.0322372960353102E-3</v>
      </c>
      <c r="D4885">
        <f>LOG10(3.190514)</f>
        <v>0.50386065465012209</v>
      </c>
    </row>
    <row r="4886" spans="1:4">
      <c r="A4886">
        <v>1.024338</v>
      </c>
      <c r="B4886">
        <v>3.4995069999999999</v>
      </c>
      <c r="C4886">
        <f>LOG10(1.024338)</f>
        <v>1.0443284094768713E-2</v>
      </c>
      <c r="D4886">
        <f>LOG10(3.499507)</f>
        <v>0.54400686656163066</v>
      </c>
    </row>
    <row r="4887" spans="1:4">
      <c r="A4887">
        <v>1.018041</v>
      </c>
      <c r="B4887">
        <v>3.4560979999999999</v>
      </c>
      <c r="C4887">
        <f>LOG10(1.018041)</f>
        <v>7.765268880108706E-3</v>
      </c>
      <c r="D4887">
        <f>LOG10(3.456098)</f>
        <v>0.5385860486956866</v>
      </c>
    </row>
    <row r="4888" spans="1:4">
      <c r="A4888">
        <v>1.0106090000000001</v>
      </c>
      <c r="B4888">
        <v>3.313466</v>
      </c>
      <c r="C4888">
        <f>LOG10(1.010609)</f>
        <v>4.583161538203007E-3</v>
      </c>
      <c r="D4888">
        <f>LOG10(3.313466)</f>
        <v>0.52028251858544039</v>
      </c>
    </row>
    <row r="4889" spans="1:4">
      <c r="A4889">
        <v>1.021333</v>
      </c>
      <c r="B4889">
        <v>3.447851</v>
      </c>
      <c r="C4889">
        <f>LOG10(1.021333)</f>
        <v>9.1673644998618801E-3</v>
      </c>
      <c r="D4889">
        <f>LOG10(3.447851)</f>
        <v>0.5375484893812098</v>
      </c>
    </row>
    <row r="4890" spans="1:4">
      <c r="A4890">
        <v>1.022518</v>
      </c>
      <c r="B4890">
        <v>3.5869390000000001</v>
      </c>
      <c r="C4890">
        <f>LOG10(1.022518)</f>
        <v>9.6709618939197998E-3</v>
      </c>
      <c r="D4890">
        <f>LOG10(3.586939)</f>
        <v>0.55472399106440884</v>
      </c>
    </row>
    <row r="4891" spans="1:4">
      <c r="A4891">
        <v>1.0146329999999999</v>
      </c>
      <c r="B4891">
        <v>3.4364849999999998</v>
      </c>
      <c r="C4891">
        <f>LOG10(1.014633)</f>
        <v>6.3089832374836436E-3</v>
      </c>
      <c r="D4891">
        <f>LOG10(3.436485)</f>
        <v>0.53611445258628465</v>
      </c>
    </row>
    <row r="4892" spans="1:4">
      <c r="A4892">
        <v>1.0105329999999999</v>
      </c>
      <c r="B4892">
        <v>3.9844680000000001</v>
      </c>
      <c r="C4892">
        <f>LOG10(1.010533)</f>
        <v>4.5505004182616222E-3</v>
      </c>
      <c r="D4892">
        <f>LOG10(3.984468)</f>
        <v>0.6003703432759081</v>
      </c>
    </row>
    <row r="4893" spans="1:4">
      <c r="A4893">
        <v>1.0104960000000001</v>
      </c>
      <c r="B4893">
        <v>3.4622250000000001</v>
      </c>
      <c r="C4893">
        <f>LOG10(1.010496)</f>
        <v>4.5345987208271496E-3</v>
      </c>
      <c r="D4893">
        <f>LOG10(3.462225)</f>
        <v>0.53935528800015231</v>
      </c>
    </row>
    <row r="4894" spans="1:4">
      <c r="A4894">
        <v>1.0207040000000001</v>
      </c>
      <c r="B4894">
        <v>3.5687549999999999</v>
      </c>
      <c r="C4894">
        <f>LOG10(1.020704)</f>
        <v>8.8998167152168177E-3</v>
      </c>
      <c r="D4894">
        <f>LOG10(3.568755)</f>
        <v>0.55251673405812318</v>
      </c>
    </row>
    <row r="4895" spans="1:4">
      <c r="A4895">
        <v>1.01915</v>
      </c>
      <c r="B4895">
        <v>3.4453779999999998</v>
      </c>
      <c r="C4895">
        <f>LOG10(1.01915)</f>
        <v>8.2381088131414093E-3</v>
      </c>
      <c r="D4895">
        <f>LOG10(3.445378)</f>
        <v>0.53723687626061734</v>
      </c>
    </row>
    <row r="4896" spans="1:4">
      <c r="A4896">
        <v>1.0151330000000001</v>
      </c>
      <c r="B4896">
        <v>3.6377489999999999</v>
      </c>
      <c r="C4896">
        <f>LOG10(1.015133)</f>
        <v>6.522946073932662E-3</v>
      </c>
      <c r="D4896">
        <f>LOG10(3.637749)</f>
        <v>0.56083273000080891</v>
      </c>
    </row>
    <row r="4897" spans="1:4">
      <c r="A4897">
        <v>1.012143</v>
      </c>
      <c r="B4897">
        <v>3.5313119999999998</v>
      </c>
      <c r="C4897">
        <f>LOG10(1.012143)</f>
        <v>5.2418758669572126E-3</v>
      </c>
      <c r="D4897">
        <f>LOG10(3.531312)</f>
        <v>0.54793609023154954</v>
      </c>
    </row>
    <row r="4898" spans="1:4">
      <c r="A4898">
        <v>1.0157149999999999</v>
      </c>
      <c r="B4898">
        <v>3.5798410000000001</v>
      </c>
      <c r="C4898">
        <f>LOG10(1.015715)</f>
        <v>6.7718661264301126E-3</v>
      </c>
      <c r="D4898">
        <f>LOG10(3.579841)</f>
        <v>0.55386373771758846</v>
      </c>
    </row>
    <row r="4899" spans="1:4">
      <c r="A4899">
        <v>1.01271</v>
      </c>
      <c r="B4899">
        <v>3.4734289999999999</v>
      </c>
      <c r="C4899">
        <f>LOG10(1.01271)</f>
        <v>5.4850984393368107E-3</v>
      </c>
      <c r="D4899">
        <f>LOG10(3.473429)</f>
        <v>0.5407584259328847</v>
      </c>
    </row>
    <row r="4900" spans="1:4">
      <c r="A4900">
        <v>1.0147090000000001</v>
      </c>
      <c r="B4900">
        <v>3.4337029999999999</v>
      </c>
      <c r="C4900">
        <f>LOG10(1.014709)</f>
        <v>6.3415123830295001E-3</v>
      </c>
      <c r="D4900">
        <f>LOG10(3.433703)</f>
        <v>0.53576272791304613</v>
      </c>
    </row>
    <row r="4901" spans="1:4">
      <c r="A4901">
        <v>1.013312</v>
      </c>
      <c r="B4901">
        <v>3.3318829999999999</v>
      </c>
      <c r="C4901">
        <f>LOG10(1.013312)</f>
        <v>5.7431857511231268E-3</v>
      </c>
      <c r="D4901">
        <f>LOG10(3.331883)</f>
        <v>0.52268974263075263</v>
      </c>
    </row>
    <row r="4902" spans="1:4">
      <c r="A4902">
        <v>1.011582</v>
      </c>
      <c r="B4902">
        <v>3.3995690000000001</v>
      </c>
      <c r="C4902">
        <f>LOG10(1.011582)</f>
        <v>5.0010929437945698E-3</v>
      </c>
      <c r="D4902">
        <f>LOG10(3.399569)</f>
        <v>0.53142386034029332</v>
      </c>
    </row>
    <row r="4903" spans="1:4">
      <c r="A4903">
        <v>1.016011</v>
      </c>
      <c r="B4903">
        <v>3.341828</v>
      </c>
      <c r="C4903">
        <f>LOG10(1.016011)</f>
        <v>6.8984099296328137E-3</v>
      </c>
      <c r="D4903">
        <f>LOG10(3.341828)</f>
        <v>0.52398409350076547</v>
      </c>
    </row>
    <row r="4904" spans="1:4">
      <c r="A4904">
        <v>1.0188900000000001</v>
      </c>
      <c r="B4904">
        <v>3.524715</v>
      </c>
      <c r="C4904">
        <f>LOG10(1.01889)</f>
        <v>8.1272998340169694E-3</v>
      </c>
      <c r="D4904">
        <f>LOG10(3.524715)</f>
        <v>0.54712400673699513</v>
      </c>
    </row>
    <row r="4905" spans="1:4">
      <c r="A4905">
        <v>1.028554</v>
      </c>
      <c r="B4905">
        <v>3.3347370000000001</v>
      </c>
      <c r="C4905">
        <f>LOG10(1.028554)</f>
        <v>1.2227097475943718E-2</v>
      </c>
      <c r="D4905">
        <f>LOG10(3.334737)</f>
        <v>0.52306158819179338</v>
      </c>
    </row>
    <row r="4906" spans="1:4">
      <c r="A4906">
        <v>1.017558</v>
      </c>
      <c r="B4906">
        <v>3.2931569999999999</v>
      </c>
      <c r="C4906">
        <f>LOG10(1.017558)</f>
        <v>7.5591730442433275E-3</v>
      </c>
      <c r="D4906">
        <f>LOG10(3.293157)</f>
        <v>0.51761243602873264</v>
      </c>
    </row>
    <row r="4907" spans="1:4">
      <c r="A4907">
        <v>1.03105</v>
      </c>
      <c r="B4907">
        <v>3.5761889999999998</v>
      </c>
      <c r="C4907">
        <f>LOG10(1.03105)</f>
        <v>1.3279726580865717E-2</v>
      </c>
      <c r="D4907">
        <f>LOG10(3.576189)</f>
        <v>0.55342046300085201</v>
      </c>
    </row>
    <row r="4908" spans="1:4">
      <c r="A4908">
        <v>1.0120370000000001</v>
      </c>
      <c r="B4908">
        <v>3.4890819999999998</v>
      </c>
      <c r="C4908">
        <f>LOG10(1.012037)</f>
        <v>5.1963905690846921E-3</v>
      </c>
      <c r="D4908">
        <f>LOG10(3.489082)</f>
        <v>0.54271117630653343</v>
      </c>
    </row>
    <row r="4909" spans="1:4">
      <c r="A4909">
        <v>1.0210360000000001</v>
      </c>
      <c r="B4909">
        <v>3.5104380000000002</v>
      </c>
      <c r="C4909">
        <f>LOG10(1.021036)</f>
        <v>9.0410548447168292E-3</v>
      </c>
      <c r="D4909">
        <f>LOG10(3.510438)</f>
        <v>0.54536130709704123</v>
      </c>
    </row>
    <row r="4910" spans="1:4">
      <c r="A4910">
        <v>1.0160910000000001</v>
      </c>
      <c r="B4910">
        <v>3.6937500000000001</v>
      </c>
      <c r="C4910">
        <f>LOG10(1.016091)</f>
        <v>6.9326046290821954E-3</v>
      </c>
      <c r="D4910">
        <f>LOG10(3.69375)</f>
        <v>0.5674674982253306</v>
      </c>
    </row>
    <row r="4911" spans="1:4">
      <c r="A4911">
        <v>1.0231110000000001</v>
      </c>
      <c r="B4911">
        <v>3.2064620000000001</v>
      </c>
      <c r="C4911">
        <f>LOG10(1.023111)</f>
        <v>9.9227540174990133E-3</v>
      </c>
      <c r="D4911">
        <f>LOG10(3.206462)</f>
        <v>0.50602609743021032</v>
      </c>
    </row>
    <row r="4912" spans="1:4">
      <c r="A4912">
        <v>1.0164280000000001</v>
      </c>
      <c r="B4912">
        <v>3.3556439999999998</v>
      </c>
      <c r="C4912">
        <f>LOG10(1.016428)</f>
        <v>7.0766202488550776E-3</v>
      </c>
      <c r="D4912">
        <f>LOG10(3.355644)</f>
        <v>0.52577588033410994</v>
      </c>
    </row>
    <row r="4913" spans="1:4">
      <c r="A4913">
        <v>1.0149090000000001</v>
      </c>
      <c r="B4913">
        <v>3.1682610000000002</v>
      </c>
      <c r="C4913">
        <f>LOG10(1.014909)</f>
        <v>6.4271037570336545E-3</v>
      </c>
      <c r="D4913">
        <f>LOG10(3.168261)</f>
        <v>0.50082095138675853</v>
      </c>
    </row>
    <row r="4914" spans="1:4">
      <c r="A4914">
        <v>1.0223949999999999</v>
      </c>
      <c r="B4914">
        <v>3.3055249999999998</v>
      </c>
      <c r="C4914">
        <f>LOG10(1.022395)</f>
        <v>9.6187169120173308E-3</v>
      </c>
      <c r="D4914">
        <f>LOG10(3.305525)</f>
        <v>0.51924044611988152</v>
      </c>
    </row>
    <row r="4915" spans="1:4">
      <c r="A4915">
        <v>1.01614</v>
      </c>
      <c r="B4915">
        <v>3.2182949999999999</v>
      </c>
      <c r="C4915">
        <f>LOG10(1.01614)</f>
        <v>6.9535475530090214E-3</v>
      </c>
      <c r="D4915">
        <f>LOG10(3.218295)</f>
        <v>0.50762585051508202</v>
      </c>
    </row>
    <row r="4916" spans="1:4">
      <c r="A4916">
        <v>1.020664</v>
      </c>
      <c r="B4916">
        <v>3.2942369999999999</v>
      </c>
      <c r="C4916">
        <f>LOG10(1.020664)</f>
        <v>8.8827969723009187E-3</v>
      </c>
      <c r="D4916">
        <f>LOG10(3.294237)</f>
        <v>0.51775484076257972</v>
      </c>
    </row>
    <row r="4917" spans="1:4">
      <c r="A4917">
        <v>1.024321</v>
      </c>
      <c r="B4917">
        <v>3.0177429999999998</v>
      </c>
      <c r="C4917">
        <f>LOG10(1.024321)</f>
        <v>1.0436076447041594E-2</v>
      </c>
      <c r="D4917">
        <f>LOG10(3.017743)</f>
        <v>0.47968225120021007</v>
      </c>
    </row>
    <row r="4918" spans="1:4">
      <c r="A4918">
        <v>1.0206459999999999</v>
      </c>
      <c r="B4918">
        <v>3.1042369999999999</v>
      </c>
      <c r="C4918">
        <f>LOG10(1.020646)</f>
        <v>8.8751378703766717E-3</v>
      </c>
      <c r="D4918">
        <f>LOG10(3.104237)</f>
        <v>0.49195487104716351</v>
      </c>
    </row>
    <row r="4919" spans="1:4">
      <c r="A4919">
        <v>1.008551</v>
      </c>
      <c r="B4919">
        <v>2.9954109999999998</v>
      </c>
      <c r="C4919">
        <f>LOG10(1.008551)</f>
        <v>3.6978643321816614E-3</v>
      </c>
      <c r="D4919">
        <f>LOG10(2.995411)</f>
        <v>0.47645642030992469</v>
      </c>
    </row>
    <row r="4920" spans="1:4">
      <c r="A4920">
        <v>1.0300940000000001</v>
      </c>
      <c r="B4920">
        <v>3.1396519999999999</v>
      </c>
      <c r="C4920">
        <f>LOG10(1.030094)</f>
        <v>1.2876857538748988E-2</v>
      </c>
      <c r="D4920">
        <f>LOG10(3.139652)</f>
        <v>0.4968815134059254</v>
      </c>
    </row>
    <row r="4921" spans="1:4">
      <c r="A4921">
        <v>1.011474</v>
      </c>
      <c r="B4921">
        <v>3.124349</v>
      </c>
      <c r="C4921">
        <f>LOG10(1.011474)</f>
        <v>4.9547236845253187E-3</v>
      </c>
      <c r="D4921">
        <f>LOG10(3.124349)</f>
        <v>0.49475954002872791</v>
      </c>
    </row>
    <row r="4922" spans="1:4">
      <c r="A4922">
        <v>1.014561</v>
      </c>
      <c r="B4922">
        <v>3.1177839999999999</v>
      </c>
      <c r="C4922">
        <f>LOG10(1.014561)</f>
        <v>6.2781639045760059E-3</v>
      </c>
      <c r="D4922">
        <f>LOG10(3.117784)</f>
        <v>0.49384602398383298</v>
      </c>
    </row>
    <row r="4923" spans="1:4">
      <c r="A4923">
        <v>1.040891</v>
      </c>
      <c r="B4923">
        <v>3.0826669999999998</v>
      </c>
      <c r="C4923">
        <f>LOG10(1.040891)</f>
        <v>1.740525345192338E-2</v>
      </c>
      <c r="D4923">
        <f>LOG10(3.082667)</f>
        <v>0.48892661331769732</v>
      </c>
    </row>
    <row r="4924" spans="1:4">
      <c r="A4924">
        <v>1.0142310000000001</v>
      </c>
      <c r="B4924">
        <v>2.9634299999999998</v>
      </c>
      <c r="C4924">
        <f>LOG10(1.014231)</f>
        <v>6.1368806381869451E-3</v>
      </c>
      <c r="D4924">
        <f>LOG10(2.96343)</f>
        <v>0.47179467310607082</v>
      </c>
    </row>
    <row r="4925" spans="1:4">
      <c r="A4925">
        <v>1.022321</v>
      </c>
      <c r="B4925">
        <v>3.2739280000000002</v>
      </c>
      <c r="C4925">
        <f>LOG10(1.022321)</f>
        <v>9.5872819433714829E-3</v>
      </c>
      <c r="D4925">
        <f>LOG10(3.273928)</f>
        <v>0.51506912420648787</v>
      </c>
    </row>
    <row r="4926" spans="1:4">
      <c r="A4926">
        <v>1.050027</v>
      </c>
      <c r="B4926">
        <v>3.1983000000000001</v>
      </c>
      <c r="C4926">
        <f>LOG10(1.050027)</f>
        <v>2.1200466498749276E-2</v>
      </c>
      <c r="D4926">
        <f>LOG10(3.1983)</f>
        <v>0.50491919806996188</v>
      </c>
    </row>
    <row r="4927" spans="1:4">
      <c r="A4927">
        <v>1.036249</v>
      </c>
      <c r="B4927">
        <v>3.335439</v>
      </c>
      <c r="C4927">
        <f>LOG10(1.036249)</f>
        <v>1.5464124456094536E-2</v>
      </c>
      <c r="D4927">
        <f>LOG10(3.335439)</f>
        <v>0.52315300248953356</v>
      </c>
    </row>
    <row r="4928" spans="1:4">
      <c r="A4928">
        <v>1.0243949999999999</v>
      </c>
      <c r="B4928">
        <v>3.3468689999999999</v>
      </c>
      <c r="C4928">
        <f>LOG10(1.024395)</f>
        <v>1.0467450040721514E-2</v>
      </c>
      <c r="D4928">
        <f>LOG10(3.346869)</f>
        <v>0.52463871394411332</v>
      </c>
    </row>
    <row r="4929" spans="1:4">
      <c r="A4929">
        <v>1.046052</v>
      </c>
      <c r="B4929">
        <v>3.2948789999999999</v>
      </c>
      <c r="C4929">
        <f>LOG10(1.046052)</f>
        <v>1.9553274160063524E-2</v>
      </c>
      <c r="D4929">
        <f>LOG10(3.294879)</f>
        <v>0.51783947034210576</v>
      </c>
    </row>
    <row r="4930" spans="1:4">
      <c r="A4930">
        <v>1.0240800000000001</v>
      </c>
      <c r="B4930">
        <v>3.441246</v>
      </c>
      <c r="C4930">
        <f>LOG10(1.02408)</f>
        <v>1.0333884570918134E-2</v>
      </c>
      <c r="D4930">
        <f>LOG10(3.441246)</f>
        <v>0.53671571959094355</v>
      </c>
    </row>
    <row r="4931" spans="1:4">
      <c r="A4931">
        <v>1.012702</v>
      </c>
      <c r="B4931">
        <v>3.4146719999999999</v>
      </c>
      <c r="C4931">
        <f>LOG10(1.012702)</f>
        <v>5.4816676747760727E-3</v>
      </c>
      <c r="D4931">
        <f>LOG10(3.414672)</f>
        <v>0.53334899339635911</v>
      </c>
    </row>
    <row r="4932" spans="1:4">
      <c r="A4932">
        <v>1.0123439999999999</v>
      </c>
      <c r="B4932">
        <v>3.4557380000000002</v>
      </c>
      <c r="C4932">
        <f>LOG10(1.012344)</f>
        <v>5.3281132111825261E-3</v>
      </c>
      <c r="D4932">
        <f>LOG10(3.455738)</f>
        <v>0.53854080861370945</v>
      </c>
    </row>
    <row r="4933" spans="1:4">
      <c r="A4933">
        <v>1.0114510000000001</v>
      </c>
      <c r="B4933">
        <v>3.3302870000000002</v>
      </c>
      <c r="C4933">
        <f>LOG10(1.011451)</f>
        <v>4.9448481102117329E-3</v>
      </c>
      <c r="D4933">
        <f>LOG10(3.330287)</f>
        <v>0.5224816620785071</v>
      </c>
    </row>
    <row r="4934" spans="1:4">
      <c r="A4934">
        <v>1.019814</v>
      </c>
      <c r="B4934">
        <v>3.3489629999999999</v>
      </c>
      <c r="C4934">
        <f>LOG10(1.019814)</f>
        <v>8.5209696642185671E-3</v>
      </c>
      <c r="D4934">
        <f>LOG10(3.348963)</f>
        <v>0.5249103493957652</v>
      </c>
    </row>
    <row r="4935" spans="1:4">
      <c r="A4935">
        <v>1.0225839999999999</v>
      </c>
      <c r="B4935">
        <v>3.3645049999999999</v>
      </c>
      <c r="C4935">
        <f>LOG10(1.022584)</f>
        <v>9.6989931958455945E-3</v>
      </c>
      <c r="D4935">
        <f>LOG10(3.364505)</f>
        <v>0.52692117804533523</v>
      </c>
    </row>
    <row r="4936" spans="1:4">
      <c r="A4936">
        <v>1.034637</v>
      </c>
      <c r="B4936">
        <v>3.5072960000000002</v>
      </c>
      <c r="C4936">
        <f>LOG10(1.034637)</f>
        <v>1.4788005301078867E-2</v>
      </c>
      <c r="D4936">
        <f>LOG10(3.507296)</f>
        <v>0.54497241992824363</v>
      </c>
    </row>
    <row r="4937" spans="1:4">
      <c r="A4937">
        <v>1.024802</v>
      </c>
      <c r="B4937">
        <v>3.5158710000000002</v>
      </c>
      <c r="C4937">
        <f>LOG10(1.024802)</f>
        <v>1.0639964305049319E-2</v>
      </c>
      <c r="D4937">
        <f>LOG10(3.515871)</f>
        <v>0.54603293209686099</v>
      </c>
    </row>
    <row r="4938" spans="1:4">
      <c r="A4938">
        <v>1.0281690000000001</v>
      </c>
      <c r="B4938">
        <v>3.3858320000000002</v>
      </c>
      <c r="C4938">
        <f>LOG10(1.028169)</f>
        <v>1.2064505452141144E-2</v>
      </c>
      <c r="D4938">
        <f>LOG10(3.385832)</f>
        <v>0.52966540525459094</v>
      </c>
    </row>
    <row r="4939" spans="1:4">
      <c r="A4939">
        <v>1.024208</v>
      </c>
      <c r="B4939">
        <v>3.4717910000000001</v>
      </c>
      <c r="C4939">
        <f>LOG10(1.024208)</f>
        <v>1.0388163748217358E-2</v>
      </c>
      <c r="D4939">
        <f>LOG10(3.471791)</f>
        <v>0.5405535729909916</v>
      </c>
    </row>
    <row r="4940" spans="1:4">
      <c r="A4940">
        <v>1.0196909999999999</v>
      </c>
      <c r="B4940">
        <v>3.5206240000000002</v>
      </c>
      <c r="C4940">
        <f>LOG10(1.019691)</f>
        <v>8.4685861482782718E-3</v>
      </c>
      <c r="D4940">
        <f>LOG10(3.520624)</f>
        <v>0.5466196452221973</v>
      </c>
    </row>
    <row r="4941" spans="1:4">
      <c r="A4941">
        <v>1.014564</v>
      </c>
      <c r="B4941">
        <v>3.2965279999999999</v>
      </c>
      <c r="C4941">
        <f>LOG10(1.014564)</f>
        <v>6.279448087113503E-3</v>
      </c>
      <c r="D4941">
        <f>LOG10(3.296528)</f>
        <v>0.51805676889933316</v>
      </c>
    </row>
    <row r="4942" spans="1:4">
      <c r="A4942">
        <v>1.014216</v>
      </c>
      <c r="B4942">
        <v>3.494421</v>
      </c>
      <c r="C4942">
        <f>LOG10(1.014216)</f>
        <v>6.1304575793358039E-3</v>
      </c>
      <c r="D4942">
        <f>LOG10(3.494421)</f>
        <v>0.54337522662358195</v>
      </c>
    </row>
    <row r="4943" spans="1:4">
      <c r="A4943">
        <v>1.0351859999999999</v>
      </c>
      <c r="B4943">
        <v>3.3760650000000001</v>
      </c>
      <c r="C4943">
        <f>LOG10(1.035186)</f>
        <v>1.501838990513067E-2</v>
      </c>
      <c r="D4943">
        <f>LOG10(3.376065)</f>
        <v>0.52841079958559956</v>
      </c>
    </row>
    <row r="4944" spans="1:4">
      <c r="A4944">
        <v>1.028265</v>
      </c>
      <c r="B4944">
        <v>3.390504</v>
      </c>
      <c r="C4944">
        <f>LOG10(1.028265)</f>
        <v>1.2105053576022526E-2</v>
      </c>
      <c r="D4944">
        <f>LOG10(3.390504)</f>
        <v>0.53026426107902247</v>
      </c>
    </row>
    <row r="4945" spans="1:4">
      <c r="A4945">
        <v>1.0193289999999999</v>
      </c>
      <c r="B4945">
        <v>3.3494860000000002</v>
      </c>
      <c r="C4945">
        <f>LOG10(1.019329)</f>
        <v>8.3143801040994787E-3</v>
      </c>
      <c r="D4945">
        <f>LOG10(3.349486)</f>
        <v>0.52497816689038146</v>
      </c>
    </row>
    <row r="4946" spans="1:4">
      <c r="A4946">
        <v>1.024219</v>
      </c>
      <c r="B4946">
        <v>3.329914</v>
      </c>
      <c r="C4946">
        <f>LOG10(1.024219)</f>
        <v>1.0392828048483831E-2</v>
      </c>
      <c r="D4946">
        <f>LOG10(3.329914)</f>
        <v>0.5224330173478392</v>
      </c>
    </row>
    <row r="4947" spans="1:4">
      <c r="A4947">
        <v>1.022295</v>
      </c>
      <c r="B4947">
        <v>3.3139430000000001</v>
      </c>
      <c r="C4947">
        <f>LOG10(1.022295)</f>
        <v>9.5762366844767775E-3</v>
      </c>
      <c r="D4947">
        <f>LOG10(3.313943)</f>
        <v>0.52034503425882817</v>
      </c>
    </row>
    <row r="4948" spans="1:4">
      <c r="A4948">
        <v>1.0345880000000001</v>
      </c>
      <c r="B4948">
        <v>3.2925610000000001</v>
      </c>
      <c r="C4948">
        <f>LOG10(1.034588)</f>
        <v>1.4767436798748554E-2</v>
      </c>
      <c r="D4948">
        <f>LOG10(3.292561)</f>
        <v>0.51753382971369732</v>
      </c>
    </row>
    <row r="4949" spans="1:4">
      <c r="A4949">
        <v>1.020068</v>
      </c>
      <c r="B4949">
        <v>3.3318150000000002</v>
      </c>
      <c r="C4949">
        <f>LOG10(1.020068)</f>
        <v>8.6291237623218088E-3</v>
      </c>
      <c r="D4949">
        <f>LOG10(3.331815)</f>
        <v>0.52268087907638083</v>
      </c>
    </row>
    <row r="4950" spans="1:4">
      <c r="A4950">
        <v>1.017638</v>
      </c>
      <c r="B4950">
        <v>3.3918810000000001</v>
      </c>
      <c r="C4950">
        <f>LOG10(1.017638)</f>
        <v>7.5933157593137081E-3</v>
      </c>
      <c r="D4950">
        <f>LOG10(3.391881)</f>
        <v>0.53044060716076147</v>
      </c>
    </row>
    <row r="4951" spans="1:4">
      <c r="A4951">
        <v>1.0241389999999999</v>
      </c>
      <c r="B4951">
        <v>3.4</v>
      </c>
      <c r="C4951">
        <f>LOG10(1.024139)</f>
        <v>1.0358904722024335E-2</v>
      </c>
      <c r="D4951">
        <f>LOG10(3.4)</f>
        <v>0.53147891704225514</v>
      </c>
    </row>
    <row r="4952" spans="1:4">
      <c r="A4952">
        <v>1.030241</v>
      </c>
      <c r="B4952">
        <v>3.4135</v>
      </c>
      <c r="C4952">
        <f>LOG10(1.030241)</f>
        <v>1.2938829294747952E-2</v>
      </c>
      <c r="D4952">
        <f>LOG10(3.4135)</f>
        <v>0.53319990718769616</v>
      </c>
    </row>
    <row r="4953" spans="1:4">
      <c r="A4953">
        <v>1.024124</v>
      </c>
      <c r="B4953">
        <v>3.4456319999999998</v>
      </c>
      <c r="C4953">
        <f>LOG10(1.024124)</f>
        <v>1.035254380330578E-2</v>
      </c>
      <c r="D4953">
        <f>LOG10(3.445632)</f>
        <v>0.53726889211851137</v>
      </c>
    </row>
    <row r="4954" spans="1:4">
      <c r="A4954">
        <v>1.0275110000000001</v>
      </c>
      <c r="B4954">
        <v>3.4061710000000001</v>
      </c>
      <c r="C4954">
        <f>LOG10(1.027511)</f>
        <v>1.1786479904534599E-2</v>
      </c>
      <c r="D4954">
        <f>LOG10(3.406171)</f>
        <v>0.53226644705941473</v>
      </c>
    </row>
    <row r="4955" spans="1:4">
      <c r="A4955">
        <v>1.0331790000000001</v>
      </c>
      <c r="B4955">
        <v>3.6061800000000002</v>
      </c>
      <c r="C4955">
        <f>LOG10(1.033179)</f>
        <v>1.4175570287955944E-2</v>
      </c>
      <c r="D4955">
        <f>LOG10(3.60618)</f>
        <v>0.55704740043844481</v>
      </c>
    </row>
    <row r="4956" spans="1:4">
      <c r="A4956">
        <v>1.022724</v>
      </c>
      <c r="B4956">
        <v>3.5041989999999998</v>
      </c>
      <c r="C4956">
        <f>LOG10(1.022724)</f>
        <v>9.7584475445905514E-3</v>
      </c>
      <c r="D4956">
        <f>LOG10(3.504199)</f>
        <v>0.54458876135102841</v>
      </c>
    </row>
    <row r="4957" spans="1:4">
      <c r="A4957">
        <v>1.0347569999999999</v>
      </c>
      <c r="B4957">
        <v>3.5300940000000001</v>
      </c>
      <c r="C4957">
        <f>LOG10(1.034757)</f>
        <v>1.4838373029879434E-2</v>
      </c>
      <c r="D4957">
        <f>LOG10(3.530094)</f>
        <v>0.54778627001608426</v>
      </c>
    </row>
    <row r="4958" spans="1:4">
      <c r="A4958">
        <v>1.0477989999999999</v>
      </c>
      <c r="B4958">
        <v>3.47437</v>
      </c>
      <c r="C4958">
        <f>LOG10(1.047799)</f>
        <v>2.0277979629498344E-2</v>
      </c>
      <c r="D4958">
        <f>LOG10(3.47437)</f>
        <v>0.54087606638562946</v>
      </c>
    </row>
    <row r="4959" spans="1:4">
      <c r="A4959">
        <v>1.0216609999999999</v>
      </c>
      <c r="B4959">
        <v>3.4633289999999999</v>
      </c>
      <c r="C4959">
        <f>LOG10(1.021661)</f>
        <v>9.3068153169353803E-3</v>
      </c>
      <c r="D4959">
        <f>LOG10(3.463329)</f>
        <v>0.53949374944658168</v>
      </c>
    </row>
    <row r="4960" spans="1:4">
      <c r="A4960">
        <v>1.037393</v>
      </c>
      <c r="B4960">
        <v>3.3782510000000001</v>
      </c>
      <c r="C4960">
        <f>LOG10(1.037393)</f>
        <v>1.5943313185588188E-2</v>
      </c>
      <c r="D4960">
        <f>LOG10(3.378251)</f>
        <v>0.52869191399321325</v>
      </c>
    </row>
    <row r="4961" spans="1:4">
      <c r="A4961">
        <v>1.0328029999999999</v>
      </c>
      <c r="B4961">
        <v>3.393049</v>
      </c>
      <c r="C4961">
        <f>LOG10(1.032803)</f>
        <v>1.4017490762579054E-2</v>
      </c>
      <c r="D4961">
        <f>LOG10(3.393049)</f>
        <v>0.5305901314623751</v>
      </c>
    </row>
    <row r="4962" spans="1:4">
      <c r="A4962">
        <v>1.0347500000000001</v>
      </c>
      <c r="B4962">
        <v>3.321307</v>
      </c>
      <c r="C4962">
        <f>LOG10(1.03475)</f>
        <v>1.4835435072797601E-2</v>
      </c>
      <c r="D4962">
        <f>LOG10(3.321307)</f>
        <v>0.5213090208087886</v>
      </c>
    </row>
    <row r="4963" spans="1:4">
      <c r="A4963">
        <v>1.022146</v>
      </c>
      <c r="B4963">
        <v>3.4054600000000002</v>
      </c>
      <c r="C4963">
        <f>LOG10(1.022146)</f>
        <v>9.5129334363829119E-3</v>
      </c>
      <c r="D4963">
        <f>LOG10(3.40546)</f>
        <v>0.53217578349359485</v>
      </c>
    </row>
    <row r="4964" spans="1:4">
      <c r="A4964">
        <v>1.028715</v>
      </c>
      <c r="B4964">
        <v>3.2543959999999998</v>
      </c>
      <c r="C4964">
        <f>LOG10(1.028715)</f>
        <v>1.2295072458047857E-2</v>
      </c>
      <c r="D4964">
        <f>LOG10(3.254396)</f>
        <v>0.51247039744871148</v>
      </c>
    </row>
    <row r="4965" spans="1:4">
      <c r="A4965">
        <v>1.023871</v>
      </c>
      <c r="B4965">
        <v>3.5826539999999998</v>
      </c>
      <c r="C4965">
        <f>LOG10(1.023871)</f>
        <v>1.0245242267432411E-2</v>
      </c>
      <c r="D4965">
        <f>LOG10(3.582654)</f>
        <v>0.55420486757259169</v>
      </c>
    </row>
    <row r="4966" spans="1:4">
      <c r="A4966">
        <v>1.175918</v>
      </c>
      <c r="B4966">
        <v>3.3922020000000002</v>
      </c>
      <c r="C4966">
        <f>LOG10(1.175918)</f>
        <v>7.0377038245941326E-2</v>
      </c>
      <c r="D4966">
        <f>LOG10(3.392202)</f>
        <v>0.53048170587043086</v>
      </c>
    </row>
    <row r="4967" spans="1:4">
      <c r="A4967">
        <v>1.028608</v>
      </c>
      <c r="B4967">
        <v>3.3803550000000002</v>
      </c>
      <c r="C4967">
        <f>LOG10(1.028608)</f>
        <v>1.2249897724079899E-2</v>
      </c>
      <c r="D4967">
        <f>LOG10(3.380355)</f>
        <v>0.52896231165197383</v>
      </c>
    </row>
    <row r="4968" spans="1:4">
      <c r="A4968">
        <v>1.0307770000000001</v>
      </c>
      <c r="B4968">
        <v>3.1249220000000002</v>
      </c>
      <c r="C4968">
        <f>LOG10(1.030777)</f>
        <v>1.3164719459266828E-2</v>
      </c>
      <c r="D4968">
        <f>LOG10(3.124922)</f>
        <v>0.49483918155454043</v>
      </c>
    </row>
    <row r="4969" spans="1:4">
      <c r="A4969">
        <v>1.0214380000000001</v>
      </c>
      <c r="B4969">
        <v>3.123227</v>
      </c>
      <c r="C4969">
        <f>LOG10(1.021438)</f>
        <v>9.2120106404620858E-3</v>
      </c>
      <c r="D4969">
        <f>LOG10(3.123227)</f>
        <v>0.49460355043726584</v>
      </c>
    </row>
    <row r="4970" spans="1:4">
      <c r="A4970">
        <v>1.0161899999999999</v>
      </c>
      <c r="B4970">
        <v>3.0257640000000001</v>
      </c>
      <c r="C4970">
        <f>LOG10(1.01619)</f>
        <v>6.9749168425431943E-3</v>
      </c>
      <c r="D4970">
        <f>LOG10(3.025764)</f>
        <v>0.48083505141528782</v>
      </c>
    </row>
    <row r="4971" spans="1:4">
      <c r="A4971">
        <v>1.038754</v>
      </c>
      <c r="B4971">
        <v>2.9572479999999999</v>
      </c>
      <c r="C4971">
        <f>LOG10(1.038754)</f>
        <v>1.6512709162403608E-2</v>
      </c>
      <c r="D4971">
        <f>LOG10(2.957248)</f>
        <v>0.47088774674972916</v>
      </c>
    </row>
    <row r="4972" spans="1:4">
      <c r="A4972">
        <v>1.047939</v>
      </c>
      <c r="B4972">
        <v>2.9186299999999998</v>
      </c>
      <c r="C4972">
        <f>LOG10(1.047939)</f>
        <v>2.0336003320968282E-2</v>
      </c>
      <c r="D4972">
        <f>LOG10(2.91863)</f>
        <v>0.46517904218113232</v>
      </c>
    </row>
    <row r="4973" spans="1:4">
      <c r="A4973">
        <v>1.0503020000000001</v>
      </c>
      <c r="B4973">
        <v>2.9772850000000002</v>
      </c>
      <c r="C4973">
        <f>LOG10(1.050302)</f>
        <v>2.1314192475209041E-2</v>
      </c>
      <c r="D4973">
        <f>LOG10(2.977285)</f>
        <v>0.47382040938741554</v>
      </c>
    </row>
    <row r="4974" spans="1:4">
      <c r="A4974">
        <v>1.011925</v>
      </c>
      <c r="B4974">
        <v>3.0154670000000001</v>
      </c>
      <c r="C4974">
        <f>LOG10(1.011925)</f>
        <v>5.1483254551913859E-3</v>
      </c>
      <c r="D4974">
        <f>LOG10(3.015467)</f>
        <v>0.47935458009719789</v>
      </c>
    </row>
    <row r="4975" spans="1:4">
      <c r="A4975">
        <v>1.019657</v>
      </c>
      <c r="B4975">
        <v>3.0070139999999999</v>
      </c>
      <c r="C4975">
        <f>LOG10(1.019657)</f>
        <v>8.4541050372702233E-3</v>
      </c>
      <c r="D4975">
        <f>LOG10(3.007014)</f>
        <v>0.47813545008541702</v>
      </c>
    </row>
    <row r="4976" spans="1:4">
      <c r="A4976">
        <v>1.013531</v>
      </c>
      <c r="B4976">
        <v>2.9645950000000001</v>
      </c>
      <c r="C4976">
        <f>LOG10(1.013531)</f>
        <v>5.8370366235458351E-3</v>
      </c>
      <c r="D4976">
        <f>LOG10(2.964595)</f>
        <v>0.47196537180519271</v>
      </c>
    </row>
    <row r="4977" spans="1:4">
      <c r="A4977">
        <v>1.0175289999999999</v>
      </c>
      <c r="B4977">
        <v>2.860919</v>
      </c>
      <c r="C4977">
        <f>LOG10(1.017529)</f>
        <v>7.546795647133453E-3</v>
      </c>
      <c r="D4977">
        <f>LOG10(2.860919)</f>
        <v>0.45650556198176828</v>
      </c>
    </row>
    <row r="4978" spans="1:4">
      <c r="A4978">
        <v>1.016858</v>
      </c>
      <c r="B4978">
        <v>2.8954089999999999</v>
      </c>
      <c r="C4978">
        <f>LOG10(1.016858)</f>
        <v>7.2603097347438139E-3</v>
      </c>
      <c r="D4978">
        <f>LOG10(2.895409)</f>
        <v>0.46170992001403183</v>
      </c>
    </row>
    <row r="4979" spans="1:4">
      <c r="A4979">
        <v>1.0126550000000001</v>
      </c>
      <c r="B4979">
        <v>2.946491</v>
      </c>
      <c r="C4979">
        <f>LOG10(1.012655)</f>
        <v>5.4615113856348717E-3</v>
      </c>
      <c r="D4979">
        <f>LOG10(2.946491)</f>
        <v>0.46930511888906495</v>
      </c>
    </row>
    <row r="4980" spans="1:4">
      <c r="A4980">
        <v>1.0227850000000001</v>
      </c>
      <c r="B4980">
        <v>2.8969480000000001</v>
      </c>
      <c r="C4980">
        <f>LOG10(1.022785)</f>
        <v>9.7843501081128718E-3</v>
      </c>
      <c r="D4980">
        <f>LOG10(2.896948)</f>
        <v>0.46194069972024709</v>
      </c>
    </row>
    <row r="4981" spans="1:4">
      <c r="A4981">
        <v>1.037112</v>
      </c>
      <c r="B4981">
        <v>3.0570870000000001</v>
      </c>
      <c r="C4981">
        <f>LOG10(1.037112)</f>
        <v>1.5825659335478238E-2</v>
      </c>
      <c r="D4981">
        <f>LOG10(3.057087)</f>
        <v>0.48530779825578746</v>
      </c>
    </row>
    <row r="4982" spans="1:4">
      <c r="A4982">
        <v>1.0292870000000001</v>
      </c>
      <c r="B4982">
        <v>2.9649019999999999</v>
      </c>
      <c r="C4982">
        <f>LOG10(1.029287)</f>
        <v>1.2536487626784739E-2</v>
      </c>
      <c r="D4982">
        <f>LOG10(2.964902)</f>
        <v>0.47201034304172873</v>
      </c>
    </row>
    <row r="4983" spans="1:4">
      <c r="A4983">
        <v>1.015558</v>
      </c>
      <c r="B4983">
        <v>2.8587280000000002</v>
      </c>
      <c r="C4983">
        <f>LOG10(1.015558)</f>
        <v>6.7047316410167087E-3</v>
      </c>
      <c r="D4983">
        <f>LOG10(2.858728)</f>
        <v>0.4561728354144145</v>
      </c>
    </row>
    <row r="4984" spans="1:4">
      <c r="A4984">
        <v>1.015522</v>
      </c>
      <c r="B4984">
        <v>3.0287329999999999</v>
      </c>
      <c r="C4984">
        <f>LOG10(1.015522)</f>
        <v>6.6893362835220536E-3</v>
      </c>
      <c r="D4984">
        <f>LOG10(3.028733)</f>
        <v>0.48126098949738683</v>
      </c>
    </row>
    <row r="4985" spans="1:4">
      <c r="A4985">
        <v>1.0169280000000001</v>
      </c>
      <c r="B4985">
        <v>3.0045959999999998</v>
      </c>
      <c r="C4985">
        <f>LOG10(1.016928)</f>
        <v>7.2902053223279925E-3</v>
      </c>
      <c r="D4985">
        <f>LOG10(3.004596)</f>
        <v>0.47778608473607709</v>
      </c>
    </row>
    <row r="4986" spans="1:4">
      <c r="A4986">
        <v>1.00837</v>
      </c>
      <c r="B4986">
        <v>3.2102750000000002</v>
      </c>
      <c r="C4986">
        <f>LOG10(1.00837)</f>
        <v>3.6199165083100255E-3</v>
      </c>
      <c r="D4986">
        <f>LOG10(3.210275)</f>
        <v>0.50654223672481058</v>
      </c>
    </row>
    <row r="4987" spans="1:4">
      <c r="A4987">
        <v>1.009906</v>
      </c>
      <c r="B4987">
        <v>3.1562679999999999</v>
      </c>
      <c r="C4987">
        <f>LOG10(1.009906)</f>
        <v>4.2809524151844955E-3</v>
      </c>
      <c r="D4987">
        <f>LOG10(3.156268)</f>
        <v>0.49917387222420462</v>
      </c>
    </row>
    <row r="4988" spans="1:4">
      <c r="A4988">
        <v>1.0220130000000001</v>
      </c>
      <c r="B4988">
        <v>3.1482320000000001</v>
      </c>
      <c r="C4988">
        <f>LOG10(1.022013)</f>
        <v>9.4564200573604273E-3</v>
      </c>
      <c r="D4988">
        <f>LOG10(3.148232)</f>
        <v>0.49806672896251464</v>
      </c>
    </row>
    <row r="4989" spans="1:4">
      <c r="A4989">
        <v>1.019226</v>
      </c>
      <c r="B4989">
        <v>3.1843430000000001</v>
      </c>
      <c r="C4989">
        <f>LOG10(1.019226)</f>
        <v>8.2704937908294578E-3</v>
      </c>
      <c r="D4989">
        <f>LOG10(3.184343)</f>
        <v>0.50301984140993572</v>
      </c>
    </row>
    <row r="4990" spans="1:4">
      <c r="A4990">
        <v>1.010602</v>
      </c>
      <c r="B4990">
        <v>3.1265100000000001</v>
      </c>
      <c r="C4990">
        <f>LOG10(1.010602)</f>
        <v>4.5801533798530136E-3</v>
      </c>
      <c r="D4990">
        <f>LOG10(3.12651)</f>
        <v>0.49505982209005173</v>
      </c>
    </row>
    <row r="4991" spans="1:4">
      <c r="A4991">
        <v>1.015074</v>
      </c>
      <c r="B4991">
        <v>3.0345390000000001</v>
      </c>
      <c r="C4991">
        <f>LOG10(1.015074)</f>
        <v>6.4977039440025424E-3</v>
      </c>
      <c r="D4991">
        <f>LOG10(3.034539)</f>
        <v>0.48209272343002957</v>
      </c>
    </row>
    <row r="4992" spans="1:4">
      <c r="A4992">
        <v>1.0490330000000001</v>
      </c>
      <c r="B4992">
        <v>3.03226</v>
      </c>
      <c r="C4992">
        <f>LOG10(1.049033)</f>
        <v>2.0789150245493205E-2</v>
      </c>
      <c r="D4992">
        <f>LOG10(3.03226)</f>
        <v>0.48176643697458127</v>
      </c>
    </row>
    <row r="4993" spans="1:4">
      <c r="A4993">
        <v>1.0246580000000001</v>
      </c>
      <c r="B4993">
        <v>3.1116969999999999</v>
      </c>
      <c r="C4993">
        <f>LOG10(1.024658)</f>
        <v>1.0578935150543306E-2</v>
      </c>
      <c r="D4993">
        <f>LOG10(3.111697)</f>
        <v>0.49299730115999546</v>
      </c>
    </row>
    <row r="4994" spans="1:4">
      <c r="A4994">
        <v>1.0200720000000001</v>
      </c>
      <c r="B4994">
        <v>2.8314010000000001</v>
      </c>
      <c r="C4994">
        <f>LOG10(1.020072)</f>
        <v>8.6308267610647055E-3</v>
      </c>
      <c r="D4994">
        <f>LOG10(2.831401)</f>
        <v>0.45200138111163396</v>
      </c>
    </row>
    <row r="4995" spans="1:4">
      <c r="A4995">
        <v>1.0216750000000001</v>
      </c>
      <c r="B4995">
        <v>3.0922969999999999</v>
      </c>
      <c r="C4995">
        <f>LOG10(1.021675)</f>
        <v>9.3127664896713556E-3</v>
      </c>
      <c r="D4995">
        <f>LOG10(3.092297)</f>
        <v>0.49028119911003748</v>
      </c>
    </row>
    <row r="4996" spans="1:4">
      <c r="A4996">
        <v>1.027903</v>
      </c>
      <c r="B4996">
        <v>3.3079689999999999</v>
      </c>
      <c r="C4996">
        <f>LOG10(1.027903)</f>
        <v>1.1952133577196277E-2</v>
      </c>
      <c r="D4996">
        <f>LOG10(3.307969)</f>
        <v>0.51956143099174779</v>
      </c>
    </row>
    <row r="4997" spans="1:4">
      <c r="A4997">
        <v>1.015085</v>
      </c>
      <c r="B4997">
        <v>3.290187</v>
      </c>
      <c r="C4997">
        <f>LOG10(1.015085)</f>
        <v>6.5024102150886744E-3</v>
      </c>
      <c r="D4997">
        <f>LOG10(3.290187)</f>
        <v>0.51722058207160726</v>
      </c>
    </row>
    <row r="4998" spans="1:4">
      <c r="A4998">
        <v>1.0155909999999999</v>
      </c>
      <c r="B4998">
        <v>3.2145609999999998</v>
      </c>
      <c r="C4998">
        <f>LOG10(1.015591)</f>
        <v>6.7188435726416619E-3</v>
      </c>
      <c r="D4998">
        <f>LOG10(3.214561)</f>
        <v>0.50712167141405573</v>
      </c>
    </row>
    <row r="4999" spans="1:4">
      <c r="A4999">
        <v>1.0177499999999999</v>
      </c>
      <c r="B4999">
        <v>3.1488679999999998</v>
      </c>
      <c r="C4999">
        <f>LOG10(1.01775)</f>
        <v>7.6411110514370871E-3</v>
      </c>
      <c r="D4999">
        <f>LOG10(3.148868)</f>
        <v>0.49815445546882053</v>
      </c>
    </row>
    <row r="5000" spans="1:4">
      <c r="A5000">
        <v>1.015925</v>
      </c>
      <c r="B5000">
        <v>3.0681590000000001</v>
      </c>
      <c r="C5000">
        <f>LOG10(1.015925)</f>
        <v>6.8616476246527412E-3</v>
      </c>
      <c r="D5000">
        <f>LOG10(3.068159)</f>
        <v>0.48687786213266143</v>
      </c>
    </row>
    <row r="5001" spans="1:4">
      <c r="A5001">
        <v>1.0119880000000001</v>
      </c>
      <c r="B5001">
        <v>3.3499080000000001</v>
      </c>
      <c r="C5001">
        <f>LOG10(1.011988)</f>
        <v>5.1753627363085144E-3</v>
      </c>
      <c r="D5001">
        <f>LOG10(3.349908)</f>
        <v>0.52503287997983561</v>
      </c>
    </row>
    <row r="5002" spans="1:4">
      <c r="A5002">
        <v>1.0413889999999999</v>
      </c>
      <c r="B5002">
        <v>3.0511409999999999</v>
      </c>
      <c r="C5002">
        <f>LOG10(1.041389)</f>
        <v>1.7612985991362205E-2</v>
      </c>
      <c r="D5002">
        <f>LOG10(3.051141)</f>
        <v>0.48446227781841877</v>
      </c>
    </row>
    <row r="5003" spans="1:4">
      <c r="A5003">
        <v>1.017099</v>
      </c>
      <c r="B5003">
        <v>3.1348609999999999</v>
      </c>
      <c r="C5003">
        <f>LOG10(1.017099)</f>
        <v>7.3632273191651847E-3</v>
      </c>
      <c r="D5003">
        <f>LOG10(3.134861)</f>
        <v>0.4962182889398446</v>
      </c>
    </row>
    <row r="5004" spans="1:4">
      <c r="A5004">
        <v>1.0141899999999999</v>
      </c>
      <c r="B5004">
        <v>3.2147999999999999</v>
      </c>
      <c r="C5004">
        <f>LOG10(1.01419)</f>
        <v>6.1193240522902925E-3</v>
      </c>
      <c r="D5004">
        <f>LOG10(3.2148)</f>
        <v>0.50715395965583365</v>
      </c>
    </row>
    <row r="5005" spans="1:4">
      <c r="A5005">
        <v>1.0119880000000001</v>
      </c>
      <c r="B5005">
        <v>3.2745359999999999</v>
      </c>
      <c r="C5005">
        <f>LOG10(1.011988)</f>
        <v>5.1753627363085144E-3</v>
      </c>
      <c r="D5005">
        <f>LOG10(3.274536)</f>
        <v>0.51514976939160473</v>
      </c>
    </row>
    <row r="5006" spans="1:4">
      <c r="A5006">
        <v>1.0272699999999999</v>
      </c>
      <c r="B5006">
        <v>3.2712050000000001</v>
      </c>
      <c r="C5006">
        <f>LOG10(1.02727)</f>
        <v>1.1684605329464373E-2</v>
      </c>
      <c r="D5006">
        <f>LOG10(3.271205)</f>
        <v>0.51470776136101115</v>
      </c>
    </row>
    <row r="5007" spans="1:4">
      <c r="A5007">
        <v>1.017998</v>
      </c>
      <c r="B5007">
        <v>3.138128</v>
      </c>
      <c r="C5007">
        <f>LOG10(1.017998)</f>
        <v>7.7469247690925384E-3</v>
      </c>
      <c r="D5007">
        <f>LOG10(3.138128)</f>
        <v>0.49667065389717474</v>
      </c>
    </row>
    <row r="5008" spans="1:4">
      <c r="A5008">
        <v>1.034019</v>
      </c>
      <c r="B5008">
        <v>3.092533</v>
      </c>
      <c r="C5008">
        <f>LOG10(1.034019)</f>
        <v>1.4528518950713422E-2</v>
      </c>
      <c r="D5008">
        <f>LOG10(3.092533)</f>
        <v>0.49031434262336898</v>
      </c>
    </row>
    <row r="5009" spans="1:4">
      <c r="A5009">
        <v>1.033453</v>
      </c>
      <c r="B5009">
        <v>3.257447</v>
      </c>
      <c r="C5009">
        <f>LOG10(1.033453)</f>
        <v>1.429073030554852E-2</v>
      </c>
      <c r="D5009">
        <f>LOG10(3.257447)</f>
        <v>0.51287735829259073</v>
      </c>
    </row>
    <row r="5010" spans="1:4">
      <c r="A5010">
        <v>1.0197560000000001</v>
      </c>
      <c r="B5010">
        <v>3.2413219999999998</v>
      </c>
      <c r="C5010">
        <f>LOG10(1.019756)</f>
        <v>8.4962692813367515E-3</v>
      </c>
      <c r="D5010">
        <f>LOG10(3.241322)</f>
        <v>0.51072217693680644</v>
      </c>
    </row>
    <row r="5011" spans="1:4">
      <c r="A5011">
        <v>1.0163679999999999</v>
      </c>
      <c r="B5011">
        <v>3.233222</v>
      </c>
      <c r="C5011">
        <f>LOG10(1.016368)</f>
        <v>7.0509829798700574E-3</v>
      </c>
      <c r="D5011">
        <f>LOG10(3.233222)</f>
        <v>0.50963552523170197</v>
      </c>
    </row>
    <row r="5012" spans="1:4">
      <c r="A5012">
        <v>1.016402</v>
      </c>
      <c r="B5012">
        <v>3.3136480000000001</v>
      </c>
      <c r="C5012">
        <f>LOG10(1.016402)</f>
        <v>7.0655109514419778E-3</v>
      </c>
      <c r="D5012">
        <f>LOG10(3.313648)</f>
        <v>0.52030637258756751</v>
      </c>
    </row>
    <row r="5013" spans="1:4">
      <c r="A5013">
        <v>1.0191110000000001</v>
      </c>
      <c r="B5013">
        <v>3.2529789999999998</v>
      </c>
      <c r="C5013">
        <f>LOG10(1.019111)</f>
        <v>8.2214892685430977E-3</v>
      </c>
      <c r="D5013">
        <f>LOG10(3.252979)</f>
        <v>0.51228125965026483</v>
      </c>
    </row>
    <row r="5014" spans="1:4">
      <c r="A5014">
        <v>1.014626</v>
      </c>
      <c r="B5014">
        <v>3.2236479999999998</v>
      </c>
      <c r="C5014">
        <f>LOG10(1.014626)</f>
        <v>6.3059870094286964E-3</v>
      </c>
      <c r="D5014">
        <f>LOG10(3.223648)</f>
        <v>0.50834761377710125</v>
      </c>
    </row>
    <row r="5015" spans="1:4">
      <c r="A5015">
        <v>1.0406470000000001</v>
      </c>
      <c r="B5015">
        <v>3.4797549999999999</v>
      </c>
      <c r="C5015">
        <f>LOG10(1.040647)</f>
        <v>1.7303436570300548E-2</v>
      </c>
      <c r="D5015">
        <f>LOG10(3.479755)</f>
        <v>0.54154866754033948</v>
      </c>
    </row>
    <row r="5016" spans="1:4">
      <c r="A5016">
        <v>1.0168969999999999</v>
      </c>
      <c r="B5016">
        <v>3.2418339999999999</v>
      </c>
      <c r="C5016">
        <f>LOG10(1.016897)</f>
        <v>7.276966101706658E-3</v>
      </c>
      <c r="D5016">
        <f>LOG10(3.241834)</f>
        <v>0.51079077277969431</v>
      </c>
    </row>
    <row r="5017" spans="1:4">
      <c r="A5017">
        <v>1.0221229999999999</v>
      </c>
      <c r="B5017">
        <v>3.5097580000000002</v>
      </c>
      <c r="C5017">
        <f>LOG10(1.022123)</f>
        <v>9.5031609719134682E-3</v>
      </c>
      <c r="D5017">
        <f>LOG10(3.509758)</f>
        <v>0.54527717262312692</v>
      </c>
    </row>
    <row r="5018" spans="1:4">
      <c r="A5018">
        <v>1.0126360000000001</v>
      </c>
      <c r="B5018">
        <v>3.2140249999999999</v>
      </c>
      <c r="C5018">
        <f>LOG10(1.012636)</f>
        <v>5.4533628330008061E-3</v>
      </c>
      <c r="D5018">
        <f>LOG10(3.214025)</f>
        <v>0.50704925056043737</v>
      </c>
    </row>
    <row r="5019" spans="1:4">
      <c r="A5019">
        <v>1.017727</v>
      </c>
      <c r="B5019">
        <v>3.193867</v>
      </c>
      <c r="C5019">
        <f>LOG10(1.017727)</f>
        <v>7.6312963759736455E-3</v>
      </c>
      <c r="D5019">
        <f>LOG10(3.193867)</f>
        <v>0.504316827153519</v>
      </c>
    </row>
    <row r="5020" spans="1:4">
      <c r="A5020">
        <v>1.0747500000000001</v>
      </c>
      <c r="B5020">
        <v>3.0999910000000002</v>
      </c>
      <c r="C5020">
        <f>LOG10(1.07475)</f>
        <v>3.1307453789044558E-2</v>
      </c>
      <c r="D5020">
        <f>LOG10(3.099991)</f>
        <v>0.49136043297749499</v>
      </c>
    </row>
    <row r="5021" spans="1:4">
      <c r="A5021">
        <v>1.1034729999999999</v>
      </c>
      <c r="B5021">
        <v>3.4768189999999999</v>
      </c>
      <c r="C5021">
        <f>LOG10(1.103473)</f>
        <v>4.2761711222670022E-2</v>
      </c>
      <c r="D5021">
        <f>LOG10(3.476819)</f>
        <v>0.54118208230037057</v>
      </c>
    </row>
    <row r="5022" spans="1:4">
      <c r="A5022">
        <v>1.076662</v>
      </c>
      <c r="B5022">
        <v>3.16323</v>
      </c>
      <c r="C5022">
        <f>LOG10(1.076662)</f>
        <v>3.2079385216417726E-2</v>
      </c>
      <c r="D5022">
        <f>LOG10(3.16323)</f>
        <v>0.50013077082792856</v>
      </c>
    </row>
    <row r="5023" spans="1:4">
      <c r="A5023">
        <v>1.0669660000000001</v>
      </c>
      <c r="B5023">
        <v>3.2446579999999998</v>
      </c>
      <c r="C5023">
        <f>LOG10(1.066966)</f>
        <v>2.8150580391996156E-2</v>
      </c>
      <c r="D5023">
        <f>LOG10(3.244658)</f>
        <v>0.51116892716403128</v>
      </c>
    </row>
    <row r="5024" spans="1:4">
      <c r="A5024">
        <v>1.0558209999999999</v>
      </c>
      <c r="B5024">
        <v>3.1312139999999999</v>
      </c>
      <c r="C5024">
        <f>LOG10(1.055821)</f>
        <v>2.3590295753043739E-2</v>
      </c>
      <c r="D5024">
        <f>LOG10(3.131214)</f>
        <v>0.49571275009635896</v>
      </c>
    </row>
    <row r="5025" spans="1:4">
      <c r="A5025">
        <v>1.042994</v>
      </c>
      <c r="B5025">
        <v>3.1005069999999999</v>
      </c>
      <c r="C5025">
        <f>LOG10(1.042994)</f>
        <v>1.8281810081002131E-2</v>
      </c>
      <c r="D5025">
        <f>LOG10(3.100507)</f>
        <v>0.49143271618867551</v>
      </c>
    </row>
    <row r="5026" spans="1:4">
      <c r="A5026">
        <v>1.0698319999999999</v>
      </c>
      <c r="B5026">
        <v>3.1364380000000001</v>
      </c>
      <c r="C5026">
        <f>LOG10(1.069832)</f>
        <v>2.9315584039063865E-2</v>
      </c>
      <c r="D5026">
        <f>LOG10(3.136438)</f>
        <v>0.49643670697808429</v>
      </c>
    </row>
    <row r="5027" spans="1:4">
      <c r="A5027">
        <v>1.1045769999999999</v>
      </c>
      <c r="B5027">
        <v>3.3183259999999999</v>
      </c>
      <c r="C5027">
        <f>LOG10(1.104577)</f>
        <v>4.319599590641765E-2</v>
      </c>
      <c r="D5027">
        <f>LOG10(3.318326)</f>
        <v>0.52091904987589455</v>
      </c>
    </row>
    <row r="5028" spans="1:4">
      <c r="A5028">
        <v>1.1052249999999999</v>
      </c>
      <c r="B5028">
        <v>3.4007580000000002</v>
      </c>
      <c r="C5028">
        <f>LOG10(1.105225)</f>
        <v>4.3450700022297471E-2</v>
      </c>
      <c r="D5028">
        <f>LOG10(3.400758)</f>
        <v>0.53157572837377021</v>
      </c>
    </row>
    <row r="5029" spans="1:4">
      <c r="A5029">
        <v>1.129996</v>
      </c>
      <c r="B5029">
        <v>3.342889</v>
      </c>
      <c r="C5029">
        <f>LOG10(1.129996)</f>
        <v>5.3076906155099128E-2</v>
      </c>
      <c r="D5029">
        <f>LOG10(3.342889)</f>
        <v>0.52412195616545831</v>
      </c>
    </row>
    <row r="5030" spans="1:4">
      <c r="A5030">
        <v>1.1261140000000001</v>
      </c>
      <c r="B5030">
        <v>3.2894739999999998</v>
      </c>
      <c r="C5030">
        <f>LOG10(1.126114)</f>
        <v>5.1582357713239504E-2</v>
      </c>
      <c r="D5030">
        <f>LOG10(3.289474)</f>
        <v>0.51712645808351454</v>
      </c>
    </row>
    <row r="5031" spans="1:4">
      <c r="A5031">
        <v>1.099753</v>
      </c>
      <c r="B5031">
        <v>3.255852</v>
      </c>
      <c r="C5031">
        <f>LOG10(1.099753)</f>
        <v>4.1295155356032766E-2</v>
      </c>
      <c r="D5031">
        <f>LOG10(3.255852)</f>
        <v>0.51266465511023041</v>
      </c>
    </row>
    <row r="5032" spans="1:4">
      <c r="A5032">
        <v>1.0970899999999999</v>
      </c>
      <c r="B5032">
        <v>3.3396710000000001</v>
      </c>
      <c r="C5032">
        <f>LOG10(1.09709)</f>
        <v>4.0242256471787523E-2</v>
      </c>
      <c r="D5032">
        <f>LOG10(3.339671)</f>
        <v>0.52370368539773082</v>
      </c>
    </row>
    <row r="5033" spans="1:4">
      <c r="A5033">
        <v>1.104527</v>
      </c>
      <c r="B5033">
        <v>3.4547140000000001</v>
      </c>
      <c r="C5033">
        <f>LOG10(1.104527)</f>
        <v>4.3176336601922417E-2</v>
      </c>
      <c r="D5033">
        <f>LOG10(3.454714)</f>
        <v>0.53841209994089789</v>
      </c>
    </row>
    <row r="5034" spans="1:4">
      <c r="A5034">
        <v>1.0950329999999999</v>
      </c>
      <c r="B5034">
        <v>3.7103320000000002</v>
      </c>
      <c r="C5034">
        <f>LOG10(1.095033)</f>
        <v>3.9427207305771587E-2</v>
      </c>
      <c r="D5034">
        <f>LOG10(3.710332)</f>
        <v>0.56941277196462492</v>
      </c>
    </row>
    <row r="5035" spans="1:4">
      <c r="A5035">
        <v>1.1024860000000001</v>
      </c>
      <c r="B5035">
        <v>3.8638210000000002</v>
      </c>
      <c r="C5035">
        <f>LOG10(1.102486)</f>
        <v>4.2373083254297103E-2</v>
      </c>
      <c r="D5035">
        <f>LOG10(3.863821)</f>
        <v>0.58701699856308798</v>
      </c>
    </row>
    <row r="5036" spans="1:4">
      <c r="A5036">
        <v>1.116112</v>
      </c>
      <c r="B5036">
        <v>3.6728480000000001</v>
      </c>
      <c r="C5036">
        <f>LOG10(1.116112)</f>
        <v>4.7707777523934791E-2</v>
      </c>
      <c r="D5036">
        <f>LOG10(3.672848)</f>
        <v>0.56500295553636593</v>
      </c>
    </row>
    <row r="5037" spans="1:4">
      <c r="A5037">
        <v>1.0930299999999999</v>
      </c>
      <c r="B5037">
        <v>2.9011170000000002</v>
      </c>
      <c r="C5037">
        <f>LOG10(1.09303)</f>
        <v>3.8632082037220246E-2</v>
      </c>
      <c r="D5037">
        <f>LOG10(2.901117)</f>
        <v>0.46256524394563336</v>
      </c>
    </row>
    <row r="5038" spans="1:4">
      <c r="A5038">
        <v>1.1028279999999999</v>
      </c>
      <c r="B5038">
        <v>3.3673700000000002</v>
      </c>
      <c r="C5038">
        <f>LOG10(1.102828)</f>
        <v>4.2507783994419859E-2</v>
      </c>
      <c r="D5038">
        <f>LOG10(3.36737)</f>
        <v>0.52729083843438718</v>
      </c>
    </row>
    <row r="5039" spans="1:4">
      <c r="A5039">
        <v>1.14279</v>
      </c>
      <c r="B5039">
        <v>3.3589660000000001</v>
      </c>
      <c r="C5039">
        <f>LOG10(1.14279)</f>
        <v>5.7966431427348301E-2</v>
      </c>
      <c r="D5039">
        <f>LOG10(3.358966)</f>
        <v>0.52620560786455317</v>
      </c>
    </row>
    <row r="5040" spans="1:4">
      <c r="A5040">
        <v>1.105299</v>
      </c>
      <c r="B5040">
        <v>3.2301679999999999</v>
      </c>
      <c r="C5040">
        <f>LOG10(1.105299)</f>
        <v>4.3479777102367993E-2</v>
      </c>
      <c r="D5040">
        <f>LOG10(3.230168)</f>
        <v>0.50922511043499619</v>
      </c>
    </row>
    <row r="5041" spans="1:4">
      <c r="A5041">
        <v>1.1100650000000001</v>
      </c>
      <c r="B5041">
        <v>3.1044839999999998</v>
      </c>
      <c r="C5041">
        <f>LOG10(1.110065)</f>
        <v>4.5348409700916081E-2</v>
      </c>
      <c r="D5041">
        <f>LOG10(3.104484)</f>
        <v>0.49198942590543038</v>
      </c>
    </row>
    <row r="5042" spans="1:4">
      <c r="A5042">
        <v>1.124951</v>
      </c>
      <c r="B5042">
        <v>3.1941190000000002</v>
      </c>
      <c r="C5042">
        <f>LOG10(1.124951)</f>
        <v>5.1133606097988248E-2</v>
      </c>
      <c r="D5042">
        <f>LOG10(3.194119)</f>
        <v>0.50435109216583951</v>
      </c>
    </row>
    <row r="5043" spans="1:4">
      <c r="A5043">
        <v>1.0692410000000001</v>
      </c>
      <c r="B5043">
        <v>3.0855589999999999</v>
      </c>
      <c r="C5043">
        <f>LOG10(1.069241)</f>
        <v>2.9075603406952994E-2</v>
      </c>
      <c r="D5043">
        <f>LOG10(3.085559)</f>
        <v>0.48933385511905025</v>
      </c>
    </row>
    <row r="5044" spans="1:4">
      <c r="A5044">
        <v>1.113283</v>
      </c>
      <c r="B5044">
        <v>3.4339140000000001</v>
      </c>
      <c r="C5044">
        <f>LOG10(1.113283)</f>
        <v>4.6605577376572838E-2</v>
      </c>
      <c r="D5044">
        <f>LOG10(3.433914)</f>
        <v>0.535789414356309</v>
      </c>
    </row>
    <row r="5045" spans="1:4">
      <c r="A5045">
        <v>1.0862879999999999</v>
      </c>
      <c r="B5045">
        <v>3.392865</v>
      </c>
      <c r="C5045">
        <f>LOG10(1.086288)</f>
        <v>3.5944982001400096E-2</v>
      </c>
      <c r="D5045">
        <f>LOG10(3.392865)</f>
        <v>0.53056657968005372</v>
      </c>
    </row>
    <row r="5046" spans="1:4">
      <c r="A5046">
        <v>1.117075</v>
      </c>
      <c r="B5046">
        <v>3.3339569999999998</v>
      </c>
      <c r="C5046">
        <f>LOG10(1.117075)</f>
        <v>4.8082332464471557E-2</v>
      </c>
      <c r="D5046">
        <f>LOG10(3.333957)</f>
        <v>0.52295999417730432</v>
      </c>
    </row>
    <row r="5047" spans="1:4">
      <c r="A5047">
        <v>1.1288929999999999</v>
      </c>
      <c r="B5047">
        <v>3.494942</v>
      </c>
      <c r="C5047">
        <f>LOG10(1.128893)</f>
        <v>5.2652780089930976E-2</v>
      </c>
      <c r="D5047">
        <f>LOG10(3.494942)</f>
        <v>0.54343997284594603</v>
      </c>
    </row>
    <row r="5048" spans="1:4">
      <c r="A5048">
        <v>1.110088</v>
      </c>
      <c r="B5048">
        <v>3.1658620000000002</v>
      </c>
      <c r="C5048">
        <f>LOG10(1.110088)</f>
        <v>4.5357407975435075E-2</v>
      </c>
      <c r="D5048">
        <f>LOG10(3.165862)</f>
        <v>0.50049198003211215</v>
      </c>
    </row>
    <row r="5049" spans="1:4">
      <c r="A5049">
        <v>1.126072</v>
      </c>
      <c r="B5049">
        <v>3.408534</v>
      </c>
      <c r="C5049">
        <f>LOG10(1.126072)</f>
        <v>5.1566159789762409E-2</v>
      </c>
      <c r="D5049">
        <f>LOG10(3.408534)</f>
        <v>0.5325676304274013</v>
      </c>
    </row>
    <row r="5050" spans="1:4">
      <c r="A5050">
        <v>1.1128100000000001</v>
      </c>
      <c r="B5050">
        <v>3.170528</v>
      </c>
      <c r="C5050">
        <f>LOG10(1.11281)</f>
        <v>4.642101968466001E-2</v>
      </c>
      <c r="D5050">
        <f>LOG10(3.170528)</f>
        <v>0.50113159294067389</v>
      </c>
    </row>
    <row r="5051" spans="1:4">
      <c r="A5051">
        <v>1.0867359999999999</v>
      </c>
      <c r="B5051">
        <v>3.383645</v>
      </c>
      <c r="C5051">
        <f>LOG10(1.086736)</f>
        <v>3.6124054050902743E-2</v>
      </c>
      <c r="D5051">
        <f>LOG10(3.383645)</f>
        <v>0.52938479212451695</v>
      </c>
    </row>
    <row r="5052" spans="1:4">
      <c r="A5052">
        <v>1.0878989999999999</v>
      </c>
      <c r="B5052">
        <v>3.2966709999999999</v>
      </c>
      <c r="C5052">
        <f>LOG10(1.087899)</f>
        <v>3.6588577550807029E-2</v>
      </c>
      <c r="D5052">
        <f>LOG10(3.296671)</f>
        <v>0.51807560773945371</v>
      </c>
    </row>
    <row r="5053" spans="1:4">
      <c r="A5053">
        <v>1.1031139999999999</v>
      </c>
      <c r="B5053">
        <v>3.2417440000000002</v>
      </c>
      <c r="C5053">
        <f>LOG10(1.103114)</f>
        <v>4.2620396404465341E-2</v>
      </c>
      <c r="D5053">
        <f>LOG10(3.241744)</f>
        <v>0.51077871570152733</v>
      </c>
    </row>
    <row r="5054" spans="1:4">
      <c r="A5054">
        <v>1.0811789999999999</v>
      </c>
      <c r="B5054">
        <v>3.284036</v>
      </c>
      <c r="C5054">
        <f>LOG10(1.081179)</f>
        <v>3.3897601702334114E-2</v>
      </c>
      <c r="D5054">
        <f>LOG10(3.284036)</f>
        <v>0.51640790926215774</v>
      </c>
    </row>
    <row r="5055" spans="1:4">
      <c r="A5055">
        <v>1.08419</v>
      </c>
      <c r="B5055">
        <v>3.1837749999999998</v>
      </c>
      <c r="C5055">
        <f>LOG10(1.08419)</f>
        <v>3.5105397258495888E-2</v>
      </c>
      <c r="D5055">
        <f>LOG10(3.183775)</f>
        <v>0.50294236820156379</v>
      </c>
    </row>
    <row r="5056" spans="1:4">
      <c r="A5056">
        <v>1.085731</v>
      </c>
      <c r="B5056">
        <v>3.1804730000000001</v>
      </c>
      <c r="C5056">
        <f>LOG10(1.085731)</f>
        <v>3.5722238064332487E-2</v>
      </c>
      <c r="D5056">
        <f>LOG10(3.180473)</f>
        <v>0.50249171307061324</v>
      </c>
    </row>
    <row r="5057" spans="1:4">
      <c r="A5057">
        <v>1.0671079999999999</v>
      </c>
      <c r="B5057">
        <v>3.1542110000000001</v>
      </c>
      <c r="C5057">
        <f>LOG10(1.067108)</f>
        <v>2.8208375779148819E-2</v>
      </c>
      <c r="D5057">
        <f>LOG10(3.154211)</f>
        <v>0.49889074196391364</v>
      </c>
    </row>
    <row r="5058" spans="1:4">
      <c r="A5058">
        <v>1.084789</v>
      </c>
      <c r="B5058">
        <v>3.4468030000000001</v>
      </c>
      <c r="C5058">
        <f>LOG10(1.084789)</f>
        <v>3.534527270336979E-2</v>
      </c>
      <c r="D5058">
        <f>LOG10(3.446803)</f>
        <v>0.53741646227135342</v>
      </c>
    </row>
    <row r="5059" spans="1:4">
      <c r="A5059">
        <v>1.0456380000000001</v>
      </c>
      <c r="B5059">
        <v>3.2756280000000002</v>
      </c>
      <c r="C5059">
        <f>LOG10(1.045638)</f>
        <v>1.9381357750025942E-2</v>
      </c>
      <c r="D5059">
        <f>LOG10(3.275628)</f>
        <v>0.51529457479758611</v>
      </c>
    </row>
    <row r="5060" spans="1:4">
      <c r="A5060">
        <v>1.0847979999999999</v>
      </c>
      <c r="B5060">
        <v>3.1704409999999998</v>
      </c>
      <c r="C5060">
        <f>LOG10(1.084798)</f>
        <v>3.5348875831833521E-2</v>
      </c>
      <c r="D5060">
        <f>LOG10(3.170441)</f>
        <v>0.50111967563909809</v>
      </c>
    </row>
    <row r="5061" spans="1:4">
      <c r="A5061">
        <v>1.0864320000000001</v>
      </c>
      <c r="B5061">
        <v>2.9731160000000001</v>
      </c>
      <c r="C5061">
        <f>LOG10(1.086432)</f>
        <v>3.6002548927175804E-2</v>
      </c>
      <c r="D5061">
        <f>LOG10(2.973116)</f>
        <v>0.47321185410137345</v>
      </c>
    </row>
    <row r="5062" spans="1:4">
      <c r="A5062">
        <v>1.0864419999999999</v>
      </c>
      <c r="B5062">
        <v>3.076085</v>
      </c>
      <c r="C5062">
        <f>LOG10(1.086442)</f>
        <v>3.6006546347016069E-2</v>
      </c>
      <c r="D5062">
        <f>LOG10(3.076085)</f>
        <v>0.48799833194894132</v>
      </c>
    </row>
    <row r="5063" spans="1:4">
      <c r="A5063">
        <v>1.077197</v>
      </c>
      <c r="B5063">
        <v>3.0587780000000002</v>
      </c>
      <c r="C5063">
        <f>LOG10(1.077197)</f>
        <v>3.2295135228462807E-2</v>
      </c>
      <c r="D5063">
        <f>LOG10(3.058778)</f>
        <v>0.48554795790208866</v>
      </c>
    </row>
    <row r="5064" spans="1:4">
      <c r="A5064">
        <v>1.066627</v>
      </c>
      <c r="B5064">
        <v>2.969363</v>
      </c>
      <c r="C5064">
        <f>LOG10(1.066627)</f>
        <v>2.801257297389519E-2</v>
      </c>
      <c r="D5064">
        <f>LOG10(2.969363)</f>
        <v>0.47266329266521678</v>
      </c>
    </row>
    <row r="5065" spans="1:4">
      <c r="A5065">
        <v>1.0841419999999999</v>
      </c>
      <c r="B5065">
        <v>2.9396439999999999</v>
      </c>
      <c r="C5065">
        <f>LOG10(1.084142)</f>
        <v>3.5086169451006274E-2</v>
      </c>
      <c r="D5065">
        <f>LOG10(2.939644)</f>
        <v>0.46829473918869324</v>
      </c>
    </row>
    <row r="5066" spans="1:4">
      <c r="A5066">
        <v>1.0748500000000001</v>
      </c>
      <c r="B5066">
        <v>3.030662</v>
      </c>
      <c r="C5066">
        <f>LOG10(1.07485)</f>
        <v>3.1347860793344569E-2</v>
      </c>
      <c r="D5066">
        <f>LOG10(3.030662)</f>
        <v>0.48153750359950176</v>
      </c>
    </row>
    <row r="5067" spans="1:4">
      <c r="A5067">
        <v>1.071979</v>
      </c>
      <c r="B5067">
        <v>3.026329</v>
      </c>
      <c r="C5067">
        <f>LOG10(1.071979)</f>
        <v>3.0186277638979488E-2</v>
      </c>
      <c r="D5067">
        <f>LOG10(3.026329)</f>
        <v>0.48091613952248913</v>
      </c>
    </row>
    <row r="5068" spans="1:4">
      <c r="A5068">
        <v>1.0492969999999999</v>
      </c>
      <c r="B5068">
        <v>3.1839949999999999</v>
      </c>
      <c r="C5068">
        <f>LOG10(1.049297)</f>
        <v>2.0898431191604963E-2</v>
      </c>
      <c r="D5068">
        <f>LOG10(3.183995)</f>
        <v>0.50297237706999243</v>
      </c>
    </row>
    <row r="5069" spans="1:4">
      <c r="A5069">
        <v>1.0649439999999999</v>
      </c>
      <c r="B5069">
        <v>3.0732729999999999</v>
      </c>
      <c r="C5069">
        <f>LOG10(1.064944)</f>
        <v>2.7326771032577173E-2</v>
      </c>
      <c r="D5069">
        <f>LOG10(3.073273)</f>
        <v>0.48760114051262049</v>
      </c>
    </row>
    <row r="5070" spans="1:4">
      <c r="A5070">
        <v>1.0883970000000001</v>
      </c>
      <c r="B5070">
        <v>3.3166639999999998</v>
      </c>
      <c r="C5070">
        <f>LOG10(1.088397)</f>
        <v>3.6787336043000052E-2</v>
      </c>
      <c r="D5070">
        <f>LOG10(3.316664)</f>
        <v>0.52070147684442969</v>
      </c>
    </row>
    <row r="5071" spans="1:4">
      <c r="A5071">
        <v>1.104465</v>
      </c>
      <c r="B5071">
        <v>3.2964289999999998</v>
      </c>
      <c r="C5071">
        <f>LOG10(1.104465)</f>
        <v>4.3151957828359566E-2</v>
      </c>
      <c r="D5071">
        <f>LOG10(3.296429)</f>
        <v>0.51804372614667704</v>
      </c>
    </row>
    <row r="5072" spans="1:4">
      <c r="A5072">
        <v>1.061885</v>
      </c>
      <c r="B5072">
        <v>3.2716470000000002</v>
      </c>
      <c r="C5072">
        <f>LOG10(1.061885)</f>
        <v>2.6077486077153534E-2</v>
      </c>
      <c r="D5072">
        <f>LOG10(3.271647)</f>
        <v>0.51476643857434057</v>
      </c>
    </row>
    <row r="5073" spans="1:4">
      <c r="A5073">
        <v>1.0500039999999999</v>
      </c>
      <c r="B5073">
        <v>3.3043939999999998</v>
      </c>
      <c r="C5073">
        <f>LOG10(1.050004)</f>
        <v>2.1190953521955866E-2</v>
      </c>
      <c r="D5073">
        <f>LOG10(3.304394)</f>
        <v>0.51909182491474237</v>
      </c>
    </row>
    <row r="5074" spans="1:4">
      <c r="A5074">
        <v>1.045067</v>
      </c>
      <c r="B5074">
        <v>3.2718600000000002</v>
      </c>
      <c r="C5074">
        <f>LOG10(1.045067)</f>
        <v>1.9144134272459718E-2</v>
      </c>
      <c r="D5074">
        <f>LOG10(3.27186)</f>
        <v>0.51479471231949836</v>
      </c>
    </row>
    <row r="5075" spans="1:4">
      <c r="A5075">
        <v>1.032365</v>
      </c>
      <c r="B5075">
        <v>3.4051960000000001</v>
      </c>
      <c r="C5075">
        <f>LOG10(1.032365)</f>
        <v>1.3833272349427425E-2</v>
      </c>
      <c r="D5075">
        <f>LOG10(3.405196)</f>
        <v>0.53214211456558558</v>
      </c>
    </row>
    <row r="5076" spans="1:4">
      <c r="A5076">
        <v>1.0354829999999999</v>
      </c>
      <c r="B5076">
        <v>3.3820999999999999</v>
      </c>
      <c r="C5076">
        <f>LOG10(1.035483)</f>
        <v>1.514297327602171E-2</v>
      </c>
      <c r="D5076">
        <f>LOG10(3.3821)</f>
        <v>0.52918644442261453</v>
      </c>
    </row>
    <row r="5077" spans="1:4">
      <c r="A5077">
        <v>1.046746</v>
      </c>
      <c r="B5077">
        <v>3.326972</v>
      </c>
      <c r="C5077">
        <f>LOG10(1.046746)</f>
        <v>1.9841309968095574E-2</v>
      </c>
      <c r="D5077">
        <f>LOG10(3.326972)</f>
        <v>0.52204914583525963</v>
      </c>
    </row>
    <row r="5078" spans="1:4">
      <c r="A5078">
        <v>1.05017</v>
      </c>
      <c r="B5078">
        <v>3.4288690000000002</v>
      </c>
      <c r="C5078">
        <f>LOG10(1.05017)</f>
        <v>2.1259607723127884E-2</v>
      </c>
      <c r="D5078">
        <f>LOG10(3.428869)</f>
        <v>0.53515089320362708</v>
      </c>
    </row>
    <row r="5079" spans="1:4">
      <c r="A5079">
        <v>1.0571349999999999</v>
      </c>
      <c r="B5079">
        <v>3.3333539999999999</v>
      </c>
      <c r="C5079">
        <f>LOG10(1.057135)</f>
        <v>2.4130451840331309E-2</v>
      </c>
      <c r="D5079">
        <f>LOG10(3.333354)</f>
        <v>0.5228814378977783</v>
      </c>
    </row>
    <row r="5080" spans="1:4">
      <c r="A5080">
        <v>1.0539369999999999</v>
      </c>
      <c r="B5080">
        <v>3.382676</v>
      </c>
      <c r="C5080">
        <f>LOG10(1.053937)</f>
        <v>2.2814651322358874E-2</v>
      </c>
      <c r="D5080">
        <f>LOG10(3.382676)</f>
        <v>0.52926040211823699</v>
      </c>
    </row>
    <row r="5081" spans="1:4">
      <c r="A5081">
        <v>1.044033</v>
      </c>
      <c r="B5081">
        <v>3.326813</v>
      </c>
      <c r="C5081">
        <f>LOG10(1.044033)</f>
        <v>1.8714226148427777E-2</v>
      </c>
      <c r="D5081">
        <f>LOG10(3.326813)</f>
        <v>0.52202838988277966</v>
      </c>
    </row>
    <row r="5082" spans="1:4">
      <c r="A5082">
        <v>1.044384</v>
      </c>
      <c r="B5082">
        <v>3.3328359999999999</v>
      </c>
      <c r="C5082">
        <f>LOG10(1.044384)</f>
        <v>1.8860209794972851E-2</v>
      </c>
      <c r="D5082">
        <f>LOG10(3.332836)</f>
        <v>0.52281394370932022</v>
      </c>
    </row>
    <row r="5083" spans="1:4">
      <c r="A5083">
        <v>1.0450729999999999</v>
      </c>
      <c r="B5083">
        <v>3.3378369999999999</v>
      </c>
      <c r="C5083">
        <f>LOG10(1.045073)</f>
        <v>1.9146627662272271E-2</v>
      </c>
      <c r="D5083">
        <f>LOG10(3.337837)</f>
        <v>0.5234651245154861</v>
      </c>
    </row>
    <row r="5084" spans="1:4">
      <c r="A5084">
        <v>1.0548059999999999</v>
      </c>
      <c r="B5084">
        <v>3.3498929999999998</v>
      </c>
      <c r="C5084">
        <f>LOG10(1.054806)</f>
        <v>2.3172591503914961E-2</v>
      </c>
      <c r="D5084">
        <f>LOG10(3.349893)</f>
        <v>0.52503093531991851</v>
      </c>
    </row>
    <row r="5085" spans="1:4">
      <c r="A5085">
        <v>1.0610930000000001</v>
      </c>
      <c r="B5085">
        <v>3.3212760000000001</v>
      </c>
      <c r="C5085">
        <f>LOG10(1.061093)</f>
        <v>2.5753449515659065E-2</v>
      </c>
      <c r="D5085">
        <f>LOG10(3.321276)</f>
        <v>0.52130496722633757</v>
      </c>
    </row>
    <row r="5086" spans="1:4">
      <c r="A5086">
        <v>1.085942</v>
      </c>
      <c r="B5086">
        <v>3.3299699999999999</v>
      </c>
      <c r="C5086">
        <f>LOG10(1.085942)</f>
        <v>3.5806630268840178E-2</v>
      </c>
      <c r="D5086">
        <f>LOG10(3.32997)</f>
        <v>0.52244032092579551</v>
      </c>
    </row>
    <row r="5087" spans="1:4">
      <c r="A5087">
        <v>1.065842</v>
      </c>
      <c r="B5087">
        <v>3.3823829999999999</v>
      </c>
      <c r="C5087">
        <f>LOG10(1.065842)</f>
        <v>2.7692829818244561E-2</v>
      </c>
      <c r="D5087">
        <f>LOG10(3.382383)</f>
        <v>0.52922278285038515</v>
      </c>
    </row>
    <row r="5088" spans="1:4">
      <c r="A5088">
        <v>1.0682020000000001</v>
      </c>
      <c r="B5088">
        <v>3.256246</v>
      </c>
      <c r="C5088">
        <f>LOG10(1.068202)</f>
        <v>2.86533867656318E-2</v>
      </c>
      <c r="D5088">
        <f>LOG10(3.256246)</f>
        <v>0.51271720715292957</v>
      </c>
    </row>
    <row r="5089" spans="1:4">
      <c r="A5089">
        <v>1.0462480000000001</v>
      </c>
      <c r="B5089">
        <v>3.1606930000000002</v>
      </c>
      <c r="C5089">
        <f>LOG10(1.046248)</f>
        <v>1.963464080796494E-2</v>
      </c>
      <c r="D5089">
        <f>LOG10(3.160693)</f>
        <v>0.4997823146055182</v>
      </c>
    </row>
    <row r="5090" spans="1:4">
      <c r="A5090">
        <v>1.0661430000000001</v>
      </c>
      <c r="B5090">
        <v>3.2366000000000001</v>
      </c>
      <c r="C5090">
        <f>LOG10(1.066143)</f>
        <v>2.7815459799151062E-2</v>
      </c>
      <c r="D5090">
        <f>LOG10(3.2366)</f>
        <v>0.51008902979277881</v>
      </c>
    </row>
    <row r="5091" spans="1:4">
      <c r="A5091">
        <v>1.0634239999999999</v>
      </c>
      <c r="B5091">
        <v>3.2056070000000001</v>
      </c>
      <c r="C5091">
        <f>LOG10(1.063424)</f>
        <v>2.670645751092984E-2</v>
      </c>
      <c r="D5091">
        <f>LOG10(3.205607)</f>
        <v>0.50591027778315789</v>
      </c>
    </row>
    <row r="5092" spans="1:4">
      <c r="A5092">
        <v>1.0552790000000001</v>
      </c>
      <c r="B5092">
        <v>3.158137</v>
      </c>
      <c r="C5092">
        <f>LOG10(1.055279)</f>
        <v>2.3367295786804996E-2</v>
      </c>
      <c r="D5092">
        <f>LOG10(3.158137)</f>
        <v>0.49943096577787482</v>
      </c>
    </row>
    <row r="5093" spans="1:4">
      <c r="A5093">
        <v>1.0680499999999999</v>
      </c>
      <c r="B5093">
        <v>3.194734</v>
      </c>
      <c r="C5093">
        <f>LOG10(1.06805)</f>
        <v>2.8591584355278751E-2</v>
      </c>
      <c r="D5093">
        <f>LOG10(3.194734)</f>
        <v>0.50443470376472754</v>
      </c>
    </row>
    <row r="5094" spans="1:4">
      <c r="A5094">
        <v>1.0488459999999999</v>
      </c>
      <c r="B5094">
        <v>3.2258499999999999</v>
      </c>
      <c r="C5094">
        <f>LOG10(1.048846)</f>
        <v>2.0711726267912924E-2</v>
      </c>
      <c r="D5094">
        <f>LOG10(3.22585)</f>
        <v>0.50864416910165822</v>
      </c>
    </row>
    <row r="5095" spans="1:4">
      <c r="A5095">
        <v>1.0712090000000001</v>
      </c>
      <c r="B5095">
        <v>3.3592170000000001</v>
      </c>
      <c r="C5095">
        <f>LOG10(1.071209)</f>
        <v>2.9874212840693991E-2</v>
      </c>
      <c r="D5095">
        <f>LOG10(3.359217)</f>
        <v>0.52623805947089031</v>
      </c>
    </row>
    <row r="5096" spans="1:4">
      <c r="A5096">
        <v>1.072584</v>
      </c>
      <c r="B5096">
        <v>3.309663</v>
      </c>
      <c r="C5096">
        <f>LOG10(1.072584)</f>
        <v>3.0431314197496777E-2</v>
      </c>
      <c r="D5096">
        <f>LOG10(3.309663)</f>
        <v>0.51978377483571292</v>
      </c>
    </row>
    <row r="5097" spans="1:4">
      <c r="A5097">
        <v>1.066724</v>
      </c>
      <c r="B5097">
        <v>3.4223499999999998</v>
      </c>
      <c r="C5097">
        <f>LOG10(1.066724)</f>
        <v>2.8052066301316368E-2</v>
      </c>
      <c r="D5097">
        <f>LOG10(3.42235)</f>
        <v>0.53432442229912214</v>
      </c>
    </row>
    <row r="5098" spans="1:4">
      <c r="A5098">
        <v>1.058297</v>
      </c>
      <c r="B5098">
        <v>3.4271099999999999</v>
      </c>
      <c r="C5098">
        <f>LOG10(1.058297)</f>
        <v>2.4607565015065506E-2</v>
      </c>
      <c r="D5098">
        <f>LOG10(3.42711)</f>
        <v>0.53492804420994444</v>
      </c>
    </row>
    <row r="5099" spans="1:4">
      <c r="A5099">
        <v>1.0680719999999999</v>
      </c>
      <c r="B5099">
        <v>3.3955150000000001</v>
      </c>
      <c r="C5099">
        <f>LOG10(1.068072)</f>
        <v>2.8600529985352497E-2</v>
      </c>
      <c r="D5099">
        <f>LOG10(3.395515)</f>
        <v>0.53090565334284356</v>
      </c>
    </row>
    <row r="5100" spans="1:4">
      <c r="A5100">
        <v>1.0582229999999999</v>
      </c>
      <c r="B5100">
        <v>3.3194020000000002</v>
      </c>
      <c r="C5100">
        <f>LOG10(1.058223)</f>
        <v>2.4577196493460237E-2</v>
      </c>
      <c r="D5100">
        <f>LOG10(3.319402)</f>
        <v>0.52105985132681909</v>
      </c>
    </row>
    <row r="5101" spans="1:4">
      <c r="A5101">
        <v>1.064057</v>
      </c>
      <c r="B5101">
        <v>3.3605719999999999</v>
      </c>
      <c r="C5101">
        <f>LOG10(1.064057)</f>
        <v>2.696489311167747E-2</v>
      </c>
      <c r="D5101">
        <f>LOG10(3.360572)</f>
        <v>0.52641320456278362</v>
      </c>
    </row>
    <row r="5102" spans="1:4">
      <c r="A5102">
        <v>1.064981</v>
      </c>
      <c r="B5102">
        <v>3.364592</v>
      </c>
      <c r="C5102">
        <f>LOG10(1.064981)</f>
        <v>2.7341859728969829E-2</v>
      </c>
      <c r="D5102">
        <f>LOG10(3.364592)</f>
        <v>0.52693240796814</v>
      </c>
    </row>
    <row r="5103" spans="1:4">
      <c r="A5103">
        <v>1.0577049999999999</v>
      </c>
      <c r="B5103">
        <v>3.4241969999999999</v>
      </c>
      <c r="C5103">
        <f>LOG10(1.057705)</f>
        <v>2.4364557361958531E-2</v>
      </c>
      <c r="D5103">
        <f>LOG10(3.424197)</f>
        <v>0.53455874243963508</v>
      </c>
    </row>
    <row r="5104" spans="1:4">
      <c r="A5104">
        <v>1.040861</v>
      </c>
      <c r="B5104">
        <v>3.5098500000000001</v>
      </c>
      <c r="C5104">
        <f>LOG10(1.040861)</f>
        <v>1.7392736269801794E-2</v>
      </c>
      <c r="D5104">
        <f>LOG10(3.50985)</f>
        <v>0.54528855647599661</v>
      </c>
    </row>
    <row r="5105" spans="1:4">
      <c r="A5105">
        <v>1.0554680000000001</v>
      </c>
      <c r="B5105">
        <v>3.388277</v>
      </c>
      <c r="C5105">
        <f>LOG10(1.055468)</f>
        <v>2.3445070771015878E-2</v>
      </c>
      <c r="D5105">
        <f>LOG10(3.388277)</f>
        <v>0.52997890775487944</v>
      </c>
    </row>
    <row r="5106" spans="1:4">
      <c r="A5106">
        <v>1.0601160000000001</v>
      </c>
      <c r="B5106">
        <v>3.4526910000000002</v>
      </c>
      <c r="C5106">
        <f>LOG10(1.060116)</f>
        <v>2.5353389230393888E-2</v>
      </c>
      <c r="D5106">
        <f>LOG10(3.452691)</f>
        <v>0.53815771272543556</v>
      </c>
    </row>
    <row r="5107" spans="1:4">
      <c r="A5107">
        <v>1.0661499999999999</v>
      </c>
      <c r="B5107">
        <v>3.5744410000000002</v>
      </c>
      <c r="C5107">
        <f>LOG10(1.06615)</f>
        <v>2.7818311247214979E-2</v>
      </c>
      <c r="D5107">
        <f>LOG10(3.574441)</f>
        <v>0.55320813296294258</v>
      </c>
    </row>
    <row r="5108" spans="1:4">
      <c r="A5108">
        <v>1.0856319999999999</v>
      </c>
      <c r="B5108">
        <v>3.5213709999999998</v>
      </c>
      <c r="C5108">
        <f>LOG10(1.085632)</f>
        <v>3.5682636068960688E-2</v>
      </c>
      <c r="D5108">
        <f>LOG10(3.521371)</f>
        <v>0.54671178331067882</v>
      </c>
    </row>
    <row r="5109" spans="1:4">
      <c r="A5109">
        <v>1.0998790000000001</v>
      </c>
      <c r="B5109">
        <v>3.517258</v>
      </c>
      <c r="C5109">
        <f>LOG10(1.099879)</f>
        <v>4.1344910137541387E-2</v>
      </c>
      <c r="D5109">
        <f>LOG10(3.517258)</f>
        <v>0.54620422611242903</v>
      </c>
    </row>
    <row r="5110" spans="1:4">
      <c r="A5110">
        <v>1.0780799999999999</v>
      </c>
      <c r="B5110">
        <v>3.3517589999999999</v>
      </c>
      <c r="C5110">
        <f>LOG10(1.07808)</f>
        <v>3.2650989301026168E-2</v>
      </c>
      <c r="D5110">
        <f>LOG10(3.351759)</f>
        <v>0.52527278420260426</v>
      </c>
    </row>
    <row r="5111" spans="1:4">
      <c r="A5111">
        <v>1.084937</v>
      </c>
      <c r="B5111">
        <v>3.235687</v>
      </c>
      <c r="C5111">
        <f>LOG10(1.084937)</f>
        <v>3.5404520353461442E-2</v>
      </c>
      <c r="D5111">
        <f>LOG10(3.235687)</f>
        <v>0.50996650405663391</v>
      </c>
    </row>
    <row r="5112" spans="1:4">
      <c r="A5112">
        <v>1.0680780000000001</v>
      </c>
      <c r="B5112">
        <v>3.0098989999999999</v>
      </c>
      <c r="C5112">
        <f>LOG10(1.068078)</f>
        <v>2.8602969670666265E-2</v>
      </c>
      <c r="D5112">
        <f>LOG10(3.009899)</f>
        <v>0.47855192267736207</v>
      </c>
    </row>
    <row r="5113" spans="1:4">
      <c r="A5113">
        <v>1.0669820000000001</v>
      </c>
      <c r="B5113">
        <v>2.9667080000000001</v>
      </c>
      <c r="C5113">
        <f>LOG10(1.066982)</f>
        <v>2.8157092932799013E-2</v>
      </c>
      <c r="D5113">
        <f>LOG10(2.966708)</f>
        <v>0.47227480272756578</v>
      </c>
    </row>
    <row r="5114" spans="1:4">
      <c r="A5114">
        <v>1.0983350000000001</v>
      </c>
      <c r="B5114">
        <v>2.8841540000000001</v>
      </c>
      <c r="C5114">
        <f>LOG10(1.098335)</f>
        <v>4.073482323032436E-2</v>
      </c>
      <c r="D5114">
        <f>LOG10(2.884154)</f>
        <v>0.46001844591029351</v>
      </c>
    </row>
    <row r="5115" spans="1:4">
      <c r="A5115">
        <v>1.053428</v>
      </c>
      <c r="B5115">
        <v>2.9416859999999998</v>
      </c>
      <c r="C5115">
        <f>LOG10(1.053428)</f>
        <v>2.2604857674284246E-2</v>
      </c>
      <c r="D5115">
        <f>LOG10(2.941686)</f>
        <v>0.46859631361749815</v>
      </c>
    </row>
    <row r="5116" spans="1:4">
      <c r="A5116">
        <v>1.0467470000000001</v>
      </c>
      <c r="B5116">
        <v>2.897694</v>
      </c>
      <c r="C5116">
        <f>LOG10(1.046747)</f>
        <v>1.9841724867483309E-2</v>
      </c>
      <c r="D5116">
        <f>LOG10(2.897694)</f>
        <v>0.46205252153263504</v>
      </c>
    </row>
    <row r="5117" spans="1:4">
      <c r="A5117">
        <v>1.0747739999999999</v>
      </c>
      <c r="B5117">
        <v>2.9786609999999998</v>
      </c>
      <c r="C5117">
        <f>LOG10(1.074774)</f>
        <v>3.1317151812947551E-2</v>
      </c>
      <c r="D5117">
        <f>LOG10(2.978661)</f>
        <v>0.47402107917781688</v>
      </c>
    </row>
    <row r="5118" spans="1:4">
      <c r="A5118">
        <v>1.075</v>
      </c>
      <c r="B5118">
        <v>2.776554</v>
      </c>
      <c r="C5118">
        <f>LOG10(1.075)</f>
        <v>3.1408464251624121E-2</v>
      </c>
      <c r="D5118">
        <f>LOG10(2.776554)</f>
        <v>0.44350612429659847</v>
      </c>
    </row>
    <row r="5119" spans="1:4">
      <c r="A5119">
        <v>1.102627</v>
      </c>
      <c r="B5119">
        <v>2.7929819999999999</v>
      </c>
      <c r="C5119">
        <f>LOG10(1.102627)</f>
        <v>4.2428622831662793E-2</v>
      </c>
      <c r="D5119">
        <f>LOG10(2.792982)</f>
        <v>0.44606813680166224</v>
      </c>
    </row>
    <row r="5120" spans="1:4">
      <c r="A5120">
        <v>1.069933</v>
      </c>
      <c r="B5120">
        <v>2.8110729999999999</v>
      </c>
      <c r="C5120">
        <f>LOG10(1.069933)</f>
        <v>2.9356582693313149E-2</v>
      </c>
      <c r="D5120">
        <f>LOG10(2.811073)</f>
        <v>0.44887212383067998</v>
      </c>
    </row>
    <row r="5121" spans="1:4">
      <c r="A5121">
        <v>1.0928020000000001</v>
      </c>
      <c r="B5121">
        <v>2.9644059999999999</v>
      </c>
      <c r="C5121">
        <f>LOG10(1.092802)</f>
        <v>3.8541481165576853E-2</v>
      </c>
      <c r="D5121">
        <f>LOG10(2.964406)</f>
        <v>0.47193768361384053</v>
      </c>
    </row>
    <row r="5122" spans="1:4">
      <c r="A5122">
        <v>1.118285</v>
      </c>
      <c r="B5122">
        <v>2.902199</v>
      </c>
      <c r="C5122">
        <f>LOG10(1.118285)</f>
        <v>4.855249957350756E-2</v>
      </c>
      <c r="D5122">
        <f>LOG10(2.902199)</f>
        <v>0.46272718812887759</v>
      </c>
    </row>
    <row r="5123" spans="1:4">
      <c r="A5123">
        <v>1.1343240000000001</v>
      </c>
      <c r="B5123">
        <v>2.8775019999999998</v>
      </c>
      <c r="C5123">
        <f>LOG10(1.134324)</f>
        <v>5.4737120971644793E-2</v>
      </c>
      <c r="D5123">
        <f>LOG10(2.877502)</f>
        <v>0.45901563415714197</v>
      </c>
    </row>
    <row r="5124" spans="1:4">
      <c r="A5124">
        <v>1.1222620000000001</v>
      </c>
      <c r="B5124">
        <v>2.8899300000000001</v>
      </c>
      <c r="C5124">
        <f>LOG10(1.122262)</f>
        <v>5.0094257874911348E-2</v>
      </c>
      <c r="D5124">
        <f>LOG10(2.88993)</f>
        <v>0.46088732338564381</v>
      </c>
    </row>
    <row r="5125" spans="1:4">
      <c r="A5125">
        <v>1.1114040000000001</v>
      </c>
      <c r="B5125">
        <v>2.930412</v>
      </c>
      <c r="C5125">
        <f>LOG10(1.111404)</f>
        <v>4.5871955500288518E-2</v>
      </c>
      <c r="D5125">
        <f>LOG10(2.930412)</f>
        <v>0.46692868409052901</v>
      </c>
    </row>
    <row r="5126" spans="1:4">
      <c r="A5126">
        <v>1.119699</v>
      </c>
      <c r="B5126">
        <v>2.702515</v>
      </c>
      <c r="C5126">
        <f>LOG10(1.119699)</f>
        <v>4.9101290341560765E-2</v>
      </c>
      <c r="D5126">
        <f>LOG10(2.702515)</f>
        <v>0.43176811313382152</v>
      </c>
    </row>
    <row r="5127" spans="1:4">
      <c r="A5127">
        <v>1.1334439999999999</v>
      </c>
      <c r="B5127">
        <v>2.7556419999999999</v>
      </c>
      <c r="C5127">
        <f>LOG10(1.133444)</f>
        <v>5.440006783106089E-2</v>
      </c>
      <c r="D5127">
        <f>LOG10(2.755642)</f>
        <v>0.44022279541137538</v>
      </c>
    </row>
    <row r="5128" spans="1:4">
      <c r="A5128">
        <v>1.179487</v>
      </c>
      <c r="B5128">
        <v>2.9290370000000001</v>
      </c>
      <c r="C5128">
        <f>LOG10(1.179487)</f>
        <v>7.1693158566779103E-2</v>
      </c>
      <c r="D5128">
        <f>LOG10(2.929037)</f>
        <v>0.46672485778413803</v>
      </c>
    </row>
    <row r="5129" spans="1:4">
      <c r="A5129">
        <v>1.181638</v>
      </c>
      <c r="B5129">
        <v>3.0578110000000001</v>
      </c>
      <c r="C5129">
        <f>LOG10(1.181638)</f>
        <v>7.2484448895758766E-2</v>
      </c>
      <c r="D5129">
        <f>LOG10(3.057811)</f>
        <v>0.48541063863231282</v>
      </c>
    </row>
    <row r="5130" spans="1:4">
      <c r="A5130">
        <v>1.1442239999999999</v>
      </c>
      <c r="B5130">
        <v>3.0177</v>
      </c>
      <c r="C5130">
        <f>LOG10(1.144224)</f>
        <v>5.8511052814593671E-2</v>
      </c>
      <c r="D5130">
        <f>LOG10(3.0177)</f>
        <v>0.47967606286814496</v>
      </c>
    </row>
    <row r="5131" spans="1:4">
      <c r="A5131">
        <v>1.1583829999999999</v>
      </c>
      <c r="B5131">
        <v>2.932782</v>
      </c>
      <c r="C5131">
        <f>LOG10(1.158383)</f>
        <v>6.3852175354826471E-2</v>
      </c>
      <c r="D5131">
        <f>LOG10(2.932782)</f>
        <v>0.46727978213646398</v>
      </c>
    </row>
    <row r="5132" spans="1:4">
      <c r="A5132">
        <v>1.144326</v>
      </c>
      <c r="B5132">
        <v>2.9182739999999998</v>
      </c>
      <c r="C5132">
        <f>LOG10(1.144326)</f>
        <v>5.8549765569118138E-2</v>
      </c>
      <c r="D5132">
        <f>LOG10(2.918274)</f>
        <v>0.46512606586500671</v>
      </c>
    </row>
    <row r="5133" spans="1:4">
      <c r="A5133">
        <v>1.129084</v>
      </c>
      <c r="B5133">
        <v>3.1514890000000002</v>
      </c>
      <c r="C5133">
        <f>LOG10(1.129084)</f>
        <v>5.2726253155636595E-2</v>
      </c>
      <c r="D5133">
        <f>LOG10(3.151489)</f>
        <v>0.49851579559692238</v>
      </c>
    </row>
    <row r="5134" spans="1:4">
      <c r="A5134">
        <v>1.1269800000000001</v>
      </c>
      <c r="B5134">
        <v>3.0199370000000001</v>
      </c>
      <c r="C5134">
        <f>LOG10(1.12698)</f>
        <v>5.1916208888422577E-2</v>
      </c>
      <c r="D5134">
        <f>LOG10(3.019937)</f>
        <v>0.47999788307710195</v>
      </c>
    </row>
    <row r="5135" spans="1:4">
      <c r="A5135">
        <v>1.156229</v>
      </c>
      <c r="B5135">
        <v>3.1276090000000001</v>
      </c>
      <c r="C5135">
        <f>LOG10(1.156229)</f>
        <v>6.3043857948652596E-2</v>
      </c>
      <c r="D5135">
        <f>LOG10(3.127609)</f>
        <v>0.4952124541843641</v>
      </c>
    </row>
    <row r="5136" spans="1:4">
      <c r="A5136">
        <v>1.1590130000000001</v>
      </c>
      <c r="B5136">
        <v>3.2344400000000002</v>
      </c>
      <c r="C5136">
        <f>LOG10(1.159013)</f>
        <v>6.4088307228998595E-2</v>
      </c>
      <c r="D5136">
        <f>LOG10(3.23444)</f>
        <v>0.50979909923578925</v>
      </c>
    </row>
    <row r="5137" spans="1:4">
      <c r="A5137">
        <v>1.1239330000000001</v>
      </c>
      <c r="B5137">
        <v>2.9629750000000001</v>
      </c>
      <c r="C5137">
        <f>LOG10(1.123933)</f>
        <v>5.0740422801050671E-2</v>
      </c>
      <c r="D5137">
        <f>LOG10(2.962975)</f>
        <v>0.47172798715070524</v>
      </c>
    </row>
    <row r="5138" spans="1:4">
      <c r="A5138">
        <v>1.1044579999999999</v>
      </c>
      <c r="B5138">
        <v>3.073976</v>
      </c>
      <c r="C5138">
        <f>LOG10(1.104458)</f>
        <v>4.3149205300205919E-2</v>
      </c>
      <c r="D5138">
        <f>LOG10(3.073976)</f>
        <v>0.48770047243234882</v>
      </c>
    </row>
    <row r="5139" spans="1:4">
      <c r="A5139">
        <v>1.1086320000000001</v>
      </c>
      <c r="B5139">
        <v>2.9449230000000002</v>
      </c>
      <c r="C5139">
        <f>LOG10(1.108632)</f>
        <v>4.478741008798548E-2</v>
      </c>
      <c r="D5139">
        <f>LOG10(2.944923)</f>
        <v>0.46907394390672513</v>
      </c>
    </row>
    <row r="5140" spans="1:4">
      <c r="A5140">
        <v>1.185066</v>
      </c>
      <c r="B5140">
        <v>3.0338370000000001</v>
      </c>
      <c r="C5140">
        <f>LOG10(1.185066)</f>
        <v>7.374253822596484E-2</v>
      </c>
      <c r="D5140">
        <f>LOG10(3.033837)</f>
        <v>0.48199224358907838</v>
      </c>
    </row>
    <row r="5141" spans="1:4">
      <c r="A5141">
        <v>1.1815009999999999</v>
      </c>
      <c r="B5141">
        <v>2.9838870000000002</v>
      </c>
      <c r="C5141">
        <f>LOG10(1.181501)</f>
        <v>7.2434093547142003E-2</v>
      </c>
      <c r="D5141">
        <f>LOG10(2.983887)</f>
        <v>0.47478237235100479</v>
      </c>
    </row>
    <row r="5142" spans="1:4">
      <c r="A5142">
        <v>1.1822950000000001</v>
      </c>
      <c r="B5142">
        <v>3.1218539999999999</v>
      </c>
      <c r="C5142">
        <f>LOG10(1.182295)</f>
        <v>7.2725852930439219E-2</v>
      </c>
      <c r="D5142">
        <f>LOG10(3.121854)</f>
        <v>0.49441258851595193</v>
      </c>
    </row>
    <row r="5143" spans="1:4">
      <c r="A5143">
        <v>1.1739679999999999</v>
      </c>
      <c r="B5143">
        <v>3.0627260000000001</v>
      </c>
      <c r="C5143">
        <f>LOG10(1.173968)</f>
        <v>6.9656259081248909E-2</v>
      </c>
      <c r="D5143">
        <f>LOG10(3.062726)</f>
        <v>0.48610814535023239</v>
      </c>
    </row>
    <row r="5144" spans="1:4">
      <c r="A5144">
        <v>1.2188680000000001</v>
      </c>
      <c r="B5144">
        <v>3.0593279999999998</v>
      </c>
      <c r="C5144">
        <f>LOG10(1.218868)</f>
        <v>8.595667528559342E-2</v>
      </c>
      <c r="D5144">
        <f>LOG10(3.059328)</f>
        <v>0.48562604153309802</v>
      </c>
    </row>
    <row r="5145" spans="1:4">
      <c r="A5145">
        <v>1.1788479999999999</v>
      </c>
      <c r="B5145">
        <v>3.1758139999999999</v>
      </c>
      <c r="C5145">
        <f>LOG10(1.178848)</f>
        <v>7.1457811017997835E-2</v>
      </c>
      <c r="D5145">
        <f>LOG10(3.175814)</f>
        <v>0.50185505888758386</v>
      </c>
    </row>
    <row r="5146" spans="1:4">
      <c r="A5146">
        <v>1.1587700000000001</v>
      </c>
      <c r="B5146">
        <v>3.1734059999999999</v>
      </c>
      <c r="C5146">
        <f>LOG10(1.15877)</f>
        <v>6.3997243001252369E-2</v>
      </c>
      <c r="D5146">
        <f>LOG10(3.173406)</f>
        <v>0.50152563852963006</v>
      </c>
    </row>
    <row r="5147" spans="1:4">
      <c r="A5147">
        <v>1.1762790000000001</v>
      </c>
      <c r="B5147">
        <v>3.1175079999999999</v>
      </c>
      <c r="C5147">
        <f>LOG10(1.176279)</f>
        <v>7.0510343669932626E-2</v>
      </c>
      <c r="D5147">
        <f>LOG10(3.117508)</f>
        <v>0.4938075766177486</v>
      </c>
    </row>
    <row r="5148" spans="1:4">
      <c r="A5148">
        <v>1.1867920000000001</v>
      </c>
      <c r="B5148">
        <v>3.3589910000000001</v>
      </c>
      <c r="C5148">
        <f>LOG10(1.186792)</f>
        <v>7.4374610135901936E-2</v>
      </c>
      <c r="D5148">
        <f>LOG10(3.358991)</f>
        <v>0.52620884020499459</v>
      </c>
    </row>
    <row r="5149" spans="1:4">
      <c r="A5149">
        <v>1.1687080000000001</v>
      </c>
      <c r="B5149">
        <v>3.097181</v>
      </c>
      <c r="C5149">
        <f>LOG10(1.168708)</f>
        <v>6.7706016867963167E-2</v>
      </c>
      <c r="D5149">
        <f>LOG10(3.097181)</f>
        <v>0.49096658637204832</v>
      </c>
    </row>
    <row r="5150" spans="1:4">
      <c r="A5150">
        <v>1.2035899999999999</v>
      </c>
      <c r="B5150">
        <v>3.1601439999999998</v>
      </c>
      <c r="C5150">
        <f>LOG10(1.20359)</f>
        <v>8.0478570757258103E-2</v>
      </c>
      <c r="D5150">
        <f>LOG10(3.160144)</f>
        <v>0.49970687280211001</v>
      </c>
    </row>
    <row r="5151" spans="1:4">
      <c r="A5151">
        <v>1.213322</v>
      </c>
      <c r="B5151">
        <v>3.272392</v>
      </c>
      <c r="C5151">
        <f>LOG10(1.213322)</f>
        <v>8.3976072313638808E-2</v>
      </c>
      <c r="D5151">
        <f>LOG10(3.272392)</f>
        <v>0.51486532227305193</v>
      </c>
    </row>
    <row r="5152" spans="1:4">
      <c r="A5152">
        <v>1.2210529999999999</v>
      </c>
      <c r="B5152">
        <v>3.0168010000000001</v>
      </c>
      <c r="C5152">
        <f>LOG10(1.221053)</f>
        <v>8.6734514975179089E-2</v>
      </c>
      <c r="D5152">
        <f>LOG10(3.016801)</f>
        <v>0.47954666335619872</v>
      </c>
    </row>
    <row r="5153" spans="1:4">
      <c r="A5153">
        <v>1.1861520000000001</v>
      </c>
      <c r="B5153">
        <v>2.9558019999999998</v>
      </c>
      <c r="C5153">
        <f>LOG10(1.186152)</f>
        <v>7.4140345462856486E-2</v>
      </c>
      <c r="D5153">
        <f>LOG10(2.955802)</f>
        <v>0.47067533865801664</v>
      </c>
    </row>
    <row r="5154" spans="1:4">
      <c r="A5154">
        <v>1.1954640000000001</v>
      </c>
      <c r="B5154">
        <v>3.0961810000000001</v>
      </c>
      <c r="C5154">
        <f>LOG10(1.195464)</f>
        <v>7.7536502378389174E-2</v>
      </c>
      <c r="D5154">
        <f>LOG10(3.096181)</f>
        <v>0.49082634122387925</v>
      </c>
    </row>
    <row r="5155" spans="1:4">
      <c r="A5155">
        <v>1.1934199999999999</v>
      </c>
      <c r="B5155">
        <v>3.0247830000000002</v>
      </c>
      <c r="C5155">
        <f>LOG10(1.19342)</f>
        <v>7.6793311718952442E-2</v>
      </c>
      <c r="D5155">
        <f>LOG10(3.024783)</f>
        <v>0.48069422352303931</v>
      </c>
    </row>
    <row r="5156" spans="1:4">
      <c r="A5156">
        <v>1.2229490000000001</v>
      </c>
      <c r="B5156">
        <v>3.0190000000000001</v>
      </c>
      <c r="C5156">
        <f>LOG10(1.222949)</f>
        <v>8.7408346259175845E-2</v>
      </c>
      <c r="D5156">
        <f>LOG10(3.019)</f>
        <v>0.47986311302309775</v>
      </c>
    </row>
    <row r="5157" spans="1:4">
      <c r="A5157">
        <v>1.127095</v>
      </c>
      <c r="B5157">
        <v>3.2634989999999999</v>
      </c>
      <c r="C5157">
        <f>LOG10(1.127095)</f>
        <v>5.1960523177398896E-2</v>
      </c>
      <c r="D5157">
        <f>LOG10(3.263499)</f>
        <v>0.5136834839556822</v>
      </c>
    </row>
    <row r="5158" spans="1:4">
      <c r="A5158">
        <v>1.1121209999999999</v>
      </c>
      <c r="B5158">
        <v>3.2781820000000002</v>
      </c>
      <c r="C5158">
        <f>LOG10(1.112121)</f>
        <v>4.6152041538734166E-2</v>
      </c>
      <c r="D5158">
        <f>LOG10(3.278182)</f>
        <v>0.51563306131548314</v>
      </c>
    </row>
    <row r="5159" spans="1:4">
      <c r="A5159">
        <v>1.1910510000000001</v>
      </c>
      <c r="B5159">
        <v>3.7222140000000001</v>
      </c>
      <c r="C5159">
        <f>LOG10(1.191051)</f>
        <v>7.5930358077544349E-2</v>
      </c>
      <c r="D5159">
        <f>LOG10(3.722214)</f>
        <v>0.57080133825939627</v>
      </c>
    </row>
    <row r="5160" spans="1:4">
      <c r="A5160">
        <v>1.225071</v>
      </c>
      <c r="B5160">
        <v>3.6774939999999998</v>
      </c>
      <c r="C5160">
        <f>LOG10(1.225071)</f>
        <v>8.8161259324768912E-2</v>
      </c>
      <c r="D5160">
        <f>LOG10(3.677494)</f>
        <v>0.56555197282879488</v>
      </c>
    </row>
    <row r="5161" spans="1:4">
      <c r="A5161">
        <v>1.1360509999999999</v>
      </c>
      <c r="B5161">
        <v>3.5411100000000002</v>
      </c>
      <c r="C5161">
        <f>LOG10(1.136051)</f>
        <v>5.5397828312859956E-2</v>
      </c>
      <c r="D5161">
        <f>LOG10(3.54111)</f>
        <v>0.54913941776376141</v>
      </c>
    </row>
    <row r="5162" spans="1:4">
      <c r="A5162">
        <v>1.183074</v>
      </c>
      <c r="B5162">
        <v>3.012454</v>
      </c>
      <c r="C5162">
        <f>LOG10(1.183074)</f>
        <v>7.3011910127970772E-2</v>
      </c>
      <c r="D5162">
        <f>LOG10(3.012454)</f>
        <v>0.47892042398169832</v>
      </c>
    </row>
    <row r="5163" spans="1:4">
      <c r="A5163">
        <v>1.152112</v>
      </c>
      <c r="B5163">
        <v>3.3717709999999999</v>
      </c>
      <c r="C5163">
        <f>LOG10(1.152112)</f>
        <v>6.1494700109445181E-2</v>
      </c>
      <c r="D5163">
        <f>LOG10(3.371771)</f>
        <v>0.52785807104951354</v>
      </c>
    </row>
    <row r="5164" spans="1:4">
      <c r="A5164">
        <v>1.012151</v>
      </c>
      <c r="B5164">
        <v>3.5587550000000001</v>
      </c>
      <c r="C5164">
        <f>LOG10(1.012151)</f>
        <v>5.24530852629943E-3</v>
      </c>
      <c r="D5164">
        <f>LOG10(3.558755)</f>
        <v>0.55129809033299093</v>
      </c>
    </row>
    <row r="5165" spans="1:4">
      <c r="A5165">
        <v>1.009944</v>
      </c>
      <c r="B5165">
        <v>3.2298469999999999</v>
      </c>
      <c r="C5165">
        <f>LOG10(1.009944)</f>
        <v>4.2972934210158825E-3</v>
      </c>
      <c r="D5165">
        <f>LOG10(3.229847)</f>
        <v>0.50918194999998001</v>
      </c>
    </row>
    <row r="5166" spans="1:4">
      <c r="A5166">
        <v>1.014718</v>
      </c>
      <c r="B5166">
        <v>3.6594060000000002</v>
      </c>
      <c r="C5166">
        <f>LOG10(1.014718)</f>
        <v>6.345364357342567E-3</v>
      </c>
      <c r="D5166">
        <f>LOG10(3.659406)</f>
        <v>0.56341059581566155</v>
      </c>
    </row>
    <row r="5167" spans="1:4">
      <c r="A5167">
        <v>1.0165919999999999</v>
      </c>
      <c r="B5167">
        <v>3.4540760000000001</v>
      </c>
      <c r="C5167">
        <f>LOG10(1.016592)</f>
        <v>7.1466877299290995E-3</v>
      </c>
      <c r="D5167">
        <f>LOG10(3.454076)</f>
        <v>0.53833188911375107</v>
      </c>
    </row>
    <row r="5168" spans="1:4">
      <c r="A5168">
        <v>1.012248</v>
      </c>
      <c r="B5168">
        <v>3.4285570000000001</v>
      </c>
      <c r="C5168">
        <f>LOG10(1.012248)</f>
        <v>5.2869273620890752E-3</v>
      </c>
      <c r="D5168">
        <f>LOG10(3.428557)</f>
        <v>0.53511137403755882</v>
      </c>
    </row>
    <row r="5169" spans="1:4">
      <c r="A5169">
        <v>1.007752</v>
      </c>
      <c r="B5169">
        <v>3.3726389999999999</v>
      </c>
      <c r="C5169">
        <f>LOG10(1.007752)</f>
        <v>3.3536687334012462E-3</v>
      </c>
      <c r="D5169">
        <f>LOG10(3.372639)</f>
        <v>0.52796985773281824</v>
      </c>
    </row>
    <row r="5170" spans="1:4">
      <c r="A5170">
        <v>1.0082310000000001</v>
      </c>
      <c r="B5170">
        <v>3.230013</v>
      </c>
      <c r="C5170">
        <f>LOG10(1.008231)</f>
        <v>3.5600465260179352E-3</v>
      </c>
      <c r="D5170">
        <f>LOG10(3.230013)</f>
        <v>0.50920427026203263</v>
      </c>
    </row>
    <row r="5171" spans="1:4">
      <c r="A5171">
        <v>1.0210250000000001</v>
      </c>
      <c r="B5171">
        <v>3.395896</v>
      </c>
      <c r="C5171">
        <f>LOG10(1.021025)</f>
        <v>9.0363760037801728E-3</v>
      </c>
      <c r="D5171">
        <f>LOG10(3.395896)</f>
        <v>0.53095438141946238</v>
      </c>
    </row>
    <row r="5172" spans="1:4">
      <c r="A5172">
        <v>1.0192829999999999</v>
      </c>
      <c r="B5172">
        <v>3.578681</v>
      </c>
      <c r="C5172">
        <f>LOG10(1.019283)</f>
        <v>8.2947809394021896E-3</v>
      </c>
      <c r="D5172">
        <f>LOG10(3.578681)</f>
        <v>0.55372298754502003</v>
      </c>
    </row>
    <row r="5173" spans="1:4">
      <c r="A5173">
        <v>1.016089</v>
      </c>
      <c r="B5173">
        <v>3.819842</v>
      </c>
      <c r="C5173">
        <f>LOG10(1.016089)</f>
        <v>6.9317497944082675E-3</v>
      </c>
      <c r="D5173">
        <f>LOG10(3.819842)</f>
        <v>0.58204539957473123</v>
      </c>
    </row>
    <row r="5174" spans="1:4">
      <c r="A5174">
        <v>1.020265</v>
      </c>
      <c r="B5174">
        <v>3.7582800000000001</v>
      </c>
      <c r="C5174">
        <f>LOG10(1.020265)</f>
        <v>8.7129885169484368E-3</v>
      </c>
      <c r="D5174">
        <f>LOG10(3.75828)</f>
        <v>0.57498913284939168</v>
      </c>
    </row>
    <row r="5175" spans="1:4">
      <c r="A5175">
        <v>1.0189889999999999</v>
      </c>
      <c r="B5175">
        <v>3.6761949999999999</v>
      </c>
      <c r="C5175">
        <f>LOG10(1.018989)</f>
        <v>8.1694958169405679E-3</v>
      </c>
      <c r="D5175">
        <f>LOG10(3.676195)</f>
        <v>0.56539854003122614</v>
      </c>
    </row>
    <row r="5176" spans="1:4">
      <c r="A5176">
        <v>1.017369</v>
      </c>
      <c r="B5176">
        <v>3.6032839999999999</v>
      </c>
      <c r="C5176">
        <f>LOG10(1.017369)</f>
        <v>7.4785002168487984E-3</v>
      </c>
      <c r="D5176">
        <f>LOG10(3.603284)</f>
        <v>0.55669849325554199</v>
      </c>
    </row>
    <row r="5177" spans="1:4">
      <c r="A5177">
        <v>1.0182640000000001</v>
      </c>
      <c r="B5177">
        <v>3.657511</v>
      </c>
      <c r="C5177">
        <f>LOG10(1.018264)</f>
        <v>7.8603898662592316E-3</v>
      </c>
      <c r="D5177">
        <f>LOG10(3.657511)</f>
        <v>0.56318564094420209</v>
      </c>
    </row>
    <row r="5178" spans="1:4">
      <c r="A5178">
        <v>1.019849</v>
      </c>
      <c r="B5178">
        <v>3.8100900000000002</v>
      </c>
      <c r="C5178">
        <f>LOG10(1.019849)</f>
        <v>8.5358743880558953E-3</v>
      </c>
      <c r="D5178">
        <f>LOG10(3.81009)</f>
        <v>0.58093523447922224</v>
      </c>
    </row>
    <row r="5179" spans="1:4">
      <c r="A5179">
        <v>1.0204359999999999</v>
      </c>
      <c r="B5179">
        <v>4.1905099999999997</v>
      </c>
      <c r="C5179">
        <f>LOG10(1.020436)</f>
        <v>8.7857716993737303E-3</v>
      </c>
      <c r="D5179">
        <f>LOG10(4.19051)</f>
        <v>0.62226688136895669</v>
      </c>
    </row>
    <row r="5180" spans="1:4">
      <c r="A5180">
        <v>1.0136069999999999</v>
      </c>
      <c r="B5180">
        <v>4.1178910000000002</v>
      </c>
      <c r="C5180">
        <f>LOG10(1.013607)</f>
        <v>5.8696011363122049E-3</v>
      </c>
      <c r="D5180">
        <f>LOG10(4.117891)</f>
        <v>0.61467484671983719</v>
      </c>
    </row>
    <row r="5181" spans="1:4">
      <c r="A5181">
        <v>1.0178910000000001</v>
      </c>
      <c r="B5181">
        <v>4.0690210000000002</v>
      </c>
      <c r="C5181">
        <f>LOG10(1.017891)</f>
        <v>7.7012744319608266E-3</v>
      </c>
      <c r="D5181">
        <f>LOG10(4.069021)</f>
        <v>0.60948993122968875</v>
      </c>
    </row>
    <row r="5182" spans="1:4">
      <c r="A5182">
        <v>1.0180309999999999</v>
      </c>
      <c r="B5182">
        <v>3.0181930000000001</v>
      </c>
      <c r="C5182">
        <f>LOG10(1.018031)</f>
        <v>7.7610028769230658E-3</v>
      </c>
      <c r="D5182">
        <f>LOG10(3.018193)</f>
        <v>0.47974700752539928</v>
      </c>
    </row>
    <row r="5183" spans="1:4">
      <c r="A5183">
        <v>1.026581</v>
      </c>
      <c r="B5183">
        <v>3.6433930000000001</v>
      </c>
      <c r="C5183">
        <f>LOG10(1.026581)</f>
        <v>1.1393222060418835E-2</v>
      </c>
      <c r="D5183">
        <f>LOG10(3.643393)</f>
        <v>0.56150601958829349</v>
      </c>
    </row>
    <row r="5184" spans="1:4">
      <c r="A5184">
        <v>1.025139</v>
      </c>
      <c r="B5184">
        <v>3.741441</v>
      </c>
      <c r="C5184">
        <f>LOG10(1.025139)</f>
        <v>1.0782755967560464E-2</v>
      </c>
      <c r="D5184">
        <f>LOG10(3.741441)</f>
        <v>0.57303890108211586</v>
      </c>
    </row>
    <row r="5185" spans="1:4">
      <c r="A5185">
        <v>1.0229790000000001</v>
      </c>
      <c r="B5185">
        <v>3.4709029999999998</v>
      </c>
      <c r="C5185">
        <f>LOG10(1.022979)</f>
        <v>9.866718484662463E-3</v>
      </c>
      <c r="D5185">
        <f>LOG10(3.470903)</f>
        <v>0.54044247677905055</v>
      </c>
    </row>
    <row r="5186" spans="1:4">
      <c r="A5186">
        <v>1.0194890000000001</v>
      </c>
      <c r="B5186">
        <v>3.2338149999999999</v>
      </c>
      <c r="C5186">
        <f>LOG10(1.019489)</f>
        <v>8.3825442239446428E-3</v>
      </c>
      <c r="D5186">
        <f>LOG10(3.233815)</f>
        <v>0.50971517117419163</v>
      </c>
    </row>
    <row r="5187" spans="1:4">
      <c r="A5187">
        <v>1.019549</v>
      </c>
      <c r="B5187">
        <v>3.5151859999999999</v>
      </c>
      <c r="C5187">
        <f>LOG10(1.019549)</f>
        <v>8.4081030109036826E-3</v>
      </c>
      <c r="D5187">
        <f>LOG10(3.515186)</f>
        <v>0.54594830990675647</v>
      </c>
    </row>
    <row r="5188" spans="1:4">
      <c r="A5188">
        <v>1.0124139999999999</v>
      </c>
      <c r="B5188">
        <v>3.3507910000000001</v>
      </c>
      <c r="C5188">
        <f>LOG10(1.012414)</f>
        <v>5.3581420973460537E-3</v>
      </c>
      <c r="D5188">
        <f>LOG10(3.350791)</f>
        <v>0.52514734028606347</v>
      </c>
    </row>
    <row r="5189" spans="1:4">
      <c r="A5189">
        <v>1.0204839999999999</v>
      </c>
      <c r="B5189">
        <v>3.673886</v>
      </c>
      <c r="C5189">
        <f>LOG10(1.020484)</f>
        <v>8.8061998740549732E-3</v>
      </c>
      <c r="D5189">
        <f>LOG10(3.673886)</f>
        <v>0.56512567610178044</v>
      </c>
    </row>
    <row r="5190" spans="1:4">
      <c r="A5190">
        <v>1.0139100000000001</v>
      </c>
      <c r="B5190">
        <v>3.7186849999999998</v>
      </c>
      <c r="C5190">
        <f>LOG10(1.01391)</f>
        <v>5.9994064390508613E-3</v>
      </c>
      <c r="D5190">
        <f>LOG10(3.718685)</f>
        <v>0.57038939197668259</v>
      </c>
    </row>
    <row r="5191" spans="1:4">
      <c r="A5191">
        <v>1.0181750000000001</v>
      </c>
      <c r="B5191">
        <v>3.6419250000000001</v>
      </c>
      <c r="C5191">
        <f>LOG10(1.018175)</f>
        <v>7.8224292802421685E-3</v>
      </c>
      <c r="D5191">
        <f>LOG10(3.641925)</f>
        <v>0.56133099790548902</v>
      </c>
    </row>
    <row r="5192" spans="1:4">
      <c r="A5192">
        <v>1.0214540000000001</v>
      </c>
      <c r="B5192">
        <v>3.7772130000000002</v>
      </c>
      <c r="C5192">
        <f>LOG10(1.021454)</f>
        <v>9.218813458927869E-3</v>
      </c>
      <c r="D5192">
        <f>LOG10(3.777213)</f>
        <v>0.57717147572410687</v>
      </c>
    </row>
    <row r="5193" spans="1:4">
      <c r="A5193">
        <v>1.0284420000000001</v>
      </c>
      <c r="B5193">
        <v>3.4663080000000002</v>
      </c>
      <c r="C5193">
        <f>LOG10(1.028442)</f>
        <v>1.2179804256101595E-2</v>
      </c>
      <c r="D5193">
        <f>LOG10(3.466308)</f>
        <v>0.53986714947930747</v>
      </c>
    </row>
    <row r="5194" spans="1:4">
      <c r="A5194">
        <v>1.026068</v>
      </c>
      <c r="B5194">
        <v>3.5945870000000002</v>
      </c>
      <c r="C5194">
        <f>LOG10(1.026068)</f>
        <v>1.1176143471868186E-2</v>
      </c>
      <c r="D5194">
        <f>LOG10(3.594587)</f>
        <v>0.55564899932957701</v>
      </c>
    </row>
    <row r="5195" spans="1:4">
      <c r="A5195">
        <v>1.0112779999999999</v>
      </c>
      <c r="B5195">
        <v>3.4179029999999999</v>
      </c>
      <c r="C5195">
        <f>LOG10(1.011278)</f>
        <v>4.8705594184961848E-3</v>
      </c>
      <c r="D5195">
        <f>LOG10(3.417903)</f>
        <v>0.53375973329328608</v>
      </c>
    </row>
    <row r="5196" spans="1:4">
      <c r="A5196">
        <v>1.018505</v>
      </c>
      <c r="B5196">
        <v>3.802759</v>
      </c>
      <c r="C5196">
        <f>LOG10(1.018505)</f>
        <v>7.9631653608068387E-3</v>
      </c>
      <c r="D5196">
        <f>LOG10(3.802759)</f>
        <v>0.58009880285395898</v>
      </c>
    </row>
    <row r="5197" spans="1:4">
      <c r="A5197">
        <v>1.017523</v>
      </c>
      <c r="B5197">
        <v>3.485519</v>
      </c>
      <c r="C5197">
        <f>LOG10(1.017523)</f>
        <v>7.5442347623094728E-3</v>
      </c>
      <c r="D5197">
        <f>LOG10(3.485519)</f>
        <v>0.54226745447251612</v>
      </c>
    </row>
    <row r="5198" spans="1:4">
      <c r="A5198">
        <v>1.014561</v>
      </c>
      <c r="B5198">
        <v>3.3985120000000002</v>
      </c>
      <c r="C5198">
        <f>LOG10(1.014561)</f>
        <v>6.2781639045760059E-3</v>
      </c>
      <c r="D5198">
        <f>LOG10(3.398512)</f>
        <v>0.53128880773616249</v>
      </c>
    </row>
    <row r="5199" spans="1:4">
      <c r="A5199">
        <v>1.0148109999999999</v>
      </c>
      <c r="B5199">
        <v>3.5479669999999999</v>
      </c>
      <c r="C5199">
        <f>LOG10(1.014811)</f>
        <v>6.3851660914840637E-3</v>
      </c>
      <c r="D5199">
        <f>LOG10(3.547967)</f>
        <v>0.5499795717615622</v>
      </c>
    </row>
    <row r="5200" spans="1:4">
      <c r="A5200">
        <v>1.0144120000000001</v>
      </c>
      <c r="B5200">
        <v>3.4643269999999999</v>
      </c>
      <c r="C5200">
        <f>LOG10(1.014412)</f>
        <v>6.2143780602893746E-3</v>
      </c>
      <c r="D5200">
        <f>LOG10(3.464327)</f>
        <v>0.53961887860886626</v>
      </c>
    </row>
    <row r="5201" spans="1:4">
      <c r="A5201">
        <v>1.0146219999999999</v>
      </c>
      <c r="B5201">
        <v>3.5455950000000001</v>
      </c>
      <c r="C5201">
        <f>LOG10(1.014622)</f>
        <v>6.3042748698305152E-3</v>
      </c>
      <c r="D5201">
        <f>LOG10(3.545595)</f>
        <v>0.54968912627043387</v>
      </c>
    </row>
    <row r="5202" spans="1:4">
      <c r="A5202">
        <v>1.0082230000000001</v>
      </c>
      <c r="B5202">
        <v>3.4551249999999998</v>
      </c>
      <c r="C5202">
        <f>LOG10(1.008223)</f>
        <v>3.5566005204504909E-3</v>
      </c>
      <c r="D5202">
        <f>LOG10(3.455125)</f>
        <v>0.5384637639615133</v>
      </c>
    </row>
    <row r="5203" spans="1:4">
      <c r="A5203">
        <v>1.019171</v>
      </c>
      <c r="B5203">
        <v>3.710995</v>
      </c>
      <c r="C5203">
        <f>LOG10(1.019171)</f>
        <v>8.2470575352713502E-3</v>
      </c>
      <c r="D5203">
        <f>LOG10(3.710995)</f>
        <v>0.56949036920357365</v>
      </c>
    </row>
    <row r="5204" spans="1:4">
      <c r="A5204">
        <v>1.0093179999999999</v>
      </c>
      <c r="B5204">
        <v>3.534786</v>
      </c>
      <c r="C5204">
        <f>LOG10(1.009318)</f>
        <v>4.0280184538436254E-3</v>
      </c>
      <c r="D5204">
        <f>LOG10(3.534786)</f>
        <v>0.548363126242568</v>
      </c>
    </row>
    <row r="5205" spans="1:4">
      <c r="A5205">
        <v>1.0117860000000001</v>
      </c>
      <c r="B5205">
        <v>3.2925260000000001</v>
      </c>
      <c r="C5205">
        <f>LOG10(1.011786)</f>
        <v>5.0886658169530851E-3</v>
      </c>
      <c r="D5205">
        <f>LOG10(3.292526)</f>
        <v>0.51752921312871769</v>
      </c>
    </row>
    <row r="5206" spans="1:4">
      <c r="A5206">
        <v>1.009951</v>
      </c>
      <c r="B5206">
        <v>3.195157</v>
      </c>
      <c r="C5206">
        <f>LOG10(1.009951)</f>
        <v>4.3003035392382392E-3</v>
      </c>
      <c r="D5206">
        <f>LOG10(3.195157)</f>
        <v>0.50449220288830054</v>
      </c>
    </row>
    <row r="5207" spans="1:4">
      <c r="A5207">
        <v>1.0188280000000001</v>
      </c>
      <c r="B5207">
        <v>3.3398500000000002</v>
      </c>
      <c r="C5207">
        <f>LOG10(1.018828)</f>
        <v>8.1008719790475244E-3</v>
      </c>
      <c r="D5207">
        <f>LOG10(3.33985)</f>
        <v>0.52372696213038261</v>
      </c>
    </row>
    <row r="5208" spans="1:4">
      <c r="A5208">
        <v>1.0153000000000001</v>
      </c>
      <c r="B5208">
        <v>3.2169249999999998</v>
      </c>
      <c r="C5208">
        <f>LOG10(1.0153)</f>
        <v>6.5943861841371351E-3</v>
      </c>
      <c r="D5208">
        <f>LOG10(3.216925)</f>
        <v>0.50744093579602145</v>
      </c>
    </row>
    <row r="5209" spans="1:4">
      <c r="A5209">
        <v>1.010786</v>
      </c>
      <c r="B5209">
        <v>3.1568499999999999</v>
      </c>
      <c r="C5209">
        <f>LOG10(1.010786)</f>
        <v>4.6592180471913868E-3</v>
      </c>
      <c r="D5209">
        <f>LOG10(3.15685)</f>
        <v>0.49925394656755878</v>
      </c>
    </row>
    <row r="5210" spans="1:4">
      <c r="A5210">
        <v>1.0155700000000001</v>
      </c>
      <c r="B5210">
        <v>3.197076</v>
      </c>
      <c r="C5210">
        <f>LOG10(1.01557)</f>
        <v>6.7098633055725151E-3</v>
      </c>
      <c r="D5210">
        <f>LOG10(3.197076)</f>
        <v>0.50475296032183259</v>
      </c>
    </row>
    <row r="5211" spans="1:4">
      <c r="A5211">
        <v>1.013738</v>
      </c>
      <c r="B5211">
        <v>3.1551529999999999</v>
      </c>
      <c r="C5211">
        <f>LOG10(1.013738)</f>
        <v>5.9257263416507651E-3</v>
      </c>
      <c r="D5211">
        <f>LOG10(3.155153)</f>
        <v>0.49902042394295071</v>
      </c>
    </row>
    <row r="5212" spans="1:4">
      <c r="A5212">
        <v>1.0286569999999999</v>
      </c>
      <c r="B5212">
        <v>3.1381350000000001</v>
      </c>
      <c r="C5212">
        <f>LOG10(1.028657)</f>
        <v>1.2270585802297599E-2</v>
      </c>
      <c r="D5212">
        <f>LOG10(3.138135)</f>
        <v>0.49667162264605391</v>
      </c>
    </row>
    <row r="5213" spans="1:4">
      <c r="A5213">
        <v>1.0365519999999999</v>
      </c>
      <c r="B5213">
        <v>3.2402220000000002</v>
      </c>
      <c r="C5213">
        <f>LOG10(1.036552)</f>
        <v>1.5591093932618288E-2</v>
      </c>
      <c r="D5213">
        <f>LOG10(3.240222)</f>
        <v>0.51057476640169941</v>
      </c>
    </row>
    <row r="5214" spans="1:4">
      <c r="A5214">
        <v>1.0773349999999999</v>
      </c>
      <c r="B5214">
        <v>3.1953900000000002</v>
      </c>
      <c r="C5214">
        <f>LOG10(1.077335)</f>
        <v>3.2350769248829729E-2</v>
      </c>
      <c r="D5214">
        <f>LOG10(3.19539)</f>
        <v>0.50452387173114865</v>
      </c>
    </row>
    <row r="5215" spans="1:4">
      <c r="A5215">
        <v>1.0530710000000001</v>
      </c>
      <c r="B5215">
        <v>3.4064109999999999</v>
      </c>
      <c r="C5215">
        <f>LOG10(1.053071)</f>
        <v>2.2457653112094741E-2</v>
      </c>
      <c r="D5215">
        <f>LOG10(3.406411)</f>
        <v>0.53229704652249643</v>
      </c>
    </row>
    <row r="5216" spans="1:4">
      <c r="A5216">
        <v>1.056627</v>
      </c>
      <c r="B5216">
        <v>3.3706800000000001</v>
      </c>
      <c r="C5216">
        <f>LOG10(1.056627)</f>
        <v>2.3921704023827449E-2</v>
      </c>
      <c r="D5216">
        <f>LOG10(3.37068)</f>
        <v>0.52771752415228246</v>
      </c>
    </row>
    <row r="5217" spans="1:4">
      <c r="A5217">
        <v>1.037666</v>
      </c>
      <c r="B5217">
        <v>3.390123</v>
      </c>
      <c r="C5217">
        <f>LOG10(1.037666)</f>
        <v>1.6057586942858346E-2</v>
      </c>
      <c r="D5217">
        <f>LOG10(3.390123)</f>
        <v>0.53021545550461779</v>
      </c>
    </row>
    <row r="5218" spans="1:4">
      <c r="A5218">
        <v>1.053617</v>
      </c>
      <c r="B5218">
        <v>3.3979140000000001</v>
      </c>
      <c r="C5218">
        <f>LOG10(1.053617)</f>
        <v>2.2682769306261591E-2</v>
      </c>
      <c r="D5218">
        <f>LOG10(3.397914)</f>
        <v>0.53121238283258865</v>
      </c>
    </row>
    <row r="5219" spans="1:4">
      <c r="A5219">
        <v>1.0226869999999999</v>
      </c>
      <c r="B5219">
        <v>3.326813</v>
      </c>
      <c r="C5219">
        <f>LOG10(1.022687)</f>
        <v>9.7427354008383163E-3</v>
      </c>
      <c r="D5219">
        <f>LOG10(3.326813)</f>
        <v>0.52202838988277966</v>
      </c>
    </row>
    <row r="5220" spans="1:4">
      <c r="A5220">
        <v>1.023817</v>
      </c>
      <c r="B5220">
        <v>3.446901</v>
      </c>
      <c r="C5220">
        <f>LOG10(1.023817)</f>
        <v>1.0222336529812021E-2</v>
      </c>
      <c r="D5220">
        <f>LOG10(3.446901)</f>
        <v>0.53742881001916198</v>
      </c>
    </row>
    <row r="5221" spans="1:4">
      <c r="A5221">
        <v>1.0195019999999999</v>
      </c>
      <c r="B5221">
        <v>3.4371510000000001</v>
      </c>
      <c r="C5221">
        <f>LOG10(1.019502)</f>
        <v>8.3880820887657619E-3</v>
      </c>
      <c r="D5221">
        <f>LOG10(3.437151)</f>
        <v>0.53619861186555184</v>
      </c>
    </row>
    <row r="5222" spans="1:4">
      <c r="A5222">
        <v>1.027409</v>
      </c>
      <c r="B5222">
        <v>3.4326400000000001</v>
      </c>
      <c r="C5222">
        <f>LOG10(1.027409)</f>
        <v>1.1743365781171614E-2</v>
      </c>
      <c r="D5222">
        <f>LOG10(3.43264)</f>
        <v>0.53562825894231425</v>
      </c>
    </row>
    <row r="5223" spans="1:4">
      <c r="A5223">
        <v>1.0337080000000001</v>
      </c>
      <c r="B5223">
        <v>3.4861460000000002</v>
      </c>
      <c r="C5223">
        <f>LOG10(1.033708)</f>
        <v>1.4397877347745155E-2</v>
      </c>
      <c r="D5223">
        <f>LOG10(3.486146)</f>
        <v>0.54234557143335338</v>
      </c>
    </row>
    <row r="5224" spans="1:4">
      <c r="A5224">
        <v>1.0293589999999999</v>
      </c>
      <c r="B5224">
        <v>3.3530769999999999</v>
      </c>
      <c r="C5224">
        <f>LOG10(1.029359)</f>
        <v>1.2566866043190201E-2</v>
      </c>
      <c r="D5224">
        <f>LOG10(3.353077)</f>
        <v>0.52544352667401484</v>
      </c>
    </row>
    <row r="5225" spans="1:4">
      <c r="A5225">
        <v>1.0341899999999999</v>
      </c>
      <c r="B5225">
        <v>3.447349</v>
      </c>
      <c r="C5225">
        <f>LOG10(1.03419)</f>
        <v>1.4600334087940507E-2</v>
      </c>
      <c r="D5225">
        <f>LOG10(3.447349)</f>
        <v>0.53748525239597356</v>
      </c>
    </row>
    <row r="5226" spans="1:4">
      <c r="A5226">
        <v>1.021684</v>
      </c>
      <c r="B5226">
        <v>3.3394149999999998</v>
      </c>
      <c r="C5226">
        <f>LOG10(1.021684)</f>
        <v>9.3165922005103447E-3</v>
      </c>
      <c r="D5226">
        <f>LOG10(3.339415)</f>
        <v>0.52367039360079282</v>
      </c>
    </row>
    <row r="5227" spans="1:4">
      <c r="A5227">
        <v>1.019463</v>
      </c>
      <c r="B5227">
        <v>3.3802650000000001</v>
      </c>
      <c r="C5227">
        <f>LOG10(1.019463)</f>
        <v>8.37146828245104E-3</v>
      </c>
      <c r="D5227">
        <f>LOG10(3.380265)</f>
        <v>0.52895074865823255</v>
      </c>
    </row>
    <row r="5228" spans="1:4">
      <c r="A5228">
        <v>1.016904</v>
      </c>
      <c r="B5228">
        <v>3.361192</v>
      </c>
      <c r="C5228">
        <f>LOG10(1.016904)</f>
        <v>7.2799556384148941E-3</v>
      </c>
      <c r="D5228">
        <f>LOG10(3.361192)</f>
        <v>0.52649332120464842</v>
      </c>
    </row>
    <row r="5229" spans="1:4">
      <c r="A5229">
        <v>1.025352</v>
      </c>
      <c r="B5229">
        <v>3.358708</v>
      </c>
      <c r="C5229">
        <f>LOG10(1.025352)</f>
        <v>1.0872982869290953E-2</v>
      </c>
      <c r="D5229">
        <f>LOG10(3.358708)</f>
        <v>0.52617224870589607</v>
      </c>
    </row>
    <row r="5230" spans="1:4">
      <c r="A5230">
        <v>1.025336</v>
      </c>
      <c r="B5230">
        <v>3.3337889999999999</v>
      </c>
      <c r="C5230">
        <f>LOG10(1.025336)</f>
        <v>1.0866205912766509E-2</v>
      </c>
      <c r="D5230">
        <f>LOG10(3.333789)</f>
        <v>0.52293810927857687</v>
      </c>
    </row>
    <row r="5231" spans="1:4">
      <c r="A5231">
        <v>1.0330809999999999</v>
      </c>
      <c r="B5231">
        <v>3.3245640000000001</v>
      </c>
      <c r="C5231">
        <f>LOG10(1.033081)</f>
        <v>1.4134374253324776E-2</v>
      </c>
      <c r="D5231">
        <f>LOG10(3.324564)</f>
        <v>0.52173469781660353</v>
      </c>
    </row>
    <row r="5232" spans="1:4">
      <c r="A5232">
        <v>1.02962</v>
      </c>
      <c r="B5232">
        <v>3.4039999999999999</v>
      </c>
      <c r="C5232">
        <f>LOG10(1.02962)</f>
        <v>1.2676969993142004E-2</v>
      </c>
      <c r="D5232">
        <f>LOG10(3.404)</f>
        <v>0.53198955141255022</v>
      </c>
    </row>
    <row r="5233" spans="1:4">
      <c r="A5233">
        <v>1.024934</v>
      </c>
      <c r="B5233">
        <v>3.2462179999999998</v>
      </c>
      <c r="C5233">
        <f>LOG10(1.024934)</f>
        <v>1.0695900163804287E-2</v>
      </c>
      <c r="D5233">
        <f>LOG10(3.246218)</f>
        <v>0.51137768154627905</v>
      </c>
    </row>
    <row r="5234" spans="1:4">
      <c r="A5234">
        <v>1.0219510000000001</v>
      </c>
      <c r="B5234">
        <v>3.241473</v>
      </c>
      <c r="C5234">
        <f>LOG10(1.021951)</f>
        <v>9.4300729613389089E-3</v>
      </c>
      <c r="D5234">
        <f>LOG10(3.241473)</f>
        <v>0.51074240847791774</v>
      </c>
    </row>
    <row r="5235" spans="1:4">
      <c r="A5235">
        <v>1.0276449999999999</v>
      </c>
      <c r="B5235">
        <v>3.300805</v>
      </c>
      <c r="C5235">
        <f>LOG10(1.027645)</f>
        <v>1.1843113523254971E-2</v>
      </c>
      <c r="D5235">
        <f>LOG10(3.300805)</f>
        <v>0.51861986849103858</v>
      </c>
    </row>
    <row r="5236" spans="1:4">
      <c r="A5236">
        <v>1.0233380000000001</v>
      </c>
      <c r="B5236">
        <v>3.194035</v>
      </c>
      <c r="C5236">
        <f>LOG10(1.023338)</f>
        <v>1.0019101249016987E-2</v>
      </c>
      <c r="D5236">
        <f>LOG10(3.194035)</f>
        <v>0.50433967079544606</v>
      </c>
    </row>
    <row r="5237" spans="1:4">
      <c r="A5237">
        <v>1.0285949999999999</v>
      </c>
      <c r="B5237">
        <v>3.21435</v>
      </c>
      <c r="C5237">
        <f>LOG10(1.028595)</f>
        <v>1.2244408884850289E-2</v>
      </c>
      <c r="D5237">
        <f>LOG10(3.21435)</f>
        <v>0.50709316389988601</v>
      </c>
    </row>
    <row r="5238" spans="1:4">
      <c r="A5238">
        <v>1.0283990000000001</v>
      </c>
      <c r="B5238">
        <v>3.2340230000000001</v>
      </c>
      <c r="C5238">
        <f>LOG10(1.028399)</f>
        <v>1.2161645669487882E-2</v>
      </c>
      <c r="D5238">
        <f>LOG10(3.234023)</f>
        <v>0.50974310423382208</v>
      </c>
    </row>
    <row r="5239" spans="1:4">
      <c r="A5239">
        <v>1.0187740000000001</v>
      </c>
      <c r="B5239">
        <v>3.2892109999999999</v>
      </c>
      <c r="C5239">
        <f>LOG10(1.018774)</f>
        <v>8.0778528594861333E-3</v>
      </c>
      <c r="D5239">
        <f>LOG10(3.289211)</f>
        <v>0.51709173398628183</v>
      </c>
    </row>
    <row r="5240" spans="1:4">
      <c r="A5240">
        <v>1.0266</v>
      </c>
      <c r="B5240">
        <v>3.3684319999999999</v>
      </c>
      <c r="C5240">
        <f>LOG10(1.0266)</f>
        <v>1.1401259924743891E-2</v>
      </c>
      <c r="D5240">
        <f>LOG10(3.368432)</f>
        <v>0.52742778448583072</v>
      </c>
    </row>
    <row r="5241" spans="1:4">
      <c r="A5241">
        <v>1.029309</v>
      </c>
      <c r="B5241">
        <v>3.4041299999999999</v>
      </c>
      <c r="C5241">
        <f>LOG10(1.029309)</f>
        <v>1.2545770146135036E-2</v>
      </c>
      <c r="D5241">
        <f>LOG10(3.40413)</f>
        <v>0.53200613696031573</v>
      </c>
    </row>
    <row r="5242" spans="1:4">
      <c r="A5242">
        <v>1.03712</v>
      </c>
      <c r="B5242">
        <v>3.4527709999999998</v>
      </c>
      <c r="C5242">
        <f>LOG10(1.03712)</f>
        <v>1.5829009352115959E-2</v>
      </c>
      <c r="D5242">
        <f>LOG10(3.452771)</f>
        <v>0.53816777535659732</v>
      </c>
    </row>
    <row r="5243" spans="1:4">
      <c r="A5243">
        <v>1.034378</v>
      </c>
      <c r="B5243">
        <v>3.4344260000000002</v>
      </c>
      <c r="C5243">
        <f>LOG10(1.034378)</f>
        <v>1.4679275039190497E-2</v>
      </c>
      <c r="D5243">
        <f>LOG10(3.434426)</f>
        <v>0.53585416326948054</v>
      </c>
    </row>
    <row r="5244" spans="1:4">
      <c r="A5244">
        <v>1.0422009999999999</v>
      </c>
      <c r="B5244">
        <v>3.3996059999999999</v>
      </c>
      <c r="C5244">
        <f>LOG10(1.042201)</f>
        <v>1.7951485539889765E-2</v>
      </c>
      <c r="D5244">
        <f>LOG10(3.399606)</f>
        <v>0.53142858705958806</v>
      </c>
    </row>
    <row r="5245" spans="1:4">
      <c r="A5245">
        <v>1.0420069999999999</v>
      </c>
      <c r="B5245">
        <v>3.3479489999999998</v>
      </c>
      <c r="C5245">
        <f>LOG10(1.042007)</f>
        <v>1.7870636479016214E-2</v>
      </c>
      <c r="D5245">
        <f>LOG10(3.347949)</f>
        <v>0.52477883367388767</v>
      </c>
    </row>
    <row r="5246" spans="1:4">
      <c r="A5246">
        <v>1.0247889999999999</v>
      </c>
      <c r="B5246">
        <v>3.3689809999999998</v>
      </c>
      <c r="C5246">
        <f>LOG10(1.024789)</f>
        <v>1.0634455080755462E-2</v>
      </c>
      <c r="D5246">
        <f>LOG10(3.368981)</f>
        <v>0.52749856170287013</v>
      </c>
    </row>
    <row r="5247" spans="1:4">
      <c r="A5247">
        <v>1.0246960000000001</v>
      </c>
      <c r="B5247">
        <v>3.3485019999999999</v>
      </c>
      <c r="C5247">
        <f>LOG10(1.024696)</f>
        <v>1.0595040899295555E-2</v>
      </c>
      <c r="D5247">
        <f>LOG10(3.348502)</f>
        <v>0.52485056266855623</v>
      </c>
    </row>
    <row r="5248" spans="1:4">
      <c r="A5248">
        <v>1.0263519999999999</v>
      </c>
      <c r="B5248">
        <v>3.486081</v>
      </c>
      <c r="C5248">
        <f>LOG10(1.026352)</f>
        <v>1.1296332939567491E-2</v>
      </c>
      <c r="D5248">
        <f>LOG10(3.486081)</f>
        <v>0.54233747383661002</v>
      </c>
    </row>
    <row r="5249" spans="1:4">
      <c r="A5249">
        <v>1.021004</v>
      </c>
      <c r="B5249">
        <v>3.5550799999999998</v>
      </c>
      <c r="C5249">
        <f>LOG10(1.021004)</f>
        <v>9.027443531106856E-3</v>
      </c>
      <c r="D5249">
        <f>LOG10(3.55508)</f>
        <v>0.55084937810871959</v>
      </c>
    </row>
    <row r="5250" spans="1:4">
      <c r="A5250">
        <v>1.02111</v>
      </c>
      <c r="B5250">
        <v>3.4043019999999999</v>
      </c>
      <c r="C5250">
        <f>LOG10(1.02111)</f>
        <v>9.0725293736436223E-3</v>
      </c>
      <c r="D5250">
        <f>LOG10(3.404302)</f>
        <v>0.53202807994246004</v>
      </c>
    </row>
    <row r="5251" spans="1:4">
      <c r="A5251">
        <v>1.0262070000000001</v>
      </c>
      <c r="B5251">
        <v>3.5198700000000001</v>
      </c>
      <c r="C5251">
        <f>LOG10(1.026207)</f>
        <v>1.1234972754568513E-2</v>
      </c>
      <c r="D5251">
        <f>LOG10(3.51987)</f>
        <v>0.54652662389710072</v>
      </c>
    </row>
    <row r="5252" spans="1:4">
      <c r="A5252">
        <v>1.019485</v>
      </c>
      <c r="B5252">
        <v>3.5475840000000001</v>
      </c>
      <c r="C5252">
        <f>LOG10(1.019485)</f>
        <v>8.3808402513312931E-3</v>
      </c>
      <c r="D5252">
        <f>LOG10(3.547584)</f>
        <v>0.54993268751346636</v>
      </c>
    </row>
    <row r="5253" spans="1:4">
      <c r="A5253">
        <v>1.027468</v>
      </c>
      <c r="B5253">
        <v>3.510618</v>
      </c>
      <c r="C5253">
        <f>LOG10(1.027468)</f>
        <v>1.1768304864571104E-2</v>
      </c>
      <c r="D5253">
        <f>LOG10(3.510618)</f>
        <v>0.54538357525919801</v>
      </c>
    </row>
    <row r="5254" spans="1:4">
      <c r="A5254">
        <v>1.036467</v>
      </c>
      <c r="B5254">
        <v>3.5254289999999999</v>
      </c>
      <c r="C5254">
        <f>LOG10(1.036467)</f>
        <v>1.5555479178501305E-2</v>
      </c>
      <c r="D5254">
        <f>LOG10(3.525429)</f>
        <v>0.54721197267390054</v>
      </c>
    </row>
    <row r="5255" spans="1:4">
      <c r="A5255">
        <v>1.023585</v>
      </c>
      <c r="B5255">
        <v>3.3967909999999999</v>
      </c>
      <c r="C5255">
        <f>LOG10(1.023585)</f>
        <v>1.0123912946917404E-2</v>
      </c>
      <c r="D5255">
        <f>LOG10(3.396791)</f>
        <v>0.53106882613436024</v>
      </c>
    </row>
    <row r="5256" spans="1:4">
      <c r="A5256">
        <v>1.030821</v>
      </c>
      <c r="B5256">
        <v>3.2124999999999999</v>
      </c>
      <c r="C5256">
        <f>LOG10(1.030821)</f>
        <v>1.3183257464451753E-2</v>
      </c>
      <c r="D5256">
        <f>LOG10(3.2125)</f>
        <v>0.50684313633935096</v>
      </c>
    </row>
    <row r="5257" spans="1:4">
      <c r="A5257">
        <v>1.0142389999999999</v>
      </c>
      <c r="B5257">
        <v>3.0883850000000002</v>
      </c>
      <c r="C5257">
        <f>LOG10(1.014239)</f>
        <v>6.1403062307322145E-3</v>
      </c>
      <c r="D5257">
        <f>LOG10(3.088385)</f>
        <v>0.48973143445944373</v>
      </c>
    </row>
    <row r="5258" spans="1:4">
      <c r="A5258">
        <v>1.017687</v>
      </c>
      <c r="B5258">
        <v>2.9424139999999999</v>
      </c>
      <c r="C5258">
        <f>LOG10(1.017687)</f>
        <v>7.6142268468474984E-3</v>
      </c>
      <c r="D5258">
        <f>LOG10(2.942414)</f>
        <v>0.46870377827120518</v>
      </c>
    </row>
    <row r="5259" spans="1:4">
      <c r="A5259">
        <v>1.019884</v>
      </c>
      <c r="B5259">
        <v>2.9147319999999999</v>
      </c>
      <c r="C5259">
        <f>LOG10(1.019884)</f>
        <v>8.5507786003896757E-3</v>
      </c>
      <c r="D5259">
        <f>LOG10(2.914732)</f>
        <v>0.4645986289846154</v>
      </c>
    </row>
    <row r="5260" spans="1:4">
      <c r="A5260">
        <v>1.012783</v>
      </c>
      <c r="B5260">
        <v>3.000972</v>
      </c>
      <c r="C5260">
        <f>LOG10(1.012783)</f>
        <v>5.5164029140426334E-3</v>
      </c>
      <c r="D5260">
        <f>LOG10(3.000972)</f>
        <v>0.47726194334147287</v>
      </c>
    </row>
    <row r="5261" spans="1:4">
      <c r="A5261">
        <v>1.022751</v>
      </c>
      <c r="B5261">
        <v>2.9214500000000001</v>
      </c>
      <c r="C5261">
        <f>LOG10(1.022751)</f>
        <v>9.7699128042608666E-3</v>
      </c>
      <c r="D5261">
        <f>LOG10(2.92145)</f>
        <v>0.46559845785151804</v>
      </c>
    </row>
    <row r="5262" spans="1:4">
      <c r="A5262">
        <v>1.0259499999999999</v>
      </c>
      <c r="B5262">
        <v>3.0247199999999999</v>
      </c>
      <c r="C5262">
        <f>LOG10(1.02595)</f>
        <v>1.1126195811641914E-2</v>
      </c>
      <c r="D5262">
        <f>LOG10(3.02472)</f>
        <v>0.48068517796926041</v>
      </c>
    </row>
    <row r="5263" spans="1:4">
      <c r="A5263">
        <v>1.009436</v>
      </c>
      <c r="B5263">
        <v>2.7690000000000001</v>
      </c>
      <c r="C5263">
        <f>LOG10(1.009436)</f>
        <v>4.0787891261721745E-3</v>
      </c>
      <c r="D5263">
        <f>LOG10(2.769)</f>
        <v>0.44232295574557451</v>
      </c>
    </row>
    <row r="5264" spans="1:4">
      <c r="A5264">
        <v>1.031218</v>
      </c>
      <c r="B5264">
        <v>2.88836</v>
      </c>
      <c r="C5264">
        <f>LOG10(1.031218)</f>
        <v>1.3350485059512645E-2</v>
      </c>
      <c r="D5264">
        <f>LOG10(2.88836)</f>
        <v>0.46065132195498976</v>
      </c>
    </row>
    <row r="5265" spans="1:4">
      <c r="A5265">
        <v>1.024419</v>
      </c>
      <c r="B5265">
        <v>2.8515820000000001</v>
      </c>
      <c r="C5265">
        <f>LOG10(1.024419)</f>
        <v>1.0477624773582736E-2</v>
      </c>
      <c r="D5265">
        <f>LOG10(2.851582)</f>
        <v>0.45508586465879941</v>
      </c>
    </row>
    <row r="5266" spans="1:4">
      <c r="A5266">
        <v>1.0145109999999999</v>
      </c>
      <c r="B5266">
        <v>3.089261</v>
      </c>
      <c r="C5266">
        <f>LOG10(1.014511)</f>
        <v>6.2567603032256313E-3</v>
      </c>
      <c r="D5266">
        <f>LOG10(3.089261)</f>
        <v>0.48985460175284229</v>
      </c>
    </row>
    <row r="5267" spans="1:4">
      <c r="A5267">
        <v>1.009636</v>
      </c>
      <c r="B5267">
        <v>3.046109</v>
      </c>
      <c r="C5267">
        <f>LOG10(1.009636)</f>
        <v>4.1648275603287837E-3</v>
      </c>
      <c r="D5267">
        <f>LOG10(3.046109)</f>
        <v>0.48374543979173729</v>
      </c>
    </row>
    <row r="5268" spans="1:4">
      <c r="A5268">
        <v>1.020985</v>
      </c>
      <c r="B5268">
        <v>2.924639</v>
      </c>
      <c r="C5268">
        <f>LOG10(1.020985)</f>
        <v>9.0193616118052367E-3</v>
      </c>
      <c r="D5268">
        <f>LOG10(2.924639)</f>
        <v>0.46607226700500876</v>
      </c>
    </row>
    <row r="5269" spans="1:4">
      <c r="A5269">
        <v>1.0315570000000001</v>
      </c>
      <c r="B5269">
        <v>2.9434480000000001</v>
      </c>
      <c r="C5269">
        <f>LOG10(1.031557)</f>
        <v>1.3493230468673291E-2</v>
      </c>
      <c r="D5269">
        <f>LOG10(2.943448)</f>
        <v>0.46885636781506729</v>
      </c>
    </row>
    <row r="5270" spans="1:4">
      <c r="A5270">
        <v>1.0095590000000001</v>
      </c>
      <c r="B5270">
        <v>2.9938639999999999</v>
      </c>
      <c r="C5270">
        <f>LOG10(1.009559)</f>
        <v>4.131704781079916E-3</v>
      </c>
      <c r="D5270">
        <f>LOG10(2.993864)</f>
        <v>0.47623206808751195</v>
      </c>
    </row>
    <row r="5271" spans="1:4">
      <c r="A5271">
        <v>1.011277</v>
      </c>
      <c r="B5271">
        <v>2.7735989999999999</v>
      </c>
      <c r="C5271">
        <f>LOG10(1.011277)</f>
        <v>4.8701299671518525E-3</v>
      </c>
      <c r="D5271">
        <f>LOG10(2.773599)</f>
        <v>0.44304367206679995</v>
      </c>
    </row>
    <row r="5272" spans="1:4">
      <c r="A5272">
        <v>1.0116890000000001</v>
      </c>
      <c r="B5272">
        <v>2.8590680000000002</v>
      </c>
      <c r="C5272">
        <f>LOG10(1.011689)</f>
        <v>5.0470279763305025E-3</v>
      </c>
      <c r="D5272">
        <f>LOG10(2.859068)</f>
        <v>0.45622448472964755</v>
      </c>
    </row>
    <row r="5273" spans="1:4">
      <c r="A5273">
        <v>1.0379080000000001</v>
      </c>
      <c r="B5273">
        <v>3.185413</v>
      </c>
      <c r="C5273">
        <f>LOG10(1.037908)</f>
        <v>1.6158859424684452E-2</v>
      </c>
      <c r="D5273">
        <f>LOG10(3.185413)</f>
        <v>0.50316574812912784</v>
      </c>
    </row>
    <row r="5274" spans="1:4">
      <c r="A5274">
        <v>1.0123500000000001</v>
      </c>
      <c r="B5274">
        <v>3.1261519999999998</v>
      </c>
      <c r="C5274">
        <f>LOG10(1.01235)</f>
        <v>5.3306871970702722E-3</v>
      </c>
      <c r="D5274">
        <f>LOG10(3.126152)</f>
        <v>0.49501009049583106</v>
      </c>
    </row>
    <row r="5275" spans="1:4">
      <c r="A5275">
        <v>1.015924</v>
      </c>
      <c r="B5275">
        <v>3.2206359999999998</v>
      </c>
      <c r="C5275">
        <f>LOG10(1.015924)</f>
        <v>6.8612201376870583E-3</v>
      </c>
      <c r="D5275">
        <f>LOG10(3.220636)</f>
        <v>0.50794164312939372</v>
      </c>
    </row>
    <row r="5276" spans="1:4">
      <c r="A5276">
        <v>1.0228919999999999</v>
      </c>
      <c r="B5276">
        <v>3.0831550000000001</v>
      </c>
      <c r="C5276">
        <f>LOG10(1.022892)</f>
        <v>9.8297820209768908E-3</v>
      </c>
      <c r="D5276">
        <f>LOG10(3.083155)</f>
        <v>0.48899535863911969</v>
      </c>
    </row>
    <row r="5277" spans="1:4">
      <c r="A5277">
        <v>1.0246409999999999</v>
      </c>
      <c r="B5277">
        <v>3.1684679999999998</v>
      </c>
      <c r="C5277">
        <f>LOG10(1.024641)</f>
        <v>1.0571729753778273E-2</v>
      </c>
      <c r="D5277">
        <f>LOG10(3.168468)</f>
        <v>0.50084932531841497</v>
      </c>
    </row>
    <row r="5278" spans="1:4">
      <c r="A5278">
        <v>1.0088950000000001</v>
      </c>
      <c r="B5278">
        <v>3.313485</v>
      </c>
      <c r="C5278">
        <f>LOG10(1.008895)</f>
        <v>3.8459697121746407E-3</v>
      </c>
      <c r="D5278">
        <f>LOG10(3.313485)</f>
        <v>0.52028500889966067</v>
      </c>
    </row>
    <row r="5279" spans="1:4">
      <c r="A5279">
        <v>1.014807</v>
      </c>
      <c r="B5279">
        <v>3.3623509999999999</v>
      </c>
      <c r="C5279">
        <f>LOG10(1.014807)</f>
        <v>6.3834542640095644E-3</v>
      </c>
      <c r="D5279">
        <f>LOG10(3.362351)</f>
        <v>0.52664304801074191</v>
      </c>
    </row>
    <row r="5280" spans="1:4">
      <c r="A5280">
        <v>1.015652</v>
      </c>
      <c r="B5280">
        <v>3.342689</v>
      </c>
      <c r="C5280">
        <f>LOG10(1.015652)</f>
        <v>6.7449280572691546E-3</v>
      </c>
      <c r="D5280">
        <f>LOG10(3.342689)</f>
        <v>0.52409597220523629</v>
      </c>
    </row>
    <row r="5281" spans="1:4">
      <c r="A5281">
        <v>1.022678</v>
      </c>
      <c r="B5281">
        <v>3.4745870000000001</v>
      </c>
      <c r="C5281">
        <f>LOG10(1.022678)</f>
        <v>9.7389134420807141E-3</v>
      </c>
      <c r="D5281">
        <f>LOG10(3.474587)</f>
        <v>0.54090319042815949</v>
      </c>
    </row>
    <row r="5282" spans="1:4">
      <c r="A5282">
        <v>1.011247</v>
      </c>
      <c r="B5282">
        <v>3.2448890000000001</v>
      </c>
      <c r="C5282">
        <f>LOG10(1.011247)</f>
        <v>4.8572462293489469E-3</v>
      </c>
      <c r="D5282">
        <f>LOG10(3.244889)</f>
        <v>0.51119984520048656</v>
      </c>
    </row>
    <row r="5283" spans="1:4">
      <c r="A5283">
        <v>1.0096560000000001</v>
      </c>
      <c r="B5283">
        <v>3.4211070000000001</v>
      </c>
      <c r="C5283">
        <f>LOG10(1.009656)</f>
        <v>4.1734304663358455E-3</v>
      </c>
      <c r="D5283">
        <f>LOG10(3.421107)</f>
        <v>0.53416665757671877</v>
      </c>
    </row>
    <row r="5284" spans="1:4">
      <c r="A5284">
        <v>1.026132</v>
      </c>
      <c r="B5284">
        <v>3.2429700000000001</v>
      </c>
      <c r="C5284">
        <f>LOG10(1.026132)</f>
        <v>1.1203231325733157E-2</v>
      </c>
      <c r="D5284">
        <f>LOG10(3.24297)</f>
        <v>0.51094293112911826</v>
      </c>
    </row>
    <row r="5285" spans="1:4">
      <c r="A5285">
        <v>1.023417</v>
      </c>
      <c r="B5285">
        <v>3.2641830000000001</v>
      </c>
      <c r="C5285">
        <f>LOG10(1.023417)</f>
        <v>1.0052626770232147E-2</v>
      </c>
      <c r="D5285">
        <f>LOG10(3.264183)</f>
        <v>0.51377449863032754</v>
      </c>
    </row>
    <row r="5286" spans="1:4">
      <c r="A5286">
        <v>1.0182260000000001</v>
      </c>
      <c r="B5286">
        <v>3.401122</v>
      </c>
      <c r="C5286">
        <f>LOG10(1.018226)</f>
        <v>7.8441823815043523E-3</v>
      </c>
      <c r="D5286">
        <f>LOG10(3.401122)</f>
        <v>0.53162221057914982</v>
      </c>
    </row>
    <row r="5287" spans="1:4">
      <c r="A5287">
        <v>1.0201389999999999</v>
      </c>
      <c r="B5287">
        <v>3.3868520000000002</v>
      </c>
      <c r="C5287">
        <f>LOG10(1.020139)</f>
        <v>8.6593509973303638E-3</v>
      </c>
      <c r="D5287">
        <f>LOG10(3.386852)</f>
        <v>0.52979621908700669</v>
      </c>
    </row>
    <row r="5288" spans="1:4">
      <c r="A5288">
        <v>1.018786</v>
      </c>
      <c r="B5288">
        <v>3.3340550000000002</v>
      </c>
      <c r="C5288">
        <f>LOG10(1.018786)</f>
        <v>8.0829683248298343E-3</v>
      </c>
      <c r="D5288">
        <f>LOG10(3.334055)</f>
        <v>0.52297275985895875</v>
      </c>
    </row>
    <row r="5289" spans="1:4">
      <c r="A5289">
        <v>1.0155400000000001</v>
      </c>
      <c r="B5289">
        <v>3.434409</v>
      </c>
      <c r="C5289">
        <f>LOG10(1.01554)</f>
        <v>6.697034030488414E-3</v>
      </c>
      <c r="D5289">
        <f>LOG10(3.434409)</f>
        <v>0.53585201355815615</v>
      </c>
    </row>
    <row r="5290" spans="1:4">
      <c r="A5290">
        <v>1.023272</v>
      </c>
      <c r="B5290">
        <v>3.5886200000000001</v>
      </c>
      <c r="C5290">
        <f>LOG10(1.023272)</f>
        <v>9.9910906013453687E-3</v>
      </c>
      <c r="D5290">
        <f>LOG10(3.58862)</f>
        <v>0.55492747320076496</v>
      </c>
    </row>
    <row r="5291" spans="1:4">
      <c r="A5291">
        <v>1.014934</v>
      </c>
      <c r="B5291">
        <v>3.4834839999999998</v>
      </c>
      <c r="C5291">
        <f>LOG10(1.014934)</f>
        <v>6.4378014928172644E-3</v>
      </c>
      <c r="D5291">
        <f>LOG10(3.483484)</f>
        <v>0.54201382011598254</v>
      </c>
    </row>
    <row r="5292" spans="1:4">
      <c r="A5292">
        <v>1.0219499999999999</v>
      </c>
      <c r="B5292">
        <v>3.4993889999999999</v>
      </c>
      <c r="C5292">
        <f>LOG10(1.02195)</f>
        <v>9.4296479950788364E-3</v>
      </c>
      <c r="D5292">
        <f>LOG10(3.499389)</f>
        <v>0.54399222232377675</v>
      </c>
    </row>
    <row r="5293" spans="1:4">
      <c r="A5293">
        <v>1.0219579999999999</v>
      </c>
      <c r="B5293">
        <v>3.7281019999999998</v>
      </c>
      <c r="C5293">
        <f>LOG10(1.021958)</f>
        <v>9.4330477135155261E-3</v>
      </c>
      <c r="D5293">
        <f>LOG10(3.728102)</f>
        <v>0.57148778604008665</v>
      </c>
    </row>
    <row r="5294" spans="1:4">
      <c r="A5294">
        <v>1.0176179999999999</v>
      </c>
      <c r="B5294">
        <v>3.3242219999999998</v>
      </c>
      <c r="C5294">
        <f>LOG10(1.017618)</f>
        <v>7.5847803321847365E-3</v>
      </c>
      <c r="D5294">
        <f>LOG10(3.324222)</f>
        <v>0.52169001937066106</v>
      </c>
    </row>
    <row r="5295" spans="1:4">
      <c r="A5295">
        <v>1.0189710000000001</v>
      </c>
      <c r="B5295">
        <v>3.3983500000000002</v>
      </c>
      <c r="C5295">
        <f>LOG10(1.018971)</f>
        <v>8.161824124979589E-3</v>
      </c>
      <c r="D5295">
        <f>LOG10(3.39835)</f>
        <v>0.53126810532788005</v>
      </c>
    </row>
    <row r="5296" spans="1:4">
      <c r="A5296">
        <v>1.031847</v>
      </c>
      <c r="B5296">
        <v>3.5847419999999999</v>
      </c>
      <c r="C5296">
        <f>LOG10(1.031847)</f>
        <v>1.3615305835960703E-2</v>
      </c>
      <c r="D5296">
        <f>LOG10(3.584742)</f>
        <v>0.55445790421347685</v>
      </c>
    </row>
    <row r="5297" spans="1:4">
      <c r="A5297">
        <v>1.0237240000000001</v>
      </c>
      <c r="B5297">
        <v>3.3829410000000002</v>
      </c>
      <c r="C5297">
        <f>LOG10(1.023724)</f>
        <v>1.0182884927285153E-2</v>
      </c>
      <c r="D5297">
        <f>LOG10(3.382941)</f>
        <v>0.52929442356454803</v>
      </c>
    </row>
    <row r="5298" spans="1:4">
      <c r="A5298">
        <v>1.023579</v>
      </c>
      <c r="B5298">
        <v>3.3057180000000002</v>
      </c>
      <c r="C5298">
        <f>LOG10(1.023579)</f>
        <v>1.0121367213511185E-2</v>
      </c>
      <c r="D5298">
        <f>LOG10(3.305718)</f>
        <v>0.51926580257252775</v>
      </c>
    </row>
    <row r="5299" spans="1:4">
      <c r="A5299">
        <v>1.0201519999999999</v>
      </c>
      <c r="B5299">
        <v>3.3276059999999998</v>
      </c>
      <c r="C5299">
        <f>LOG10(1.020152)</f>
        <v>8.6648853336234091E-3</v>
      </c>
      <c r="D5299">
        <f>LOG10(3.327606)</f>
        <v>0.52213189870174026</v>
      </c>
    </row>
    <row r="5300" spans="1:4">
      <c r="A5300">
        <v>1.0214730000000001</v>
      </c>
      <c r="B5300">
        <v>3.2485870000000001</v>
      </c>
      <c r="C5300">
        <f>LOG10(1.021473)</f>
        <v>9.226891667455531E-3</v>
      </c>
      <c r="D5300">
        <f>LOG10(3.248587)</f>
        <v>0.51169450204304734</v>
      </c>
    </row>
    <row r="5301" spans="1:4">
      <c r="A5301">
        <v>1.0240910000000001</v>
      </c>
      <c r="B5301">
        <v>3.3433540000000002</v>
      </c>
      <c r="C5301">
        <f>LOG10(1.024091)</f>
        <v>1.0338549454173462E-2</v>
      </c>
      <c r="D5301">
        <f>LOG10(3.343354)</f>
        <v>0.52418236286453002</v>
      </c>
    </row>
    <row r="5302" spans="1:4">
      <c r="A5302">
        <v>1.0093099999999999</v>
      </c>
      <c r="B5302">
        <v>3.6292909999999998</v>
      </c>
      <c r="C5302">
        <f>LOG10(1.00931)</f>
        <v>4.0245761595177291E-3</v>
      </c>
      <c r="D5302">
        <f>LOG10(3.629291)</f>
        <v>0.5598217917407815</v>
      </c>
    </row>
    <row r="5303" spans="1:4">
      <c r="A5303">
        <v>1.012918</v>
      </c>
      <c r="B5303">
        <v>3.5742989999999999</v>
      </c>
      <c r="C5303">
        <f>LOG10(1.012918)</f>
        <v>5.574288806525024E-3</v>
      </c>
      <c r="D5303">
        <f>LOG10(3.574299)</f>
        <v>0.55319087962418956</v>
      </c>
    </row>
    <row r="5304" spans="1:4">
      <c r="A5304">
        <v>1.023663</v>
      </c>
      <c r="B5304">
        <v>4.3257950000000003</v>
      </c>
      <c r="C5304">
        <f>LOG10(1.023663)</f>
        <v>1.0157006123322857E-2</v>
      </c>
      <c r="D5304">
        <f>LOG10(4.325795)</f>
        <v>0.63606593431751157</v>
      </c>
    </row>
    <row r="5305" spans="1:4">
      <c r="A5305">
        <v>1.022546</v>
      </c>
      <c r="B5305">
        <v>3.9940440000000001</v>
      </c>
      <c r="C5305">
        <f>LOG10(1.022546)</f>
        <v>9.6828541823704446E-3</v>
      </c>
      <c r="D5305">
        <f>LOG10(3.994044)</f>
        <v>0.60141284492425495</v>
      </c>
    </row>
    <row r="5306" spans="1:4">
      <c r="A5306">
        <v>1.0159689999999999</v>
      </c>
      <c r="B5306">
        <v>3.7033640000000001</v>
      </c>
      <c r="C5306">
        <f>LOG10(1.015969)</f>
        <v>6.8804566345781609E-3</v>
      </c>
      <c r="D5306">
        <f>LOG10(3.703364)</f>
        <v>0.56859640052425697</v>
      </c>
    </row>
    <row r="5307" spans="1:4">
      <c r="A5307">
        <v>1.1666110000000001</v>
      </c>
      <c r="B5307">
        <v>3.1234869999999999</v>
      </c>
      <c r="C5307">
        <f>LOG10(1.166611)</f>
        <v>6.6926067085234894E-2</v>
      </c>
      <c r="D5307">
        <f>LOG10(3.123487)</f>
        <v>0.49463970274561864</v>
      </c>
    </row>
    <row r="5308" spans="1:4">
      <c r="A5308">
        <v>1.1954769999999999</v>
      </c>
      <c r="B5308">
        <v>3.3507500000000001</v>
      </c>
      <c r="C5308">
        <f>LOG10(1.195477)</f>
        <v>7.7541225061437152E-2</v>
      </c>
      <c r="D5308">
        <f>LOG10(3.35075)</f>
        <v>0.52514202626239093</v>
      </c>
    </row>
    <row r="5309" spans="1:4">
      <c r="A5309">
        <v>1.181332</v>
      </c>
      <c r="B5309">
        <v>3.4398970000000002</v>
      </c>
      <c r="C5309">
        <f>LOG10(1.181332)</f>
        <v>7.2371968320715296E-2</v>
      </c>
      <c r="D5309">
        <f>LOG10(3.439897)</f>
        <v>0.53654543879207262</v>
      </c>
    </row>
    <row r="5310" spans="1:4">
      <c r="A5310">
        <v>1.2070479999999999</v>
      </c>
      <c r="B5310">
        <v>3.461773</v>
      </c>
      <c r="C5310">
        <f>LOG10(1.207048)</f>
        <v>8.1724540785532762E-2</v>
      </c>
      <c r="D5310">
        <f>LOG10(3.461773)</f>
        <v>0.53929858633556516</v>
      </c>
    </row>
    <row r="5311" spans="1:4">
      <c r="A5311">
        <v>1.164828</v>
      </c>
      <c r="B5311">
        <v>3.0963440000000002</v>
      </c>
      <c r="C5311">
        <f>LOG10(1.164828)</f>
        <v>6.6261801614685548E-2</v>
      </c>
      <c r="D5311">
        <f>LOG10(3.096344)</f>
        <v>0.49084920427265716</v>
      </c>
    </row>
    <row r="5312" spans="1:4">
      <c r="A5312">
        <v>1.1717420000000001</v>
      </c>
      <c r="B5312">
        <v>3.0396260000000002</v>
      </c>
      <c r="C5312">
        <f>LOG10(1.171742)</f>
        <v>6.8831997082185334E-2</v>
      </c>
      <c r="D5312">
        <f>LOG10(3.039626)</f>
        <v>0.48282015067178141</v>
      </c>
    </row>
    <row r="5313" spans="1:4">
      <c r="A5313">
        <v>1.1109340000000001</v>
      </c>
      <c r="B5313">
        <v>2.9026239999999999</v>
      </c>
      <c r="C5313">
        <f>LOG10(1.110934)</f>
        <v>4.5688258502318127E-2</v>
      </c>
      <c r="D5313">
        <f>LOG10(2.902624)</f>
        <v>0.46279078185262723</v>
      </c>
    </row>
    <row r="5314" spans="1:4">
      <c r="A5314">
        <v>1.1583889999999999</v>
      </c>
      <c r="B5314">
        <v>3.4055620000000002</v>
      </c>
      <c r="C5314">
        <f>LOG10(1.158389)</f>
        <v>6.3854424835475765E-2</v>
      </c>
      <c r="D5314">
        <f>LOG10(3.405562)</f>
        <v>0.53218879124401985</v>
      </c>
    </row>
    <row r="5315" spans="1:4">
      <c r="A5315">
        <v>1.1541710000000001</v>
      </c>
      <c r="B5315">
        <v>3.236491</v>
      </c>
      <c r="C5315">
        <f>LOG10(1.154171)</f>
        <v>6.2270157913901357E-2</v>
      </c>
      <c r="D5315">
        <f>LOG10(3.236491)</f>
        <v>0.5100744036741186</v>
      </c>
    </row>
    <row r="5316" spans="1:4">
      <c r="A5316">
        <v>1.135332</v>
      </c>
      <c r="B5316">
        <v>3.1844229999999998</v>
      </c>
      <c r="C5316">
        <f>LOG10(1.135332)</f>
        <v>5.5122878871996808E-2</v>
      </c>
      <c r="D5316">
        <f>LOG10(3.184423)</f>
        <v>0.50303075201916647</v>
      </c>
    </row>
    <row r="5317" spans="1:4">
      <c r="A5317">
        <v>1.1065419999999999</v>
      </c>
      <c r="B5317">
        <v>3.4625089999999998</v>
      </c>
      <c r="C5317">
        <f>LOG10(1.106542)</f>
        <v>4.3967902693524429E-2</v>
      </c>
      <c r="D5317">
        <f>LOG10(3.462509)</f>
        <v>0.53939091092312075</v>
      </c>
    </row>
    <row r="5318" spans="1:4">
      <c r="A5318">
        <v>1.114968</v>
      </c>
      <c r="B5318">
        <v>3.400871</v>
      </c>
      <c r="C5318">
        <f>LOG10(1.114968)</f>
        <v>4.7262403148439887E-2</v>
      </c>
      <c r="D5318">
        <f>LOG10(3.400871)</f>
        <v>0.53159015882167016</v>
      </c>
    </row>
    <row r="5319" spans="1:4">
      <c r="A5319">
        <v>1.126792</v>
      </c>
      <c r="B5319">
        <v>3.3532329999999999</v>
      </c>
      <c r="C5319">
        <f>LOG10(1.126792)</f>
        <v>5.1843754919886964E-2</v>
      </c>
      <c r="D5319">
        <f>LOG10(3.353233)</f>
        <v>0.52546373150772785</v>
      </c>
    </row>
    <row r="5320" spans="1:4">
      <c r="A5320">
        <v>1.109078</v>
      </c>
      <c r="B5320">
        <v>3.7715860000000001</v>
      </c>
      <c r="C5320">
        <f>LOG10(1.109078)</f>
        <v>4.4962090584118999E-2</v>
      </c>
      <c r="D5320">
        <f>LOG10(3.771586)</f>
        <v>0.57652401498173067</v>
      </c>
    </row>
    <row r="5321" spans="1:4">
      <c r="A5321">
        <v>1.1140490000000001</v>
      </c>
      <c r="B5321">
        <v>3.9323999999999999</v>
      </c>
      <c r="C5321">
        <f>LOG10(1.114049)</f>
        <v>4.6904293137180815E-2</v>
      </c>
      <c r="D5321">
        <f>LOG10(3.9324)</f>
        <v>0.59465768743000058</v>
      </c>
    </row>
    <row r="5322" spans="1:4">
      <c r="A5322">
        <v>1.127402</v>
      </c>
      <c r="B5322">
        <v>3.3868749999999999</v>
      </c>
      <c r="C5322">
        <f>LOG10(1.127402)</f>
        <v>5.2078800918969118E-2</v>
      </c>
      <c r="D5322">
        <f>LOG10(3.386875)</f>
        <v>0.52979916835646612</v>
      </c>
    </row>
    <row r="5323" spans="1:4">
      <c r="A5323">
        <v>1.129799</v>
      </c>
      <c r="B5323">
        <v>3.7171400000000001</v>
      </c>
      <c r="C5323">
        <f>LOG10(1.129799)</f>
        <v>5.300118600070311E-2</v>
      </c>
      <c r="D5323">
        <f>LOG10(3.71714)</f>
        <v>0.57020891839528542</v>
      </c>
    </row>
    <row r="5324" spans="1:4">
      <c r="A5324">
        <v>1.1020909999999999</v>
      </c>
      <c r="B5324">
        <v>3.7117070000000001</v>
      </c>
      <c r="C5324">
        <f>LOG10(1.102091)</f>
        <v>4.2217455828094656E-2</v>
      </c>
      <c r="D5324">
        <f>LOG10(3.711707)</f>
        <v>0.56957368594512237</v>
      </c>
    </row>
    <row r="5325" spans="1:4">
      <c r="A5325">
        <v>1.1385099999999999</v>
      </c>
      <c r="B5325">
        <v>3.5068329999999999</v>
      </c>
      <c r="C5325">
        <f>LOG10(1.13851)</f>
        <v>5.6336849554364063E-2</v>
      </c>
      <c r="D5325">
        <f>LOG10(3.506833)</f>
        <v>0.54491508469947514</v>
      </c>
    </row>
    <row r="5326" spans="1:4">
      <c r="A5326">
        <v>1.1393759999999999</v>
      </c>
      <c r="B5326">
        <v>3.465417</v>
      </c>
      <c r="C5326">
        <f>LOG10(1.139376)</f>
        <v>5.6667067167930331E-2</v>
      </c>
      <c r="D5326">
        <f>LOG10(3.465417)</f>
        <v>0.53975550154592666</v>
      </c>
    </row>
    <row r="5327" spans="1:4">
      <c r="A5327">
        <v>1.11927</v>
      </c>
      <c r="B5327">
        <v>3.5431789999999999</v>
      </c>
      <c r="C5327">
        <f>LOG10(1.11927)</f>
        <v>4.8934863441486197E-2</v>
      </c>
      <c r="D5327">
        <f>LOG10(3.543179)</f>
        <v>0.54939309327265318</v>
      </c>
    </row>
    <row r="5328" spans="1:4">
      <c r="A5328">
        <v>1.116279</v>
      </c>
      <c r="B5328">
        <v>3.318171</v>
      </c>
      <c r="C5328">
        <f>LOG10(1.116279)</f>
        <v>4.7772754652594736E-2</v>
      </c>
      <c r="D5328">
        <f>LOG10(3.318171)</f>
        <v>0.52089876337694574</v>
      </c>
    </row>
    <row r="5329" spans="1:4">
      <c r="A5329">
        <v>1.1383650000000001</v>
      </c>
      <c r="B5329">
        <v>3.5680960000000002</v>
      </c>
      <c r="C5329">
        <f>LOG10(1.138365)</f>
        <v>5.6281534528320881E-2</v>
      </c>
      <c r="D5329">
        <f>LOG10(3.568096)</f>
        <v>0.55243653060021503</v>
      </c>
    </row>
    <row r="5330" spans="1:4">
      <c r="A5330">
        <v>1.130701</v>
      </c>
      <c r="B5330">
        <v>3.4665170000000001</v>
      </c>
      <c r="C5330">
        <f>LOG10(1.130701)</f>
        <v>5.3347776262563436E-2</v>
      </c>
      <c r="D5330">
        <f>LOG10(3.466517)</f>
        <v>0.53989333434528786</v>
      </c>
    </row>
    <row r="5331" spans="1:4">
      <c r="A5331">
        <v>1.108984</v>
      </c>
      <c r="B5331">
        <v>4.1340149999999998</v>
      </c>
      <c r="C5331">
        <f>LOG10(1.108984)</f>
        <v>4.4925280358504599E-2</v>
      </c>
      <c r="D5331">
        <f>LOG10(4.134015)</f>
        <v>0.61637204810293122</v>
      </c>
    </row>
    <row r="5332" spans="1:4">
      <c r="A5332">
        <v>1.12442</v>
      </c>
      <c r="B5332">
        <v>3.6844320000000002</v>
      </c>
      <c r="C5332">
        <f>LOG10(1.12442)</f>
        <v>5.092856177744317E-2</v>
      </c>
      <c r="D5332">
        <f>LOG10(3.684432)</f>
        <v>0.56637054557931765</v>
      </c>
    </row>
    <row r="5333" spans="1:4">
      <c r="A5333">
        <v>1.13578</v>
      </c>
      <c r="B5333">
        <v>3.478526</v>
      </c>
      <c r="C5333">
        <f>LOG10(1.13578)</f>
        <v>5.5294216904129306E-2</v>
      </c>
      <c r="D5333">
        <f>LOG10(3.478526)</f>
        <v>0.54139525380961795</v>
      </c>
    </row>
    <row r="5334" spans="1:4">
      <c r="A5334">
        <v>1.1143339999999999</v>
      </c>
      <c r="B5334">
        <v>3.6467369999999999</v>
      </c>
      <c r="C5334">
        <f>LOG10(1.114334)</f>
        <v>4.7015381696030201E-2</v>
      </c>
      <c r="D5334">
        <f>LOG10(3.646737)</f>
        <v>0.56190444344338009</v>
      </c>
    </row>
    <row r="5335" spans="1:4">
      <c r="A5335">
        <v>1.135432</v>
      </c>
      <c r="B5335">
        <v>3.4808150000000002</v>
      </c>
      <c r="C5335">
        <f>LOG10(1.135432)</f>
        <v>5.5161129829135812E-2</v>
      </c>
      <c r="D5335">
        <f>LOG10(3.480815)</f>
        <v>0.54168094180936532</v>
      </c>
    </row>
    <row r="5336" spans="1:4">
      <c r="A5336">
        <v>1.1237029999999999</v>
      </c>
      <c r="B5336">
        <v>3.4303729999999999</v>
      </c>
      <c r="C5336">
        <f>LOG10(1.123703)</f>
        <v>5.0651540320803441E-2</v>
      </c>
      <c r="D5336">
        <f>LOG10(3.430373)</f>
        <v>0.53534134541722445</v>
      </c>
    </row>
    <row r="5337" spans="1:4">
      <c r="A5337">
        <v>1.071102</v>
      </c>
      <c r="B5337">
        <v>3.6036489999999999</v>
      </c>
      <c r="C5337">
        <f>LOG10(1.071102)</f>
        <v>2.983083024162007E-2</v>
      </c>
      <c r="D5337">
        <f>LOG10(3.603649)</f>
        <v>0.5567424835315804</v>
      </c>
    </row>
    <row r="5338" spans="1:4">
      <c r="A5338">
        <v>1.0864769999999999</v>
      </c>
      <c r="B5338">
        <v>3.747738</v>
      </c>
      <c r="C5338">
        <f>LOG10(1.086477)</f>
        <v>3.6020537026712762E-2</v>
      </c>
      <c r="D5338">
        <f>LOG10(3.747738)</f>
        <v>0.57376922225537252</v>
      </c>
    </row>
    <row r="5339" spans="1:4">
      <c r="A5339">
        <v>1.153481</v>
      </c>
      <c r="B5339">
        <v>3.4858760000000002</v>
      </c>
      <c r="C5339">
        <f>LOG10(1.153481)</f>
        <v>6.2010445269669333E-2</v>
      </c>
      <c r="D5339">
        <f>LOG10(3.485876)</f>
        <v>0.54231193427323754</v>
      </c>
    </row>
    <row r="5340" spans="1:4">
      <c r="A5340">
        <v>1.134477</v>
      </c>
      <c r="B5340">
        <v>3.4398689999999998</v>
      </c>
      <c r="C5340">
        <f>LOG10(1.134477)</f>
        <v>5.4795695571913265E-2</v>
      </c>
      <c r="D5340">
        <f>LOG10(3.439869)</f>
        <v>0.53654190371675359</v>
      </c>
    </row>
    <row r="5341" spans="1:4">
      <c r="A5341">
        <v>1.10622</v>
      </c>
      <c r="B5341">
        <v>3.3963160000000001</v>
      </c>
      <c r="C5341">
        <f>LOG10(1.10622)</f>
        <v>4.3841506068708999E-2</v>
      </c>
      <c r="D5341">
        <f>LOG10(3.396316)</f>
        <v>0.53100809107476521</v>
      </c>
    </row>
    <row r="5342" spans="1:4">
      <c r="A5342">
        <v>1.1174599999999999</v>
      </c>
      <c r="B5342">
        <v>3.5396109999999998</v>
      </c>
      <c r="C5342">
        <f>LOG10(1.11746)</f>
        <v>4.8231986309398761E-2</v>
      </c>
      <c r="D5342">
        <f>LOG10(3.539611)</f>
        <v>0.54895553608332281</v>
      </c>
    </row>
    <row r="5343" spans="1:4">
      <c r="A5343">
        <v>1.1104069999999999</v>
      </c>
      <c r="B5343">
        <v>3.561947</v>
      </c>
      <c r="C5343">
        <f>LOG10(1.110407)</f>
        <v>4.5482190909582831E-2</v>
      </c>
      <c r="D5343">
        <f>LOG10(3.561947)</f>
        <v>0.55168745308938494</v>
      </c>
    </row>
    <row r="5344" spans="1:4">
      <c r="A5344">
        <v>1.0968169999999999</v>
      </c>
      <c r="B5344">
        <v>3.570843</v>
      </c>
      <c r="C5344">
        <f>LOG10(1.096817)</f>
        <v>4.0134173135373062E-2</v>
      </c>
      <c r="D5344">
        <f>LOG10(3.570843)</f>
        <v>0.55277075589634617</v>
      </c>
    </row>
    <row r="5345" spans="1:4">
      <c r="A5345">
        <v>1.1135109999999999</v>
      </c>
      <c r="B5345">
        <v>3.527075</v>
      </c>
      <c r="C5345">
        <f>LOG10(1.113511)</f>
        <v>4.6694511640110389E-2</v>
      </c>
      <c r="D5345">
        <f>LOG10(3.527075)</f>
        <v>0.54741469463767178</v>
      </c>
    </row>
    <row r="5346" spans="1:4">
      <c r="A5346">
        <v>1.1079969999999999</v>
      </c>
      <c r="B5346">
        <v>3.3030560000000002</v>
      </c>
      <c r="C5346">
        <f>LOG10(1.107997)</f>
        <v>4.4538584503232614E-2</v>
      </c>
      <c r="D5346">
        <f>LOG10(3.303056)</f>
        <v>0.51891593678097547</v>
      </c>
    </row>
    <row r="5347" spans="1:4">
      <c r="A5347">
        <v>1.1162609999999999</v>
      </c>
      <c r="B5347">
        <v>3.3650709999999999</v>
      </c>
      <c r="C5347">
        <f>LOG10(1.116261)</f>
        <v>4.7765751597174035E-2</v>
      </c>
      <c r="D5347">
        <f>LOG10(3.365071)</f>
        <v>0.52699423188329975</v>
      </c>
    </row>
    <row r="5348" spans="1:4">
      <c r="A5348">
        <v>1.121122</v>
      </c>
      <c r="B5348">
        <v>3.300554</v>
      </c>
      <c r="C5348">
        <f>LOG10(1.121122)</f>
        <v>4.9652874899918618E-2</v>
      </c>
      <c r="D5348">
        <f>LOG10(3.300554)</f>
        <v>0.51858684258985355</v>
      </c>
    </row>
    <row r="5349" spans="1:4">
      <c r="A5349">
        <v>1.1134919999999999</v>
      </c>
      <c r="B5349">
        <v>3.5154909999999999</v>
      </c>
      <c r="C5349">
        <f>LOG10(1.113492)</f>
        <v>4.6687101147033942E-2</v>
      </c>
      <c r="D5349">
        <f>LOG10(3.515491)</f>
        <v>0.54598599043654428</v>
      </c>
    </row>
    <row r="5350" spans="1:4">
      <c r="A5350">
        <v>1.122681</v>
      </c>
      <c r="B5350">
        <v>3.301294</v>
      </c>
      <c r="C5350">
        <f>LOG10(1.122681)</f>
        <v>5.0256372806141598E-2</v>
      </c>
      <c r="D5350">
        <f>LOG10(3.301294)</f>
        <v>0.51868420257692216</v>
      </c>
    </row>
    <row r="5351" spans="1:4">
      <c r="A5351">
        <v>1.11568</v>
      </c>
      <c r="B5351">
        <v>3.5821999999999998</v>
      </c>
      <c r="C5351">
        <f>LOG10(1.11568)</f>
        <v>4.7539647860843082E-2</v>
      </c>
      <c r="D5351">
        <f>LOG10(3.5822)</f>
        <v>0.55414982955086844</v>
      </c>
    </row>
    <row r="5352" spans="1:4">
      <c r="A5352">
        <v>1.1058220000000001</v>
      </c>
      <c r="B5352">
        <v>3.468639</v>
      </c>
      <c r="C5352">
        <f>LOG10(1.105822)</f>
        <v>4.3685225848294873E-2</v>
      </c>
      <c r="D5352">
        <f>LOG10(3.468639)</f>
        <v>0.54015910282096702</v>
      </c>
    </row>
    <row r="5353" spans="1:4">
      <c r="A5353">
        <v>1.0675410000000001</v>
      </c>
      <c r="B5353">
        <v>3.3264649999999998</v>
      </c>
      <c r="C5353">
        <f>LOG10(1.067541)</f>
        <v>2.838456353951907E-2</v>
      </c>
      <c r="D5353">
        <f>LOG10(3.326465)</f>
        <v>0.52198295829857699</v>
      </c>
    </row>
    <row r="5354" spans="1:4">
      <c r="A5354">
        <v>1.1247039999999999</v>
      </c>
      <c r="B5354">
        <v>3.4303629999999998</v>
      </c>
      <c r="C5354">
        <f>LOG10(1.124704)</f>
        <v>5.1038239708509688E-2</v>
      </c>
      <c r="D5354">
        <f>LOG10(3.430363)</f>
        <v>0.53534007938838468</v>
      </c>
    </row>
    <row r="5355" spans="1:4">
      <c r="A5355">
        <v>1.102484</v>
      </c>
      <c r="B5355">
        <v>3.447101</v>
      </c>
      <c r="C5355">
        <f>LOG10(1.102484)</f>
        <v>4.2372295407783249E-2</v>
      </c>
      <c r="D5355">
        <f>LOG10(3.447101)</f>
        <v>0.5374540084152184</v>
      </c>
    </row>
    <row r="5356" spans="1:4">
      <c r="A5356">
        <v>1.124091</v>
      </c>
      <c r="B5356">
        <v>3.4561769999999998</v>
      </c>
      <c r="C5356">
        <f>LOG10(1.124091)</f>
        <v>5.080147066197533E-2</v>
      </c>
      <c r="D5356">
        <f>LOG10(3.456177)</f>
        <v>0.53859597574982487</v>
      </c>
    </row>
    <row r="5357" spans="1:4">
      <c r="A5357">
        <v>1.0984160000000001</v>
      </c>
      <c r="B5357">
        <v>3.4709660000000002</v>
      </c>
      <c r="C5357">
        <f>LOG10(1.098416)</f>
        <v>4.0766850395032701E-2</v>
      </c>
      <c r="D5357">
        <f>LOG10(3.470966)</f>
        <v>0.54045035954156329</v>
      </c>
    </row>
    <row r="5358" spans="1:4">
      <c r="A5358">
        <v>1.076824</v>
      </c>
      <c r="B5358">
        <v>3.2314449999999999</v>
      </c>
      <c r="C5358">
        <f>LOG10(1.076824)</f>
        <v>3.2144726441019178E-2</v>
      </c>
      <c r="D5358">
        <f>LOG10(3.231445)</f>
        <v>0.5093967685211771</v>
      </c>
    </row>
    <row r="5359" spans="1:4">
      <c r="A5359">
        <v>1.0827500000000001</v>
      </c>
      <c r="B5359">
        <v>3.212415</v>
      </c>
      <c r="C5359">
        <f>LOG10(1.08275)</f>
        <v>3.4528192401879973E-2</v>
      </c>
      <c r="D5359">
        <f>LOG10(3.212415)</f>
        <v>0.50683164512710488</v>
      </c>
    </row>
    <row r="5360" spans="1:4">
      <c r="A5360">
        <v>1.111029</v>
      </c>
      <c r="B5360">
        <v>3.3247520000000002</v>
      </c>
      <c r="C5360">
        <f>LOG10(1.111029)</f>
        <v>4.5725395012517378E-2</v>
      </c>
      <c r="D5360">
        <f>LOG10(3.324752)</f>
        <v>0.52175925594036232</v>
      </c>
    </row>
    <row r="5361" spans="1:4">
      <c r="A5361">
        <v>1.119936</v>
      </c>
      <c r="B5361">
        <v>3.4554070000000001</v>
      </c>
      <c r="C5361">
        <f>LOG10(1.119936)</f>
        <v>4.9193205133565072E-2</v>
      </c>
      <c r="D5361">
        <f>LOG10(3.455407)</f>
        <v>0.53849920871279</v>
      </c>
    </row>
    <row r="5362" spans="1:4">
      <c r="A5362">
        <v>1.1174459999999999</v>
      </c>
      <c r="B5362">
        <v>3.3022819999999999</v>
      </c>
      <c r="C5362">
        <f>LOG10(1.117446)</f>
        <v>4.8226545254833865E-2</v>
      </c>
      <c r="D5362">
        <f>LOG10(3.302282)</f>
        <v>0.51881415730185365</v>
      </c>
    </row>
    <row r="5363" spans="1:4">
      <c r="A5363">
        <v>1.104419</v>
      </c>
      <c r="B5363">
        <v>3.4163049999999999</v>
      </c>
      <c r="C5363">
        <f>LOG10(1.104419)</f>
        <v>4.3133869466842681E-2</v>
      </c>
      <c r="D5363">
        <f>LOG10(3.416305)</f>
        <v>0.53355663657901309</v>
      </c>
    </row>
    <row r="5364" spans="1:4">
      <c r="A5364">
        <v>1.1022689999999999</v>
      </c>
      <c r="B5364">
        <v>3.2156850000000001</v>
      </c>
      <c r="C5364">
        <f>LOG10(1.102269)</f>
        <v>4.2287593571427688E-2</v>
      </c>
      <c r="D5364">
        <f>LOG10(3.215685)</f>
        <v>0.50727349982081693</v>
      </c>
    </row>
    <row r="5365" spans="1:4">
      <c r="A5365">
        <v>1.112967</v>
      </c>
      <c r="B5365">
        <v>3.2416900000000002</v>
      </c>
      <c r="C5365">
        <f>LOG10(1.112967)</f>
        <v>4.6482287488013065E-2</v>
      </c>
      <c r="D5365">
        <f>LOG10(3.24169)</f>
        <v>0.51077148129395156</v>
      </c>
    </row>
    <row r="5366" spans="1:4">
      <c r="A5366">
        <v>1.110266</v>
      </c>
      <c r="B5366">
        <v>3.248345</v>
      </c>
      <c r="C5366">
        <f>LOG10(1.110266)</f>
        <v>4.5427040491641403E-2</v>
      </c>
      <c r="D5366">
        <f>LOG10(3.248345)</f>
        <v>0.51166214853690961</v>
      </c>
    </row>
    <row r="5367" spans="1:4">
      <c r="A5367">
        <v>1.1029910000000001</v>
      </c>
      <c r="B5367">
        <v>3.3206530000000001</v>
      </c>
      <c r="C5367">
        <f>LOG10(1.102991)</f>
        <v>4.2571968771755751E-2</v>
      </c>
      <c r="D5367">
        <f>LOG10(3.320653)</f>
        <v>0.52122349527353007</v>
      </c>
    </row>
    <row r="5368" spans="1:4">
      <c r="A5368">
        <v>1.041499</v>
      </c>
      <c r="B5368">
        <v>3.4554819999999999</v>
      </c>
      <c r="C5368">
        <f>LOG10(1.041499)</f>
        <v>1.7658857294143529E-2</v>
      </c>
      <c r="D5368">
        <f>LOG10(3.455482)</f>
        <v>0.5385086350213717</v>
      </c>
    </row>
    <row r="5369" spans="1:4">
      <c r="A5369">
        <v>1.117035</v>
      </c>
      <c r="B5369">
        <v>3.4443350000000001</v>
      </c>
      <c r="C5369">
        <f>LOG10(1.117035)</f>
        <v>4.8066781055384269E-2</v>
      </c>
      <c r="D5369">
        <f>LOG10(3.444335)</f>
        <v>0.53710538481878645</v>
      </c>
    </row>
    <row r="5370" spans="1:4">
      <c r="A5370">
        <v>1.1345449999999999</v>
      </c>
      <c r="B5370">
        <v>3.3700730000000001</v>
      </c>
      <c r="C5370">
        <f>LOG10(1.134545)</f>
        <v>5.4821726191958596E-2</v>
      </c>
      <c r="D5370">
        <f>LOG10(3.370073)</f>
        <v>0.52763930833537653</v>
      </c>
    </row>
    <row r="5371" spans="1:4">
      <c r="A5371">
        <v>1.087753</v>
      </c>
      <c r="B5371">
        <v>3.3070759999999999</v>
      </c>
      <c r="C5371">
        <f>LOG10(1.087753)</f>
        <v>3.6530289741494658E-2</v>
      </c>
      <c r="D5371">
        <f>LOG10(3.307076)</f>
        <v>0.51944417556122668</v>
      </c>
    </row>
    <row r="5372" spans="1:4">
      <c r="A5372">
        <v>1.0807720000000001</v>
      </c>
      <c r="B5372">
        <v>3.2042709999999999</v>
      </c>
      <c r="C5372">
        <f>LOG10(1.080772)</f>
        <v>3.373408471585046E-2</v>
      </c>
      <c r="D5372">
        <f>LOG10(3.204271)</f>
        <v>0.50572923925598934</v>
      </c>
    </row>
    <row r="5373" spans="1:4">
      <c r="A5373">
        <v>1.07761</v>
      </c>
      <c r="B5373">
        <v>3.3021069999999999</v>
      </c>
      <c r="C5373">
        <f>LOG10(1.07761)</f>
        <v>3.2461612897434891E-2</v>
      </c>
      <c r="D5373">
        <f>LOG10(3.302107)</f>
        <v>0.5187911418391512</v>
      </c>
    </row>
    <row r="5374" spans="1:4">
      <c r="A5374">
        <v>1.074862</v>
      </c>
      <c r="B5374">
        <v>3.2794880000000002</v>
      </c>
      <c r="C5374">
        <f>LOG10(1.074862)</f>
        <v>3.1352709381232483E-2</v>
      </c>
      <c r="D5374">
        <f>LOG10(3.279488)</f>
        <v>0.51580604611065106</v>
      </c>
    </row>
    <row r="5375" spans="1:4">
      <c r="A5375">
        <v>1.075879</v>
      </c>
      <c r="B5375">
        <v>3.300767</v>
      </c>
      <c r="C5375">
        <f>LOG10(1.075879)</f>
        <v>3.1763430635920853E-2</v>
      </c>
      <c r="D5375">
        <f>LOG10(3.300767)</f>
        <v>0.51861486871513296</v>
      </c>
    </row>
    <row r="5376" spans="1:4">
      <c r="A5376">
        <v>1.087933</v>
      </c>
      <c r="B5376">
        <v>3.298578</v>
      </c>
      <c r="C5376">
        <f>LOG10(1.087933)</f>
        <v>3.6602150301263826E-2</v>
      </c>
      <c r="D5376">
        <f>LOG10(3.298578)</f>
        <v>0.51832675810544304</v>
      </c>
    </row>
    <row r="5377" spans="1:4">
      <c r="A5377">
        <v>1.1182270000000001</v>
      </c>
      <c r="B5377">
        <v>3.233787</v>
      </c>
      <c r="C5377">
        <f>LOG10(1.118227)</f>
        <v>4.8529974248397757E-2</v>
      </c>
      <c r="D5377">
        <f>LOG10(3.233787)</f>
        <v>0.50971141081741855</v>
      </c>
    </row>
    <row r="5378" spans="1:4">
      <c r="A5378">
        <v>1.103599</v>
      </c>
      <c r="B5378">
        <v>3.219052</v>
      </c>
      <c r="C5378">
        <f>LOG10(1.103599)</f>
        <v>4.281129828170506E-2</v>
      </c>
      <c r="D5378">
        <f>LOG10(3.219052)</f>
        <v>0.50772799225897625</v>
      </c>
    </row>
    <row r="5379" spans="1:4">
      <c r="A5379">
        <v>1.121712</v>
      </c>
      <c r="B5379">
        <v>3.3041640000000001</v>
      </c>
      <c r="C5379">
        <f>LOG10(1.121712)</f>
        <v>4.9881365952072688E-2</v>
      </c>
      <c r="D5379">
        <f>LOG10(3.304164)</f>
        <v>0.51906159510337413</v>
      </c>
    </row>
    <row r="5380" spans="1:4">
      <c r="A5380">
        <v>1.127175</v>
      </c>
      <c r="B5380">
        <v>3.3374359999999998</v>
      </c>
      <c r="C5380">
        <f>LOG10(1.127175)</f>
        <v>5.1991347842205576E-2</v>
      </c>
      <c r="D5380">
        <f>LOG10(3.337436)</f>
        <v>0.52341294624878365</v>
      </c>
    </row>
    <row r="5381" spans="1:4">
      <c r="A5381">
        <v>1.1379760000000001</v>
      </c>
      <c r="B5381">
        <v>3.2771089999999998</v>
      </c>
      <c r="C5381">
        <f>LOG10(1.137976)</f>
        <v>5.6133102852131009E-2</v>
      </c>
      <c r="D5381">
        <f>LOG10(3.277109)</f>
        <v>0.51549088670165011</v>
      </c>
    </row>
    <row r="5382" spans="1:4">
      <c r="A5382">
        <v>1.1296459999999999</v>
      </c>
      <c r="B5382">
        <v>3.1217440000000001</v>
      </c>
      <c r="C5382">
        <f>LOG10(1.129646)</f>
        <v>5.2942368852392098E-2</v>
      </c>
      <c r="D5382">
        <f>LOG10(3.121744)</f>
        <v>0.49439728567518149</v>
      </c>
    </row>
    <row r="5383" spans="1:4">
      <c r="A5383">
        <v>1.0360050000000001</v>
      </c>
      <c r="B5383">
        <v>3.2913139999999999</v>
      </c>
      <c r="C5383">
        <f>LOG10(1.036005)</f>
        <v>1.5361851419995609E-2</v>
      </c>
      <c r="D5383">
        <f>LOG10(3.291314)</f>
        <v>0.51736931710511669</v>
      </c>
    </row>
    <row r="5384" spans="1:4">
      <c r="A5384">
        <v>1.042743</v>
      </c>
      <c r="B5384">
        <v>3.1384310000000002</v>
      </c>
      <c r="C5384">
        <f>LOG10(1.042743)</f>
        <v>1.8177283081208837E-2</v>
      </c>
      <c r="D5384">
        <f>LOG10(3.138431)</f>
        <v>0.49671258490686299</v>
      </c>
    </row>
    <row r="5385" spans="1:4">
      <c r="A5385">
        <v>1.108449</v>
      </c>
      <c r="B5385">
        <v>3.4644210000000002</v>
      </c>
      <c r="C5385">
        <f>LOG10(1.108449)</f>
        <v>4.4715715918607991E-2</v>
      </c>
      <c r="D5385">
        <f>LOG10(3.464421)</f>
        <v>0.53963066246398739</v>
      </c>
    </row>
    <row r="5386" spans="1:4">
      <c r="A5386">
        <v>1.0813360000000001</v>
      </c>
      <c r="B5386">
        <v>3.2030270000000001</v>
      </c>
      <c r="C5386">
        <f>LOG10(1.081336)</f>
        <v>3.3960661827955152E-2</v>
      </c>
      <c r="D5386">
        <f>LOG10(3.203027)</f>
        <v>0.50556059957596322</v>
      </c>
    </row>
    <row r="5387" spans="1:4">
      <c r="A5387">
        <v>1.126468</v>
      </c>
      <c r="B5387">
        <v>3.16472</v>
      </c>
      <c r="C5387">
        <f>LOG10(1.126468)</f>
        <v>5.1718859068448218E-2</v>
      </c>
      <c r="D5387">
        <f>LOG10(3.16472)</f>
        <v>0.50033529165694746</v>
      </c>
    </row>
    <row r="5388" spans="1:4">
      <c r="A5388">
        <v>1.1046389999999999</v>
      </c>
      <c r="B5388">
        <v>3.024464</v>
      </c>
      <c r="C5388">
        <f>LOG10(1.104639)</f>
        <v>4.32203722081329E-2</v>
      </c>
      <c r="D5388">
        <f>LOG10(3.024464)</f>
        <v>0.48064841949491627</v>
      </c>
    </row>
    <row r="5389" spans="1:4">
      <c r="A5389">
        <v>1.102406</v>
      </c>
      <c r="B5389">
        <v>3.0449120000000001</v>
      </c>
      <c r="C5389">
        <f>LOG10(1.102406)</f>
        <v>4.2341568278899178E-2</v>
      </c>
      <c r="D5389">
        <f>LOG10(3.044912)</f>
        <v>0.48357474574831488</v>
      </c>
    </row>
    <row r="5390" spans="1:4">
      <c r="A5390">
        <v>1.081529</v>
      </c>
      <c r="B5390">
        <v>3.0627209999999998</v>
      </c>
      <c r="C5390">
        <f>LOG10(1.081529)</f>
        <v>3.4038169055849402E-2</v>
      </c>
      <c r="D5390">
        <f>LOG10(3.062721)</f>
        <v>0.48610743634975956</v>
      </c>
    </row>
    <row r="5391" spans="1:4">
      <c r="A5391">
        <v>1.090668</v>
      </c>
      <c r="B5391">
        <v>3.181346</v>
      </c>
      <c r="C5391">
        <f>LOG10(1.090668)</f>
        <v>3.7692571201647929E-2</v>
      </c>
      <c r="D5391">
        <f>LOG10(3.181346)</f>
        <v>0.50261090510832485</v>
      </c>
    </row>
    <row r="5392" spans="1:4">
      <c r="A5392">
        <v>1.096741</v>
      </c>
      <c r="B5392">
        <v>3.2634240000000001</v>
      </c>
      <c r="C5392">
        <f>LOG10(1.096741)</f>
        <v>4.0104079214320743E-2</v>
      </c>
      <c r="D5392">
        <f>LOG10(3.263424)</f>
        <v>0.51367350311596827</v>
      </c>
    </row>
    <row r="5393" spans="1:4">
      <c r="A5393">
        <v>1.110665</v>
      </c>
      <c r="B5393">
        <v>3.182429</v>
      </c>
      <c r="C5393">
        <f>LOG10(1.110665)</f>
        <v>4.5583086312194758E-2</v>
      </c>
      <c r="D5393">
        <f>LOG10(3.182429)</f>
        <v>0.50275872332265259</v>
      </c>
    </row>
    <row r="5394" spans="1:4">
      <c r="A5394">
        <v>1.1023989999999999</v>
      </c>
      <c r="B5394">
        <v>3.106131</v>
      </c>
      <c r="C5394">
        <f>LOG10(1.102399)</f>
        <v>4.2338810609741706E-2</v>
      </c>
      <c r="D5394">
        <f>LOG10(3.106131)</f>
        <v>0.49221976799827061</v>
      </c>
    </row>
    <row r="5395" spans="1:4">
      <c r="A5395">
        <v>1.1046879999999999</v>
      </c>
      <c r="B5395">
        <v>3.0848710000000001</v>
      </c>
      <c r="C5395">
        <f>LOG10(1.104688)</f>
        <v>4.3239636381898698E-2</v>
      </c>
      <c r="D5395">
        <f>LOG10(3.084871)</f>
        <v>0.48923700786374147</v>
      </c>
    </row>
    <row r="5396" spans="1:4">
      <c r="A5396">
        <v>1.1215809999999999</v>
      </c>
      <c r="B5396">
        <v>3.2169270000000001</v>
      </c>
      <c r="C5396">
        <f>LOG10(1.121581)</f>
        <v>4.9830643574573147E-2</v>
      </c>
      <c r="D5396">
        <f>LOG10(3.216927)</f>
        <v>0.50744120580191032</v>
      </c>
    </row>
    <row r="5397" spans="1:4">
      <c r="A5397">
        <v>1.13428</v>
      </c>
      <c r="B5397">
        <v>3.0662250000000002</v>
      </c>
      <c r="C5397">
        <f>LOG10(1.13428)</f>
        <v>5.4720274525807432E-2</v>
      </c>
      <c r="D5397">
        <f>LOG10(3.066225)</f>
        <v>0.48660402027475708</v>
      </c>
    </row>
    <row r="5398" spans="1:4">
      <c r="A5398">
        <v>1.145027</v>
      </c>
      <c r="B5398">
        <v>3.0409280000000001</v>
      </c>
      <c r="C5398">
        <f>LOG10(1.145027)</f>
        <v>5.8815727560413346E-2</v>
      </c>
      <c r="D5398">
        <f>LOG10(3.040928)</f>
        <v>0.48300613748287791</v>
      </c>
    </row>
    <row r="5399" spans="1:4">
      <c r="A5399">
        <v>1.1163400000000001</v>
      </c>
      <c r="B5399">
        <v>3.2027040000000002</v>
      </c>
      <c r="C5399">
        <f>LOG10(1.11634)</f>
        <v>4.779648638953931E-2</v>
      </c>
      <c r="D5399">
        <f>LOG10(3.202704)</f>
        <v>0.50551680219584427</v>
      </c>
    </row>
    <row r="5400" spans="1:4">
      <c r="A5400">
        <v>1.0682480000000001</v>
      </c>
      <c r="B5400">
        <v>3.1926429999999999</v>
      </c>
      <c r="C5400">
        <f>LOG10(1.068248)</f>
        <v>2.8672088393257657E-2</v>
      </c>
      <c r="D5400">
        <f>LOG10(3.192643)</f>
        <v>0.50415035862771762</v>
      </c>
    </row>
    <row r="5401" spans="1:4">
      <c r="A5401">
        <v>1.1212120000000001</v>
      </c>
      <c r="B5401">
        <v>3.2943210000000001</v>
      </c>
      <c r="C5401">
        <f>LOG10(1.121212)</f>
        <v>4.9687737238350217E-2</v>
      </c>
      <c r="D5401">
        <f>LOG10(3.294321)</f>
        <v>0.51776591472944233</v>
      </c>
    </row>
    <row r="5402" spans="1:4">
      <c r="A5402">
        <v>1.1482669999999999</v>
      </c>
      <c r="B5402">
        <v>3.1937820000000001</v>
      </c>
      <c r="C5402">
        <f>LOG10(1.148267)</f>
        <v>6.004288383221202E-2</v>
      </c>
      <c r="D5402">
        <f>LOG10(3.193782)</f>
        <v>0.50430526890072092</v>
      </c>
    </row>
    <row r="5403" spans="1:4">
      <c r="A5403">
        <v>1.1323240000000001</v>
      </c>
      <c r="B5403">
        <v>3.0882529999999999</v>
      </c>
      <c r="C5403">
        <f>LOG10(1.132324)</f>
        <v>5.3970712434260354E-2</v>
      </c>
      <c r="D5403">
        <f>LOG10(3.088253)</f>
        <v>0.48971287197557467</v>
      </c>
    </row>
    <row r="5404" spans="1:4">
      <c r="A5404">
        <v>1.1329089999999999</v>
      </c>
      <c r="B5404">
        <v>3.2051280000000002</v>
      </c>
      <c r="C5404">
        <f>LOG10(1.132909)</f>
        <v>5.419502691101525E-2</v>
      </c>
      <c r="D5404">
        <f>LOG10(3.205128)</f>
        <v>0.50584537818670949</v>
      </c>
    </row>
    <row r="5405" spans="1:4">
      <c r="A5405">
        <v>1.113456</v>
      </c>
      <c r="B5405">
        <v>3.1580379999999999</v>
      </c>
      <c r="C5405">
        <f>LOG10(1.113456)</f>
        <v>4.6673059866007317E-2</v>
      </c>
      <c r="D5405">
        <f>LOG10(3.158038)</f>
        <v>0.49941735147690564</v>
      </c>
    </row>
    <row r="5406" spans="1:4">
      <c r="A5406">
        <v>1.097121</v>
      </c>
      <c r="B5406">
        <v>3.0945969999999998</v>
      </c>
      <c r="C5406">
        <f>LOG10(1.097121)</f>
        <v>4.0254527970690727E-2</v>
      </c>
      <c r="D5406">
        <f>LOG10(3.094597)</f>
        <v>0.49060410018265732</v>
      </c>
    </row>
    <row r="5407" spans="1:4">
      <c r="A5407">
        <v>1.135035</v>
      </c>
      <c r="B5407">
        <v>3.048397</v>
      </c>
      <c r="C5407">
        <f>LOG10(1.135035)</f>
        <v>5.5009253663507583E-2</v>
      </c>
      <c r="D5407">
        <f>LOG10(3.048397)</f>
        <v>0.48407152555530109</v>
      </c>
    </row>
    <row r="5408" spans="1:4">
      <c r="A5408">
        <v>1.1143080000000001</v>
      </c>
      <c r="B5408">
        <v>3.1010779999999998</v>
      </c>
      <c r="C5408">
        <f>LOG10(1.114308)</f>
        <v>4.7005248479003926E-2</v>
      </c>
      <c r="D5408">
        <f>LOG10(3.101078)</f>
        <v>0.49151268998565401</v>
      </c>
    </row>
    <row r="5409" spans="1:4">
      <c r="A5409">
        <v>1.1181779999999999</v>
      </c>
      <c r="B5409">
        <v>3.0942210000000001</v>
      </c>
      <c r="C5409">
        <f>LOG10(1.118178)</f>
        <v>4.8510943321873494E-2</v>
      </c>
      <c r="D5409">
        <f>LOG10(3.094221)</f>
        <v>0.49055132928992906</v>
      </c>
    </row>
    <row r="5410" spans="1:4">
      <c r="A5410">
        <v>1.111251</v>
      </c>
      <c r="B5410">
        <v>3.0249450000000002</v>
      </c>
      <c r="C5410">
        <f>LOG10(1.111251)</f>
        <v>4.5812164794275953E-2</v>
      </c>
      <c r="D5410">
        <f>LOG10(3.024945)</f>
        <v>0.48071748265339531</v>
      </c>
    </row>
    <row r="5411" spans="1:4">
      <c r="A5411">
        <v>1.0969150000000001</v>
      </c>
      <c r="B5411">
        <v>3.2072600000000002</v>
      </c>
      <c r="C5411">
        <f>LOG10(1.096915)</f>
        <v>4.0172975376717858E-2</v>
      </c>
      <c r="D5411">
        <f>LOG10(3.20726)</f>
        <v>0.50613416790733645</v>
      </c>
    </row>
    <row r="5412" spans="1:4">
      <c r="A5412">
        <v>1.1372549999999999</v>
      </c>
      <c r="B5412">
        <v>3.1111110000000002</v>
      </c>
      <c r="C5412">
        <f>LOG10(1.137255)</f>
        <v>5.5857854904178744E-2</v>
      </c>
      <c r="D5412">
        <f>LOG10(3.111111)</f>
        <v>0.49291550639237686</v>
      </c>
    </row>
    <row r="5413" spans="1:4">
      <c r="A5413">
        <v>1.134598</v>
      </c>
      <c r="B5413">
        <v>3.5103620000000002</v>
      </c>
      <c r="C5413">
        <f>LOG10(1.134598)</f>
        <v>5.484201368159243E-2</v>
      </c>
      <c r="D5413">
        <f>LOG10(3.510362)</f>
        <v>0.54535190464130234</v>
      </c>
    </row>
    <row r="5414" spans="1:4">
      <c r="A5414">
        <v>1.147373</v>
      </c>
      <c r="B5414">
        <v>3.3524620000000001</v>
      </c>
      <c r="C5414">
        <f>LOG10(1.147373)</f>
        <v>5.9704625841891998E-2</v>
      </c>
      <c r="D5414">
        <f>LOG10(3.352462)</f>
        <v>0.525363863843892</v>
      </c>
    </row>
    <row r="5415" spans="1:4">
      <c r="A5415">
        <v>1.13504</v>
      </c>
      <c r="B5415">
        <v>3.2301389999999999</v>
      </c>
      <c r="C5415">
        <f>LOG10(1.13504)</f>
        <v>5.5011166791848747E-2</v>
      </c>
      <c r="D5415">
        <f>LOG10(3.230139)</f>
        <v>0.50922121138190934</v>
      </c>
    </row>
    <row r="5416" spans="1:4">
      <c r="A5416">
        <v>1.1497759999999999</v>
      </c>
      <c r="B5416">
        <v>3.2149920000000001</v>
      </c>
      <c r="C5416">
        <f>LOG10(1.149776)</f>
        <v>6.0613239101790631E-2</v>
      </c>
      <c r="D5416">
        <f>LOG10(3.214992)</f>
        <v>0.50717989658833484</v>
      </c>
    </row>
    <row r="5417" spans="1:4">
      <c r="A5417">
        <v>1.1020829999999999</v>
      </c>
      <c r="B5417">
        <v>3.1958660000000001</v>
      </c>
      <c r="C5417">
        <f>LOG10(1.102083)</f>
        <v>4.2214303303969754E-2</v>
      </c>
      <c r="D5417">
        <f>LOG10(3.195866)</f>
        <v>0.50458856141773556</v>
      </c>
    </row>
    <row r="5418" spans="1:4">
      <c r="A5418">
        <v>1.1120410000000001</v>
      </c>
      <c r="B5418">
        <v>3.0277910000000001</v>
      </c>
      <c r="C5418">
        <f>LOG10(1.112041)</f>
        <v>4.6120799607105821E-2</v>
      </c>
      <c r="D5418">
        <f>LOG10(3.027791)</f>
        <v>0.4811258937212447</v>
      </c>
    </row>
    <row r="5419" spans="1:4">
      <c r="A5419">
        <v>1.0362070000000001</v>
      </c>
      <c r="B5419">
        <v>3.1276090000000001</v>
      </c>
      <c r="C5419">
        <f>LOG10(1.036207)</f>
        <v>1.5446521796986329E-2</v>
      </c>
      <c r="D5419">
        <f>LOG10(3.127609)</f>
        <v>0.4952124541843641</v>
      </c>
    </row>
    <row r="5420" spans="1:4">
      <c r="A5420">
        <v>1.0895870000000001</v>
      </c>
      <c r="B5420">
        <v>3.2892649999999999</v>
      </c>
      <c r="C5420">
        <f>LOG10(1.089587)</f>
        <v>3.7261912977350618E-2</v>
      </c>
      <c r="D5420">
        <f>LOG10(3.289265)</f>
        <v>0.51709886387533921</v>
      </c>
    </row>
    <row r="5421" spans="1:4">
      <c r="A5421">
        <v>1.14177</v>
      </c>
      <c r="B5421">
        <v>3.4184960000000002</v>
      </c>
      <c r="C5421">
        <f>LOG10(1.14177)</f>
        <v>5.7578627735630022E-2</v>
      </c>
      <c r="D5421">
        <f>LOG10(3.418496)</f>
        <v>0.53383507606611569</v>
      </c>
    </row>
    <row r="5422" spans="1:4">
      <c r="A5422">
        <v>1.155521</v>
      </c>
      <c r="B5422">
        <v>3.2810549999999998</v>
      </c>
      <c r="C5422">
        <f>LOG10(1.155521)</f>
        <v>6.2777842589897562E-2</v>
      </c>
      <c r="D5422">
        <f>LOG10(3.281055)</f>
        <v>0.51601351048245203</v>
      </c>
    </row>
    <row r="5423" spans="1:4">
      <c r="A5423">
        <v>1.1336919999999999</v>
      </c>
      <c r="B5423">
        <v>3.3114840000000001</v>
      </c>
      <c r="C5423">
        <f>LOG10(1.133692)</f>
        <v>5.4495082009250129E-2</v>
      </c>
      <c r="D5423">
        <f>LOG10(3.311484)</f>
        <v>0.52002266102008121</v>
      </c>
    </row>
    <row r="5424" spans="1:4">
      <c r="A5424">
        <v>1.131793</v>
      </c>
      <c r="B5424">
        <v>3.3548300000000002</v>
      </c>
      <c r="C5424">
        <f>LOG10(1.131793)</f>
        <v>5.3767003549853067E-2</v>
      </c>
      <c r="D5424">
        <f>LOG10(3.35483)</f>
        <v>0.52567051796775455</v>
      </c>
    </row>
    <row r="5425" spans="1:4">
      <c r="A5425">
        <v>1.152668</v>
      </c>
      <c r="B5425">
        <v>3.1606019999999999</v>
      </c>
      <c r="C5425">
        <f>LOG10(1.152668)</f>
        <v>6.1704236582880684E-2</v>
      </c>
      <c r="D5425">
        <f>LOG10(3.160602)</f>
        <v>0.49976981058605507</v>
      </c>
    </row>
    <row r="5426" spans="1:4">
      <c r="A5426">
        <v>1.1329</v>
      </c>
      <c r="B5426">
        <v>3.430847</v>
      </c>
      <c r="C5426">
        <f>LOG10(1.1329)</f>
        <v>5.4191576796431794E-2</v>
      </c>
      <c r="D5426">
        <f>LOG10(3.430847)</f>
        <v>0.53540135095115271</v>
      </c>
    </row>
    <row r="5427" spans="1:4">
      <c r="A5427">
        <v>1.1589959999999999</v>
      </c>
      <c r="B5427">
        <v>3.2744469999999999</v>
      </c>
      <c r="C5427">
        <f>LOG10(1.158996)</f>
        <v>6.4081937101710423E-2</v>
      </c>
      <c r="D5427">
        <f>LOG10(3.274447)</f>
        <v>0.51513796535763745</v>
      </c>
    </row>
    <row r="5428" spans="1:4">
      <c r="A5428">
        <v>1.143335</v>
      </c>
      <c r="B5428">
        <v>3.2864990000000001</v>
      </c>
      <c r="C5428">
        <f>LOG10(1.143335)</f>
        <v>5.8173498404981761E-2</v>
      </c>
      <c r="D5428">
        <f>LOG10(3.286499)</f>
        <v>0.51673350447138489</v>
      </c>
    </row>
    <row r="5429" spans="1:4">
      <c r="A5429">
        <v>1.080918</v>
      </c>
      <c r="B5429">
        <v>3.3808560000000001</v>
      </c>
      <c r="C5429">
        <f>LOG10(1.080918)</f>
        <v>3.3792748996532958E-2</v>
      </c>
      <c r="D5429">
        <f>LOG10(3.380856)</f>
        <v>0.52902667335754161</v>
      </c>
    </row>
    <row r="5430" spans="1:4">
      <c r="A5430">
        <v>1.1234230000000001</v>
      </c>
      <c r="B5430">
        <v>3.1599900000000001</v>
      </c>
      <c r="C5430">
        <f>LOG10(1.123423)</f>
        <v>5.054331100427898E-2</v>
      </c>
      <c r="D5430">
        <f>LOG10(3.15999)</f>
        <v>0.49968570826660297</v>
      </c>
    </row>
    <row r="5431" spans="1:4">
      <c r="A5431">
        <v>1.1196360000000001</v>
      </c>
      <c r="B5431">
        <v>3.273584</v>
      </c>
      <c r="C5431">
        <f>LOG10(1.119636)</f>
        <v>4.9076854022415045E-2</v>
      </c>
      <c r="D5431">
        <f>LOG10(3.273584)</f>
        <v>0.51502348937545206</v>
      </c>
    </row>
    <row r="5432" spans="1:4">
      <c r="A5432">
        <v>1.154199</v>
      </c>
      <c r="B5432">
        <v>3.4330479999999999</v>
      </c>
      <c r="C5432">
        <f>LOG10(1.154199)</f>
        <v>6.2280693699320377E-2</v>
      </c>
      <c r="D5432">
        <f>LOG10(3.433048)</f>
        <v>0.53567987566268516</v>
      </c>
    </row>
    <row r="5433" spans="1:4">
      <c r="A5433">
        <v>1.1190070000000001</v>
      </c>
      <c r="B5433">
        <v>3.2739579999999999</v>
      </c>
      <c r="C5433">
        <f>LOG10(1.119007)</f>
        <v>4.883280328604863E-2</v>
      </c>
      <c r="D5433">
        <f>LOG10(3.273958)</f>
        <v>0.51507310376094473</v>
      </c>
    </row>
    <row r="5434" spans="1:4">
      <c r="A5434">
        <v>1.131977</v>
      </c>
      <c r="B5434">
        <v>3.4377450000000001</v>
      </c>
      <c r="C5434">
        <f>LOG10(1.131977)</f>
        <v>5.3837602758117296E-2</v>
      </c>
      <c r="D5434">
        <f>LOG10(3.437745)</f>
        <v>0.53627365908747127</v>
      </c>
    </row>
    <row r="5435" spans="1:4">
      <c r="A5435">
        <v>1.1607730000000001</v>
      </c>
      <c r="B5435">
        <v>3.5078330000000002</v>
      </c>
      <c r="C5435">
        <f>LOG10(1.160773)</f>
        <v>6.4747297700367579E-2</v>
      </c>
      <c r="D5435">
        <f>LOG10(3.507833)</f>
        <v>0.54503890940754973</v>
      </c>
    </row>
    <row r="5436" spans="1:4">
      <c r="A5436">
        <v>1.059933</v>
      </c>
      <c r="B5436">
        <v>3.32342</v>
      </c>
      <c r="C5436">
        <f>LOG10(1.059933)</f>
        <v>2.5278413708237839E-2</v>
      </c>
      <c r="D5436">
        <f>LOG10(3.32342)</f>
        <v>0.5215852290777494</v>
      </c>
    </row>
    <row r="5437" spans="1:4">
      <c r="A5437">
        <v>1.1638980000000001</v>
      </c>
      <c r="B5437">
        <v>3.4419110000000002</v>
      </c>
      <c r="C5437">
        <f>LOG10(1.163898)</f>
        <v>6.5914921913387839E-2</v>
      </c>
      <c r="D5437">
        <f>LOG10(3.441911)</f>
        <v>0.53679963626794636</v>
      </c>
    </row>
    <row r="5438" spans="1:4">
      <c r="A5438">
        <v>1.14486</v>
      </c>
      <c r="B5438">
        <v>3.6020099999999999</v>
      </c>
      <c r="C5438">
        <f>LOG10(1.14486)</f>
        <v>5.8752381920557373E-2</v>
      </c>
      <c r="D5438">
        <f>LOG10(3.60201)</f>
        <v>0.55654491418556629</v>
      </c>
    </row>
    <row r="5439" spans="1:4">
      <c r="A5439">
        <v>1.1136699999999999</v>
      </c>
      <c r="B5439">
        <v>3.383807</v>
      </c>
      <c r="C5439">
        <f>LOG10(1.11367)</f>
        <v>4.6756520810213704E-2</v>
      </c>
      <c r="D5439">
        <f>LOG10(3.383807)</f>
        <v>0.529405584501347</v>
      </c>
    </row>
    <row r="5440" spans="1:4">
      <c r="A5440">
        <v>1.0788519999999999</v>
      </c>
      <c r="B5440">
        <v>3.5961690000000002</v>
      </c>
      <c r="C5440">
        <f>LOG10(1.078852)</f>
        <v>3.2961871011108805E-2</v>
      </c>
      <c r="D5440">
        <f>LOG10(3.596169)</f>
        <v>0.55584009297298698</v>
      </c>
    </row>
    <row r="5441" spans="1:4">
      <c r="A5441">
        <v>1.0889580000000001</v>
      </c>
      <c r="B5441">
        <v>3.384595</v>
      </c>
      <c r="C5441">
        <f>LOG10(1.088958)</f>
        <v>3.7011129783330897E-2</v>
      </c>
      <c r="D5441">
        <f>LOG10(3.384595)</f>
        <v>0.52950670853425341</v>
      </c>
    </row>
    <row r="5442" spans="1:4">
      <c r="A5442">
        <v>1.103618</v>
      </c>
      <c r="B5442">
        <v>3.1219640000000002</v>
      </c>
      <c r="C5442">
        <f>LOG10(1.103618)</f>
        <v>4.2818775204143011E-2</v>
      </c>
      <c r="D5442">
        <f>LOG10(3.121964)</f>
        <v>0.49442789081752908</v>
      </c>
    </row>
    <row r="5443" spans="1:4">
      <c r="A5443">
        <v>1.194299</v>
      </c>
      <c r="B5443">
        <v>3.2662559999999998</v>
      </c>
      <c r="C5443">
        <f>LOG10(1.194299)</f>
        <v>7.7113068664252951E-2</v>
      </c>
      <c r="D5443">
        <f>LOG10(3.266256)</f>
        <v>0.51405022052014993</v>
      </c>
    </row>
    <row r="5444" spans="1:4">
      <c r="A5444">
        <v>1.1767609999999999</v>
      </c>
      <c r="B5444">
        <v>3.2349929999999998</v>
      </c>
      <c r="C5444">
        <f>LOG10(1.176761)</f>
        <v>7.0688266648891884E-2</v>
      </c>
      <c r="D5444">
        <f>LOG10(3.234993)</f>
        <v>0.50987334526293793</v>
      </c>
    </row>
    <row r="5445" spans="1:4">
      <c r="A5445">
        <v>1.1130199999999999</v>
      </c>
      <c r="B5445">
        <v>3.3319290000000001</v>
      </c>
      <c r="C5445">
        <f>LOG10(1.11302)</f>
        <v>4.6502968298408776E-2</v>
      </c>
      <c r="D5445">
        <f>LOG10(3.331929)</f>
        <v>0.522695738462018</v>
      </c>
    </row>
    <row r="5446" spans="1:4">
      <c r="A5446">
        <v>1.1233519999999999</v>
      </c>
      <c r="B5446">
        <v>3.284027</v>
      </c>
      <c r="C5446">
        <f>LOG10(1.123352)</f>
        <v>5.0515862854619613E-2</v>
      </c>
      <c r="D5446">
        <f>LOG10(3.284027)</f>
        <v>0.51640671906336177</v>
      </c>
    </row>
    <row r="5447" spans="1:4">
      <c r="A5447">
        <v>1.1674990000000001</v>
      </c>
      <c r="B5447">
        <v>3.3963380000000001</v>
      </c>
      <c r="C5447">
        <f>LOG10(1.167499)</f>
        <v>6.7256517251282219E-2</v>
      </c>
      <c r="D5447">
        <f>LOG10(3.396338)</f>
        <v>0.53101090425459208</v>
      </c>
    </row>
    <row r="5448" spans="1:4">
      <c r="A5448">
        <v>1.122493</v>
      </c>
      <c r="B5448">
        <v>3.2032600000000002</v>
      </c>
      <c r="C5448">
        <f>LOG10(1.122493)</f>
        <v>5.0183641371706077E-2</v>
      </c>
      <c r="D5448">
        <f>LOG10(3.20326)</f>
        <v>0.5055921906096863</v>
      </c>
    </row>
    <row r="5449" spans="1:4">
      <c r="A5449">
        <v>1.119945</v>
      </c>
      <c r="B5449">
        <v>2.953608</v>
      </c>
      <c r="C5449">
        <f>LOG10(1.119945)</f>
        <v>4.9196695185346501E-2</v>
      </c>
      <c r="D5449">
        <f>LOG10(2.953608)</f>
        <v>0.47035285565647283</v>
      </c>
    </row>
    <row r="5450" spans="1:4">
      <c r="A5450">
        <v>1.0358799999999999</v>
      </c>
      <c r="B5450">
        <v>3.6263990000000002</v>
      </c>
      <c r="C5450">
        <f>LOG10(1.03588)</f>
        <v>1.5309448115464867E-2</v>
      </c>
      <c r="D5450">
        <f>LOG10(3.626399)</f>
        <v>0.55947558629149241</v>
      </c>
    </row>
    <row r="5451" spans="1:4">
      <c r="A5451">
        <v>1.0300320000000001</v>
      </c>
      <c r="B5451">
        <v>3.631316</v>
      </c>
      <c r="C5451">
        <f>LOG10(1.030032)</f>
        <v>1.2850717139680064E-2</v>
      </c>
      <c r="D5451">
        <f>LOG10(3.631316)</f>
        <v>0.56006404320781644</v>
      </c>
    </row>
    <row r="5452" spans="1:4">
      <c r="A5452">
        <v>1.0140990000000001</v>
      </c>
      <c r="B5452">
        <v>3.5848810000000002</v>
      </c>
      <c r="C5452">
        <f>LOG10(1.014099)</f>
        <v>6.0803544598114654E-3</v>
      </c>
      <c r="D5452">
        <f>LOG10(3.584881)</f>
        <v>0.55447474385288109</v>
      </c>
    </row>
    <row r="5453" spans="1:4">
      <c r="A5453">
        <v>1.034592</v>
      </c>
      <c r="B5453">
        <v>3.6910180000000001</v>
      </c>
      <c r="C5453">
        <f>LOG10(1.034592)</f>
        <v>1.4769115896678717E-2</v>
      </c>
      <c r="D5453">
        <f>LOG10(3.691018)</f>
        <v>0.56714616312619437</v>
      </c>
    </row>
    <row r="5454" spans="1:4">
      <c r="A5454">
        <v>1.064492</v>
      </c>
      <c r="B5454">
        <v>3.8380610000000002</v>
      </c>
      <c r="C5454">
        <f>LOG10(1.064492)</f>
        <v>2.714240192379121E-2</v>
      </c>
      <c r="D5454">
        <f>LOG10(3.838061)</f>
        <v>0.58411187288847588</v>
      </c>
    </row>
    <row r="5455" spans="1:4">
      <c r="A5455">
        <v>1.032238</v>
      </c>
      <c r="B5455">
        <v>3.5531100000000002</v>
      </c>
      <c r="C5455">
        <f>LOG10(1.032238)</f>
        <v>1.3779842804598444E-2</v>
      </c>
      <c r="D5455">
        <f>LOG10(3.55311)</f>
        <v>0.55060865293078975</v>
      </c>
    </row>
    <row r="5456" spans="1:4">
      <c r="A5456">
        <v>1.012785</v>
      </c>
      <c r="B5456">
        <v>3.3826239999999999</v>
      </c>
      <c r="C5456">
        <f>LOG10(1.012785)</f>
        <v>5.5172605391273812E-3</v>
      </c>
      <c r="D5456">
        <f>LOG10(3.382624)</f>
        <v>0.52925372589898301</v>
      </c>
    </row>
    <row r="5457" spans="1:4">
      <c r="A5457">
        <v>1.0185519999999999</v>
      </c>
      <c r="B5457">
        <v>3.1722410000000001</v>
      </c>
      <c r="C5457">
        <f>LOG10(1.018552)</f>
        <v>7.9832058806872681E-3</v>
      </c>
      <c r="D5457">
        <f>LOG10(3.172241)</f>
        <v>0.5013661739148787</v>
      </c>
    </row>
    <row r="5458" spans="1:4">
      <c r="A5458">
        <v>1.042775</v>
      </c>
      <c r="B5458">
        <v>3.3300839999999998</v>
      </c>
      <c r="C5458">
        <f>LOG10(1.042775)</f>
        <v>1.8190610631891216E-2</v>
      </c>
      <c r="D5458">
        <f>LOG10(3.330084)</f>
        <v>0.52245518854426887</v>
      </c>
    </row>
    <row r="5459" spans="1:4">
      <c r="A5459">
        <v>1.0275030000000001</v>
      </c>
      <c r="B5459">
        <v>3.711856</v>
      </c>
      <c r="C5459">
        <f>LOG10(1.027503)</f>
        <v>1.1783098559341577E-2</v>
      </c>
      <c r="D5459">
        <f>LOG10(3.711856)</f>
        <v>0.56959111958926656</v>
      </c>
    </row>
    <row r="5460" spans="1:4">
      <c r="A5460">
        <v>1.0309360000000001</v>
      </c>
      <c r="B5460">
        <v>3.7007379999999999</v>
      </c>
      <c r="C5460">
        <f>LOG10(1.030936)</f>
        <v>1.323170533243106E-2</v>
      </c>
      <c r="D5460">
        <f>LOG10(3.700738)</f>
        <v>0.56828833957174785</v>
      </c>
    </row>
    <row r="5461" spans="1:4">
      <c r="A5461">
        <v>1.031558</v>
      </c>
      <c r="B5461">
        <v>3.5877940000000001</v>
      </c>
      <c r="C5461">
        <f>LOG10(1.031558)</f>
        <v>1.3493651477179232E-2</v>
      </c>
      <c r="D5461">
        <f>LOG10(3.587794)</f>
        <v>0.55482749924618646</v>
      </c>
    </row>
    <row r="5462" spans="1:4">
      <c r="A5462">
        <v>1.0331509999999999</v>
      </c>
      <c r="B5462">
        <v>3.6841900000000001</v>
      </c>
      <c r="C5462">
        <f>LOG10(1.033151)</f>
        <v>1.4163800391091361E-2</v>
      </c>
      <c r="D5462">
        <f>LOG10(3.68419)</f>
        <v>0.56634201941400253</v>
      </c>
    </row>
    <row r="5463" spans="1:4">
      <c r="A5463">
        <v>1.020149</v>
      </c>
      <c r="B5463">
        <v>3.8242050000000001</v>
      </c>
      <c r="C5463">
        <f>LOG10(1.020149)</f>
        <v>8.6636081853539142E-3</v>
      </c>
      <c r="D5463">
        <f>LOG10(3.824205)</f>
        <v>0.58254116498023156</v>
      </c>
    </row>
    <row r="5464" spans="1:4">
      <c r="A5464">
        <v>1.0254779999999999</v>
      </c>
      <c r="B5464">
        <v>3.8791760000000002</v>
      </c>
      <c r="C5464">
        <f>LOG10(1.025478)</f>
        <v>1.0926347706735886E-2</v>
      </c>
      <c r="D5464">
        <f>LOG10(3.879176)</f>
        <v>0.58873948418753375</v>
      </c>
    </row>
    <row r="5465" spans="1:4">
      <c r="A5465">
        <v>1.0203150000000001</v>
      </c>
      <c r="B5465">
        <v>4.45296</v>
      </c>
      <c r="C5465">
        <f>LOG10(1.020315)</f>
        <v>8.7342714111251461E-3</v>
      </c>
      <c r="D5465">
        <f>LOG10(4.45296)</f>
        <v>0.64864879397306008</v>
      </c>
    </row>
    <row r="5466" spans="1:4">
      <c r="A5466">
        <v>1.0430569999999999</v>
      </c>
      <c r="B5466">
        <v>4.0725369999999996</v>
      </c>
      <c r="C5466">
        <f>LOG10(1.043057)</f>
        <v>1.830804199227198E-2</v>
      </c>
      <c r="D5466">
        <f>LOG10(4.072537)</f>
        <v>0.60986503867062314</v>
      </c>
    </row>
    <row r="5467" spans="1:4">
      <c r="A5467">
        <v>1.0200899999999999</v>
      </c>
      <c r="B5467">
        <v>3.7710080000000001</v>
      </c>
      <c r="C5467">
        <f>LOG10(1.02009)</f>
        <v>8.6384901727686748E-3</v>
      </c>
      <c r="D5467">
        <f>LOG10(3.771008)</f>
        <v>0.5764574537400593</v>
      </c>
    </row>
    <row r="5468" spans="1:4">
      <c r="A5468">
        <v>1.0238799999999999</v>
      </c>
      <c r="B5468">
        <v>4.5226199999999999</v>
      </c>
      <c r="C5468">
        <f>LOG10(1.02388)</f>
        <v>1.0249059772917329E-2</v>
      </c>
      <c r="D5468">
        <f>LOG10(4.52262)</f>
        <v>0.65539009894731326</v>
      </c>
    </row>
    <row r="5469" spans="1:4">
      <c r="A5469">
        <v>1.0288250000000001</v>
      </c>
      <c r="B5469">
        <v>3.6534089999999999</v>
      </c>
      <c r="C5469">
        <f>LOG10(1.028825)</f>
        <v>1.2341508875376217E-2</v>
      </c>
      <c r="D5469">
        <f>LOG10(3.653409)</f>
        <v>0.56269829430336649</v>
      </c>
    </row>
    <row r="5470" spans="1:4">
      <c r="A5470">
        <v>1.0329870000000001</v>
      </c>
      <c r="B5470">
        <v>3.654582</v>
      </c>
      <c r="C5470">
        <f>LOG10(1.032987)</f>
        <v>1.4094856017403214E-2</v>
      </c>
      <c r="D5470">
        <f>LOG10(3.654582)</f>
        <v>0.56283771084934953</v>
      </c>
    </row>
    <row r="5471" spans="1:4">
      <c r="A5471">
        <v>1.022543</v>
      </c>
      <c r="B5471">
        <v>3.842794</v>
      </c>
      <c r="C5471">
        <f>LOG10(1.022543)</f>
        <v>9.6815800241839799E-3</v>
      </c>
      <c r="D5471">
        <f>LOG10(3.842794)</f>
        <v>0.58464710393840869</v>
      </c>
    </row>
    <row r="5472" spans="1:4">
      <c r="A5472">
        <v>1.0317160000000001</v>
      </c>
      <c r="B5472">
        <v>3.7483230000000001</v>
      </c>
      <c r="C5472">
        <f>LOG10(1.031716)</f>
        <v>1.3560165695140479E-2</v>
      </c>
      <c r="D5472">
        <f>LOG10(3.748323)</f>
        <v>0.57383700779565272</v>
      </c>
    </row>
    <row r="5473" spans="1:4">
      <c r="A5473">
        <v>1.029976</v>
      </c>
      <c r="B5473">
        <v>3.788389</v>
      </c>
      <c r="C5473">
        <f>LOG10(1.029976)</f>
        <v>1.2827105104200012E-2</v>
      </c>
      <c r="D5473">
        <f>LOG10(3.788389)</f>
        <v>0.57845456692035202</v>
      </c>
    </row>
    <row r="5474" spans="1:4">
      <c r="A5474">
        <v>1.0334209999999999</v>
      </c>
      <c r="B5474">
        <v>3.6969699999999999</v>
      </c>
      <c r="C5474">
        <f>LOG10(1.033421)</f>
        <v>1.427728253522287E-2</v>
      </c>
      <c r="D5474">
        <f>LOG10(3.69697)</f>
        <v>0.56784592639476761</v>
      </c>
    </row>
    <row r="5475" spans="1:4">
      <c r="A5475">
        <v>1.02071</v>
      </c>
      <c r="B5475">
        <v>4.0578940000000001</v>
      </c>
      <c r="C5475">
        <f>LOG10(1.02071)</f>
        <v>8.9023696191269548E-3</v>
      </c>
      <c r="D5475">
        <f>LOG10(4.057894)</f>
        <v>0.60830069823790367</v>
      </c>
    </row>
    <row r="5476" spans="1:4">
      <c r="A5476">
        <v>1.02921</v>
      </c>
      <c r="B5476">
        <v>4.3049220000000004</v>
      </c>
      <c r="C5476">
        <f>LOG10(1.02921)</f>
        <v>1.2503997246548876E-2</v>
      </c>
      <c r="D5476">
        <f>LOG10(4.304922)</f>
        <v>0.6339652869681931</v>
      </c>
    </row>
    <row r="5477" spans="1:4">
      <c r="A5477">
        <v>1.028764</v>
      </c>
      <c r="B5477">
        <v>3.7922310000000001</v>
      </c>
      <c r="C5477">
        <f>LOG10(1.028764)</f>
        <v>1.2315758384482362E-2</v>
      </c>
      <c r="D5477">
        <f>LOG10(3.792231)</f>
        <v>0.57889478409054052</v>
      </c>
    </row>
    <row r="5478" spans="1:4">
      <c r="A5478">
        <v>1.0304120000000001</v>
      </c>
      <c r="B5478">
        <v>3.7584330000000001</v>
      </c>
      <c r="C5478">
        <f>LOG10(1.030412)</f>
        <v>1.3010907763637168E-2</v>
      </c>
      <c r="D5478">
        <f>LOG10(3.758433)</f>
        <v>0.57500681266655118</v>
      </c>
    </row>
    <row r="5479" spans="1:4">
      <c r="A5479">
        <v>1.0243819999999999</v>
      </c>
      <c r="B5479">
        <v>3.7804530000000001</v>
      </c>
      <c r="C5479">
        <f>LOG10(1.024382)</f>
        <v>1.0461938627556651E-2</v>
      </c>
      <c r="D5479">
        <f>LOG10(3.780453)</f>
        <v>0.57754384312101736</v>
      </c>
    </row>
    <row r="5480" spans="1:4">
      <c r="A5480">
        <v>1.032832</v>
      </c>
      <c r="B5480">
        <v>3.756291</v>
      </c>
      <c r="C5480">
        <f>LOG10(1.032832)</f>
        <v>1.4029685114413765E-2</v>
      </c>
      <c r="D5480">
        <f>LOG10(3.756291)</f>
        <v>0.57475922970663662</v>
      </c>
    </row>
    <row r="5481" spans="1:4">
      <c r="A5481">
        <v>1.024713</v>
      </c>
      <c r="B5481">
        <v>3.653149</v>
      </c>
      <c r="C5481">
        <f>LOG10(1.024713)</f>
        <v>1.0602245909317952E-2</v>
      </c>
      <c r="D5481">
        <f>LOG10(3.653149)</f>
        <v>0.56266738602470989</v>
      </c>
    </row>
    <row r="5482" spans="1:4">
      <c r="A5482">
        <v>1.0195510000000001</v>
      </c>
      <c r="B5482">
        <v>3.7955839999999998</v>
      </c>
      <c r="C5482">
        <f>LOG10(1.019551)</f>
        <v>8.4089549445644472E-3</v>
      </c>
      <c r="D5482">
        <f>LOG10(3.795584)</f>
        <v>0.57927860723135371</v>
      </c>
    </row>
    <row r="5483" spans="1:4">
      <c r="A5483">
        <v>1.028753</v>
      </c>
      <c r="B5483">
        <v>3.9017909999999998</v>
      </c>
      <c r="C5483">
        <f>LOG10(1.028753)</f>
        <v>1.2311114690844862E-2</v>
      </c>
      <c r="D5483">
        <f>LOG10(3.901791)</f>
        <v>0.59126400263470047</v>
      </c>
    </row>
    <row r="5484" spans="1:4">
      <c r="A5484">
        <v>1.0315019999999999</v>
      </c>
      <c r="B5484">
        <v>3.7006260000000002</v>
      </c>
      <c r="C5484">
        <f>LOG10(1.031502)</f>
        <v>1.3470074372303388E-2</v>
      </c>
      <c r="D5484">
        <f>LOG10(3.700626)</f>
        <v>0.5682751957831228</v>
      </c>
    </row>
    <row r="5485" spans="1:4">
      <c r="A5485">
        <v>1.023957</v>
      </c>
      <c r="B5485">
        <v>3.6272449999999998</v>
      </c>
      <c r="C5485">
        <f>LOG10(1.023957)</f>
        <v>1.0281719281581695E-2</v>
      </c>
      <c r="D5485">
        <f>LOG10(3.627245)</f>
        <v>0.55957689072092287</v>
      </c>
    </row>
    <row r="5486" spans="1:4">
      <c r="A5486">
        <v>1.0215829999999999</v>
      </c>
      <c r="B5486">
        <v>3.7315179999999999</v>
      </c>
      <c r="C5486">
        <f>LOG10(1.021583)</f>
        <v>9.2736572901848616E-3</v>
      </c>
      <c r="D5486">
        <f>LOG10(3.731518)</f>
        <v>0.57188554089995414</v>
      </c>
    </row>
    <row r="5487" spans="1:4">
      <c r="A5487">
        <v>1.018875</v>
      </c>
      <c r="B5487">
        <v>3.8372959999999998</v>
      </c>
      <c r="C5487">
        <f>LOG10(1.018875)</f>
        <v>8.1209061456096118E-3</v>
      </c>
      <c r="D5487">
        <f>LOG10(3.837296)</f>
        <v>0.58402530094667404</v>
      </c>
    </row>
    <row r="5488" spans="1:4">
      <c r="A5488">
        <v>1.015212</v>
      </c>
      <c r="B5488">
        <v>3.9090419999999999</v>
      </c>
      <c r="C5488">
        <f>LOG10(1.015212)</f>
        <v>6.5567425608229644E-3</v>
      </c>
      <c r="D5488">
        <f>LOG10(3.909042)</f>
        <v>0.59207033665640918</v>
      </c>
    </row>
    <row r="5489" spans="1:4">
      <c r="A5489">
        <v>1.0173380000000001</v>
      </c>
      <c r="B5489">
        <v>3.9249100000000001</v>
      </c>
      <c r="C5489">
        <f>LOG10(1.017338)</f>
        <v>7.4652667351337455E-3</v>
      </c>
      <c r="D5489">
        <f>LOG10(3.92491)</f>
        <v>0.59382970262228951</v>
      </c>
    </row>
    <row r="5490" spans="1:4">
      <c r="A5490">
        <v>1.0239739999999999</v>
      </c>
      <c r="B5490">
        <v>3.706518</v>
      </c>
      <c r="C5490">
        <f>LOG10(1.023974)</f>
        <v>1.0288929491488666E-2</v>
      </c>
      <c r="D5490">
        <f>LOG10(3.706518)</f>
        <v>0.56896611353146698</v>
      </c>
    </row>
    <row r="5491" spans="1:4">
      <c r="A5491">
        <v>1.015943</v>
      </c>
      <c r="B5491">
        <v>3.6398670000000002</v>
      </c>
      <c r="C5491">
        <f>LOG10(1.015943)</f>
        <v>6.8693423180821323E-3</v>
      </c>
      <c r="D5491">
        <f>LOG10(3.639867)</f>
        <v>0.56108551490692116</v>
      </c>
    </row>
    <row r="5492" spans="1:4">
      <c r="A5492">
        <v>1.017712</v>
      </c>
      <c r="B5492">
        <v>3.7558259999999999</v>
      </c>
      <c r="C5492">
        <f>LOG10(1.017712)</f>
        <v>7.6248953811723181E-3</v>
      </c>
      <c r="D5492">
        <f>LOG10(3.755826)</f>
        <v>0.57470546405459921</v>
      </c>
    </row>
    <row r="5493" spans="1:4">
      <c r="A5493">
        <v>1.0174700000000001</v>
      </c>
      <c r="B5493">
        <v>3.758114</v>
      </c>
      <c r="C5493">
        <f>LOG10(1.01747)</f>
        <v>7.5216129571769588E-3</v>
      </c>
      <c r="D5493">
        <f>LOG10(3.758114)</f>
        <v>0.57496995001144902</v>
      </c>
    </row>
    <row r="5494" spans="1:4">
      <c r="A5494">
        <v>1.0328569999999999</v>
      </c>
      <c r="B5494">
        <v>3.5750929999999999</v>
      </c>
      <c r="C5494">
        <f>LOG10(1.032857)</f>
        <v>1.4040197211876729E-2</v>
      </c>
      <c r="D5494">
        <f>LOG10(3.575093)</f>
        <v>0.55328734372073063</v>
      </c>
    </row>
    <row r="5495" spans="1:4">
      <c r="A5495">
        <v>1.0152099999999999</v>
      </c>
      <c r="B5495">
        <v>3.8660260000000002</v>
      </c>
      <c r="C5495">
        <f>LOG10(1.01521)</f>
        <v>6.5558869860076483E-3</v>
      </c>
      <c r="D5495">
        <f>LOG10(3.866026)</f>
        <v>0.58726477044229097</v>
      </c>
    </row>
    <row r="5496" spans="1:4">
      <c r="A5496">
        <v>1.021747</v>
      </c>
      <c r="B5496">
        <v>3.8734090000000001</v>
      </c>
      <c r="C5496">
        <f>LOG10(1.021747)</f>
        <v>9.3433712328031323E-3</v>
      </c>
      <c r="D5496">
        <f>LOG10(3.873409)</f>
        <v>0.58809335731782186</v>
      </c>
    </row>
    <row r="5497" spans="1:4">
      <c r="A5497">
        <v>1.018289</v>
      </c>
      <c r="B5497">
        <v>3.6070869999999999</v>
      </c>
      <c r="C5497">
        <f>LOG10(1.018289)</f>
        <v>7.8710523553259058E-3</v>
      </c>
      <c r="D5497">
        <f>LOG10(3.607087)</f>
        <v>0.55715661727380161</v>
      </c>
    </row>
    <row r="5498" spans="1:4">
      <c r="A5498">
        <v>1.017493</v>
      </c>
      <c r="B5498">
        <v>3.6157159999999999</v>
      </c>
      <c r="C5498">
        <f>LOG10(1.017493)</f>
        <v>7.5314301116747549E-3</v>
      </c>
      <c r="D5498">
        <f>LOG10(3.615716)</f>
        <v>0.55819431105203954</v>
      </c>
    </row>
    <row r="5499" spans="1:4">
      <c r="A5499">
        <v>1.017102</v>
      </c>
      <c r="B5499">
        <v>3.804373</v>
      </c>
      <c r="C5499">
        <f>LOG10(1.017102)</f>
        <v>7.3645082972452272E-3</v>
      </c>
      <c r="D5499">
        <f>LOG10(3.804373)</f>
        <v>0.5802830907838411</v>
      </c>
    </row>
    <row r="5500" spans="1:4">
      <c r="A5500">
        <v>1.02868</v>
      </c>
      <c r="B5500">
        <v>3.846266</v>
      </c>
      <c r="C5500">
        <f>LOG10(1.02868)</f>
        <v>1.2280296193044703E-2</v>
      </c>
      <c r="D5500">
        <f>LOG10(3.846266)</f>
        <v>0.58503931587163638</v>
      </c>
    </row>
    <row r="5501" spans="1:4">
      <c r="A5501">
        <v>1.0172019999999999</v>
      </c>
      <c r="B5501">
        <v>3.80315</v>
      </c>
      <c r="C5501">
        <f>LOG10(1.017202)</f>
        <v>7.4072054046837423E-3</v>
      </c>
      <c r="D5501">
        <f>LOG10(3.80315)</f>
        <v>0.58014345475357387</v>
      </c>
    </row>
    <row r="5502" spans="1:4">
      <c r="A5502">
        <v>1.017366</v>
      </c>
      <c r="B5502">
        <v>3.558738</v>
      </c>
      <c r="C5502">
        <f>LOG10(1.017366)</f>
        <v>7.4772195749512544E-3</v>
      </c>
      <c r="D5502">
        <f>LOG10(3.558738)</f>
        <v>0.55129601572436326</v>
      </c>
    </row>
    <row r="5503" spans="1:4">
      <c r="A5503">
        <v>1.0141439999999999</v>
      </c>
      <c r="B5503">
        <v>3.3621400000000001</v>
      </c>
      <c r="C5503">
        <f>LOG10(1.014144)</f>
        <v>6.0996255744548179E-3</v>
      </c>
      <c r="D5503">
        <f>LOG10(3.36214)</f>
        <v>0.52661579356554711</v>
      </c>
    </row>
    <row r="5504" spans="1:4">
      <c r="A5504">
        <v>1.021701</v>
      </c>
      <c r="B5504">
        <v>3.6421420000000002</v>
      </c>
      <c r="C5504">
        <f>LOG10(1.021701)</f>
        <v>9.3238184512584865E-3</v>
      </c>
      <c r="D5504">
        <f>LOG10(3.642142)</f>
        <v>0.5613568740822461</v>
      </c>
    </row>
    <row r="5505" spans="1:4">
      <c r="A5505">
        <v>1.021657</v>
      </c>
      <c r="B5505">
        <v>3.5352670000000002</v>
      </c>
      <c r="C5505">
        <f>LOG10(1.021657)</f>
        <v>9.3051149668894554E-3</v>
      </c>
      <c r="D5505">
        <f>LOG10(3.535267)</f>
        <v>0.54842221933454849</v>
      </c>
    </row>
    <row r="5506" spans="1:4">
      <c r="A5506">
        <v>1.0176909999999999</v>
      </c>
      <c r="B5506">
        <v>3.4642089999999999</v>
      </c>
      <c r="C5506">
        <f>LOG10(1.017691)</f>
        <v>7.6159338299509509E-3</v>
      </c>
      <c r="D5506">
        <f>LOG10(3.464209)</f>
        <v>0.53960408565726159</v>
      </c>
    </row>
    <row r="5507" spans="1:4">
      <c r="A5507">
        <v>1.0180720000000001</v>
      </c>
      <c r="B5507">
        <v>3.5670130000000002</v>
      </c>
      <c r="C5507">
        <f>LOG10(1.018072)</f>
        <v>7.7784932236889398E-3</v>
      </c>
      <c r="D5507">
        <f>LOG10(3.567013)</f>
        <v>0.55230469213004918</v>
      </c>
    </row>
    <row r="5508" spans="1:4">
      <c r="A5508">
        <v>1.018613</v>
      </c>
      <c r="B5508">
        <v>3.5556760000000001</v>
      </c>
      <c r="C5508">
        <f>LOG10(1.018613)</f>
        <v>8.0092145382128551E-3</v>
      </c>
      <c r="D5508">
        <f>LOG10(3.555676)</f>
        <v>0.55092218035698137</v>
      </c>
    </row>
    <row r="5509" spans="1:4">
      <c r="A5509">
        <v>1.016529</v>
      </c>
      <c r="B5509">
        <v>3.437046</v>
      </c>
      <c r="C5509">
        <f>LOG10(1.016529)</f>
        <v>7.1197729005917122E-3</v>
      </c>
      <c r="D5509">
        <f>LOG10(3.437046)</f>
        <v>0.53618534459357714</v>
      </c>
    </row>
    <row r="5510" spans="1:4">
      <c r="A5510">
        <v>1.028262</v>
      </c>
      <c r="B5510">
        <v>3.3159610000000002</v>
      </c>
      <c r="C5510">
        <f>LOG10(1.028262)</f>
        <v>1.21037865044541E-2</v>
      </c>
      <c r="D5510">
        <f>LOG10(3.315961)</f>
        <v>0.52060941404216921</v>
      </c>
    </row>
    <row r="5511" spans="1:4">
      <c r="A5511">
        <v>1.0184869999999999</v>
      </c>
      <c r="B5511">
        <v>3.5061770000000001</v>
      </c>
      <c r="C5511">
        <f>LOG10(1.018487)</f>
        <v>7.9554900231771433E-3</v>
      </c>
      <c r="D5511">
        <f>LOG10(3.506177)</f>
        <v>0.54483383651047801</v>
      </c>
    </row>
    <row r="5512" spans="1:4">
      <c r="A5512">
        <v>1.014454</v>
      </c>
      <c r="B5512">
        <v>3.4015089999999999</v>
      </c>
      <c r="C5512">
        <f>LOG10(1.014454)</f>
        <v>6.2323589109147867E-3</v>
      </c>
      <c r="D5512">
        <f>LOG10(3.401509)</f>
        <v>0.53167162439115223</v>
      </c>
    </row>
    <row r="5513" spans="1:4">
      <c r="A5513">
        <v>1.0244</v>
      </c>
      <c r="B5513">
        <v>3.6497030000000001</v>
      </c>
      <c r="C5513">
        <f>LOG10(1.0244)</f>
        <v>1.0469569796392077E-2</v>
      </c>
      <c r="D5513">
        <f>LOG10(3.649703)</f>
        <v>0.56225752453615296</v>
      </c>
    </row>
    <row r="5514" spans="1:4">
      <c r="A5514">
        <v>1.043275</v>
      </c>
      <c r="B5514">
        <v>3.4056329999999999</v>
      </c>
      <c r="C5514">
        <f>LOG10(1.043275)</f>
        <v>1.8398800507598873E-2</v>
      </c>
      <c r="D5514">
        <f>LOG10(3.405633)</f>
        <v>0.53219784542855464</v>
      </c>
    </row>
    <row r="5515" spans="1:4">
      <c r="A5515">
        <v>1.0302</v>
      </c>
      <c r="B5515">
        <v>3.5032459999999999</v>
      </c>
      <c r="C5515">
        <f>LOG10(1.0302)</f>
        <v>1.2921545544560138E-2</v>
      </c>
      <c r="D5515">
        <f>LOG10(3.503246)</f>
        <v>0.54447063480310531</v>
      </c>
    </row>
    <row r="5516" spans="1:4">
      <c r="A5516">
        <v>1.0196620000000001</v>
      </c>
      <c r="B5516">
        <v>3.4355929999999999</v>
      </c>
      <c r="C5516">
        <f>LOG10(1.019662)</f>
        <v>8.4562346427017772E-3</v>
      </c>
      <c r="D5516">
        <f>LOG10(3.435593)</f>
        <v>0.53600170919773948</v>
      </c>
    </row>
    <row r="5517" spans="1:4">
      <c r="A5517">
        <v>1.0168010000000001</v>
      </c>
      <c r="B5517">
        <v>3.3393470000000001</v>
      </c>
      <c r="C5517">
        <f>LOG10(1.016801)</f>
        <v>7.2359646646263983E-3</v>
      </c>
      <c r="D5517">
        <f>LOG10(3.339347)</f>
        <v>0.52366155003823733</v>
      </c>
    </row>
    <row r="5518" spans="1:4">
      <c r="A5518">
        <v>1.0198659999999999</v>
      </c>
      <c r="B5518">
        <v>3.3287610000000001</v>
      </c>
      <c r="C5518">
        <f>LOG10(1.019866)</f>
        <v>8.5431136407872789E-3</v>
      </c>
      <c r="D5518">
        <f>LOG10(3.328761)</f>
        <v>0.52228261458974123</v>
      </c>
    </row>
    <row r="5519" spans="1:4">
      <c r="A5519">
        <v>1.021739</v>
      </c>
      <c r="B5519">
        <v>3.3205640000000001</v>
      </c>
      <c r="C5519">
        <f>LOG10(1.021739)</f>
        <v>9.3399708122910777E-3</v>
      </c>
      <c r="D5519">
        <f>LOG10(3.320564)</f>
        <v>0.52121185517536983</v>
      </c>
    </row>
    <row r="5520" spans="1:4">
      <c r="A5520">
        <v>1.0177510000000001</v>
      </c>
      <c r="B5520">
        <v>3.4484949999999999</v>
      </c>
      <c r="C5520">
        <f>LOG10(1.017751)</f>
        <v>7.6415377714258896E-3</v>
      </c>
      <c r="D5520">
        <f>LOG10(3.448495)</f>
        <v>0.53762960063843457</v>
      </c>
    </row>
    <row r="5521" spans="1:4">
      <c r="A5521">
        <v>1.0428029999999999</v>
      </c>
      <c r="B5521">
        <v>3.3031069999999998</v>
      </c>
      <c r="C5521">
        <f>LOG10(1.042803)</f>
        <v>1.8202271903245235E-2</v>
      </c>
      <c r="D5521">
        <f>LOG10(3.303107)</f>
        <v>0.51892264234321406</v>
      </c>
    </row>
    <row r="5522" spans="1:4">
      <c r="A5522">
        <v>1.0710219999999999</v>
      </c>
      <c r="B5522">
        <v>3.2795990000000002</v>
      </c>
      <c r="C5522">
        <f>LOG10(1.071022)</f>
        <v>2.9798391822024897E-2</v>
      </c>
      <c r="D5522">
        <f>LOG10(3.279599)</f>
        <v>0.51582074531726196</v>
      </c>
    </row>
    <row r="5523" spans="1:4">
      <c r="A5523">
        <v>1.050502</v>
      </c>
      <c r="B5523">
        <v>3.3294760000000001</v>
      </c>
      <c r="C5523">
        <f>LOG10(1.050502)</f>
        <v>2.1396883575038488E-2</v>
      </c>
      <c r="D5523">
        <f>LOG10(3.329476)</f>
        <v>0.52237588869691232</v>
      </c>
    </row>
    <row r="5524" spans="1:4">
      <c r="A5524">
        <v>1.025846</v>
      </c>
      <c r="B5524">
        <v>3.50339</v>
      </c>
      <c r="C5524">
        <f>LOG10(1.025846)</f>
        <v>1.1082169381961215E-2</v>
      </c>
      <c r="D5524">
        <f>LOG10(3.50339)</f>
        <v>0.54448848599600386</v>
      </c>
    </row>
    <row r="5525" spans="1:4">
      <c r="A5525">
        <v>1.039261</v>
      </c>
      <c r="B5525">
        <v>3.10623</v>
      </c>
      <c r="C5525">
        <f>LOG10(1.039261)</f>
        <v>1.6724629968263086E-2</v>
      </c>
      <c r="D5525">
        <f>LOG10(3.10623)</f>
        <v>0.4922336098061475</v>
      </c>
    </row>
    <row r="5526" spans="1:4">
      <c r="A5526">
        <v>1.032335</v>
      </c>
      <c r="B5526">
        <v>3.320713</v>
      </c>
      <c r="C5526">
        <f>LOG10(1.032335)</f>
        <v>1.3820651790064803E-2</v>
      </c>
      <c r="D5526">
        <f>LOG10(3.320713)</f>
        <v>0.52123134235466217</v>
      </c>
    </row>
    <row r="5527" spans="1:4">
      <c r="A5527">
        <v>1.0093810000000001</v>
      </c>
      <c r="B5527">
        <v>3.3538510000000001</v>
      </c>
      <c r="C5527">
        <f>LOG10(1.009381)</f>
        <v>4.0551255682463681E-3</v>
      </c>
      <c r="D5527">
        <f>LOG10(3.353851)</f>
        <v>0.52554376449690043</v>
      </c>
    </row>
    <row r="5528" spans="1:4">
      <c r="A5528">
        <v>1.009371</v>
      </c>
      <c r="B5528">
        <v>3.2264170000000001</v>
      </c>
      <c r="C5528">
        <f>LOG10(1.009371)</f>
        <v>4.050822964638697E-3</v>
      </c>
      <c r="D5528">
        <f>LOG10(3.226417)</f>
        <v>0.50872049730440405</v>
      </c>
    </row>
    <row r="5529" spans="1:4">
      <c r="A5529">
        <v>1.0234479999999999</v>
      </c>
      <c r="B5529">
        <v>3.4657239999999998</v>
      </c>
      <c r="C5529">
        <f>LOG10(1.023448)</f>
        <v>1.006578164751031E-2</v>
      </c>
      <c r="D5529">
        <f>LOG10(3.465724)</f>
        <v>0.53979397382806071</v>
      </c>
    </row>
    <row r="5530" spans="1:4">
      <c r="A5530">
        <v>1.0184150000000001</v>
      </c>
      <c r="B5530">
        <v>3.368601</v>
      </c>
      <c r="C5530">
        <f>LOG10(1.018415)</f>
        <v>7.9247873161151523E-3</v>
      </c>
      <c r="D5530">
        <f>LOG10(3.368601)</f>
        <v>0.5274495732368899</v>
      </c>
    </row>
    <row r="5531" spans="1:4">
      <c r="A5531">
        <v>1.0187600000000001</v>
      </c>
      <c r="B5531">
        <v>3.3098459999999998</v>
      </c>
      <c r="C5531">
        <f>LOG10(1.01876)</f>
        <v>8.0718847404297415E-3</v>
      </c>
      <c r="D5531">
        <f>LOG10(3.309846)</f>
        <v>0.51980778745967293</v>
      </c>
    </row>
    <row r="5532" spans="1:4">
      <c r="A5532">
        <v>1.0220990000000001</v>
      </c>
      <c r="B5532">
        <v>3.134404</v>
      </c>
      <c r="C5532">
        <f>LOG10(1.022099)</f>
        <v>9.4929633832307615E-3</v>
      </c>
      <c r="D5532">
        <f>LOG10(3.134404)</f>
        <v>0.49615497288012106</v>
      </c>
    </row>
    <row r="5533" spans="1:4">
      <c r="A5533">
        <v>1.0233319999999999</v>
      </c>
      <c r="B5533">
        <v>3.0661580000000002</v>
      </c>
      <c r="C5533">
        <f>LOG10(1.023332)</f>
        <v>1.0016554901152892E-2</v>
      </c>
      <c r="D5533">
        <f>LOG10(3.066158)</f>
        <v>0.48659453041403289</v>
      </c>
    </row>
    <row r="5534" spans="1:4">
      <c r="A5534">
        <v>1.0187710000000001</v>
      </c>
      <c r="B5534">
        <v>3.1429399999999998</v>
      </c>
      <c r="C5534">
        <f>LOG10(1.018771)</f>
        <v>8.076573983735463E-3</v>
      </c>
      <c r="D5534">
        <f>LOG10(3.14294)</f>
        <v>0.49733609023882136</v>
      </c>
    </row>
    <row r="5535" spans="1:4">
      <c r="A5535">
        <v>1.013064</v>
      </c>
      <c r="B5535">
        <v>3.2323270000000002</v>
      </c>
      <c r="C5535">
        <f>LOG10(1.013064)</f>
        <v>5.6368826444442429E-3</v>
      </c>
      <c r="D5535">
        <f>LOG10(3.232327)</f>
        <v>0.50951528994656647</v>
      </c>
    </row>
    <row r="5536" spans="1:4">
      <c r="A5536">
        <v>1.0135749999999999</v>
      </c>
      <c r="B5536">
        <v>3.2731219999999999</v>
      </c>
      <c r="C5536">
        <f>LOG10(1.013575)</f>
        <v>5.8558900601265711E-3</v>
      </c>
      <c r="D5536">
        <f>LOG10(3.273122)</f>
        <v>0.51496219319047831</v>
      </c>
    </row>
    <row r="5537" spans="1:4">
      <c r="A5537">
        <v>1.0228090000000001</v>
      </c>
      <c r="B5537">
        <v>3.3650669999999998</v>
      </c>
      <c r="C5537">
        <f>LOG10(1.022809)</f>
        <v>9.7945408571727226E-3</v>
      </c>
      <c r="D5537">
        <f>LOG10(3.365067)</f>
        <v>0.52699371564487263</v>
      </c>
    </row>
    <row r="5538" spans="1:4">
      <c r="A5538">
        <v>1.0165789999999999</v>
      </c>
      <c r="B5538">
        <v>3.2052260000000001</v>
      </c>
      <c r="C5538">
        <f>LOG10(1.016579)</f>
        <v>7.1411340128390592E-3</v>
      </c>
      <c r="D5538">
        <f>LOG10(3.205226)</f>
        <v>0.50585865697263299</v>
      </c>
    </row>
    <row r="5539" spans="1:4">
      <c r="A5539">
        <v>1.013196</v>
      </c>
      <c r="B5539">
        <v>3.1036269999999999</v>
      </c>
      <c r="C5539">
        <f>LOG10(1.013196)</f>
        <v>5.6934665692044747E-3</v>
      </c>
      <c r="D5539">
        <f>LOG10(3.103627)</f>
        <v>0.49186952135689532</v>
      </c>
    </row>
    <row r="5540" spans="1:4">
      <c r="A5540">
        <v>1.0310969999999999</v>
      </c>
      <c r="B5540">
        <v>3.2541869999999999</v>
      </c>
      <c r="C5540">
        <f>LOG10(1.031097)</f>
        <v>1.3299523269126009E-2</v>
      </c>
      <c r="D5540">
        <f>LOG10(3.254187)</f>
        <v>0.51244250580263462</v>
      </c>
    </row>
    <row r="5541" spans="1:4">
      <c r="A5541">
        <v>1.0227949999999999</v>
      </c>
      <c r="B5541">
        <v>3.1787260000000002</v>
      </c>
      <c r="C5541">
        <f>LOG10(1.022795)</f>
        <v>9.7885962826149697E-3</v>
      </c>
      <c r="D5541">
        <f>LOG10(3.178726)</f>
        <v>0.50225309418827535</v>
      </c>
    </row>
    <row r="5542" spans="1:4">
      <c r="A5542">
        <v>1.0237259999999999</v>
      </c>
      <c r="B5542">
        <v>2.969697</v>
      </c>
      <c r="C5542">
        <f>LOG10(1.023726)</f>
        <v>1.0183733386552764E-2</v>
      </c>
      <c r="D5542">
        <f>LOG10(2.969697)</f>
        <v>0.47271214024618369</v>
      </c>
    </row>
    <row r="5543" spans="1:4">
      <c r="A5543">
        <v>1.028402</v>
      </c>
      <c r="B5543">
        <v>3.2905669999999998</v>
      </c>
      <c r="C5543">
        <f>LOG10(1.028402)</f>
        <v>1.2162912572261365E-2</v>
      </c>
      <c r="D5543">
        <f>LOG10(3.290567)</f>
        <v>0.51727073799699408</v>
      </c>
    </row>
    <row r="5544" spans="1:4">
      <c r="A5544">
        <v>1.010524</v>
      </c>
      <c r="B5544">
        <v>3.20539</v>
      </c>
      <c r="C5544">
        <f>LOG10(1.010524)</f>
        <v>4.5466324913925405E-3</v>
      </c>
      <c r="D5544">
        <f>LOG10(3.20539)</f>
        <v>0.5058808777061935</v>
      </c>
    </row>
    <row r="5545" spans="1:4">
      <c r="A5545">
        <v>1.020573</v>
      </c>
      <c r="B5545">
        <v>3.3246920000000002</v>
      </c>
      <c r="C5545">
        <f>LOG10(1.020573)</f>
        <v>8.844074572227429E-3</v>
      </c>
      <c r="D5545">
        <f>LOG10(3.324692)</f>
        <v>0.52175141839216588</v>
      </c>
    </row>
    <row r="5546" spans="1:4">
      <c r="A5546">
        <v>1.0304469999999999</v>
      </c>
      <c r="B5546">
        <v>3.2741220000000002</v>
      </c>
      <c r="C5546">
        <f>LOG10(1.030447)</f>
        <v>1.3025659191918271E-2</v>
      </c>
      <c r="D5546">
        <f>LOG10(3.274122)</f>
        <v>0.51509485801411425</v>
      </c>
    </row>
    <row r="5547" spans="1:4">
      <c r="A5547">
        <v>1.0334650000000001</v>
      </c>
      <c r="B5547">
        <v>3.073331</v>
      </c>
      <c r="C5547">
        <f>LOG10(1.033465)</f>
        <v>1.4295773112068132E-2</v>
      </c>
      <c r="D5547">
        <f>LOG10(3.073331)</f>
        <v>0.48760933660918088</v>
      </c>
    </row>
    <row r="5548" spans="1:4">
      <c r="A5548">
        <v>1.0193730000000001</v>
      </c>
      <c r="B5548">
        <v>3.2558889999999998</v>
      </c>
      <c r="C5548">
        <f>LOG10(1.019373)</f>
        <v>8.3331263035997284E-3</v>
      </c>
      <c r="D5548">
        <f>LOG10(3.255889)</f>
        <v>0.51266959047109029</v>
      </c>
    </row>
    <row r="5549" spans="1:4">
      <c r="A5549">
        <v>1.0161100000000001</v>
      </c>
      <c r="B5549">
        <v>3.1969940000000001</v>
      </c>
      <c r="C5549">
        <f>LOG10(1.01611)</f>
        <v>6.940725474565884E-3</v>
      </c>
      <c r="D5549">
        <f>LOG10(3.196994)</f>
        <v>0.50474182120464495</v>
      </c>
    </row>
    <row r="5550" spans="1:4">
      <c r="A5550">
        <v>1.0209159999999999</v>
      </c>
      <c r="B5550">
        <v>3.1611880000000001</v>
      </c>
      <c r="C5550">
        <f>LOG10(1.020916)</f>
        <v>8.9900102188995353E-3</v>
      </c>
      <c r="D5550">
        <f>LOG10(3.161188)</f>
        <v>0.49985032467055468</v>
      </c>
    </row>
    <row r="5551" spans="1:4">
      <c r="A5551">
        <v>1.020421</v>
      </c>
      <c r="B5551">
        <v>3.059078</v>
      </c>
      <c r="C5551">
        <f>LOG10(1.020421)</f>
        <v>8.7793876977228427E-3</v>
      </c>
      <c r="D5551">
        <f>LOG10(3.059078)</f>
        <v>0.48559055071390878</v>
      </c>
    </row>
    <row r="5552" spans="1:4">
      <c r="A5552">
        <v>1.0183329999999999</v>
      </c>
      <c r="B5552">
        <v>3.0844019999999999</v>
      </c>
      <c r="C5552">
        <f>LOG10(1.018333)</f>
        <v>7.8898177003007587E-3</v>
      </c>
      <c r="D5552">
        <f>LOG10(3.084402)</f>
        <v>0.48917097605986276</v>
      </c>
    </row>
    <row r="5553" spans="1:4">
      <c r="A5553">
        <v>1.022311</v>
      </c>
      <c r="B5553">
        <v>3.0252430000000001</v>
      </c>
      <c r="C5553">
        <f>LOG10(1.022311)</f>
        <v>9.5830338001172497E-3</v>
      </c>
      <c r="D5553">
        <f>LOG10(3.025243)</f>
        <v>0.48076026471428723</v>
      </c>
    </row>
    <row r="5554" spans="1:4">
      <c r="A5554">
        <v>1.025771</v>
      </c>
      <c r="B5554">
        <v>2.9870800000000002</v>
      </c>
      <c r="C5554">
        <f>LOG10(1.025771)</f>
        <v>1.1050416782760416E-2</v>
      </c>
      <c r="D5554">
        <f>LOG10(2.98708)</f>
        <v>0.4752468540381079</v>
      </c>
    </row>
    <row r="5555" spans="1:4">
      <c r="A5555">
        <v>1.0218929999999999</v>
      </c>
      <c r="B5555">
        <v>3.3027489999999999</v>
      </c>
      <c r="C5555">
        <f>LOG10(1.021893)</f>
        <v>9.4054242308514568E-3</v>
      </c>
      <c r="D5555">
        <f>LOG10(3.302749)</f>
        <v>0.51887556973833937</v>
      </c>
    </row>
    <row r="5556" spans="1:4">
      <c r="A5556">
        <v>1.016284</v>
      </c>
      <c r="B5556">
        <v>3.17177</v>
      </c>
      <c r="C5556">
        <f>LOG10(1.016284)</f>
        <v>7.0150882605569346E-3</v>
      </c>
      <c r="D5556">
        <f>LOG10(3.17177)</f>
        <v>0.50130168704644407</v>
      </c>
    </row>
    <row r="5557" spans="1:4">
      <c r="A5557">
        <v>1.025074</v>
      </c>
      <c r="B5557">
        <v>3.588222</v>
      </c>
      <c r="C5557">
        <f>LOG10(1.025074)</f>
        <v>1.0755218203110466E-2</v>
      </c>
      <c r="D5557">
        <f>LOG10(3.588222)</f>
        <v>0.55487930460405488</v>
      </c>
    </row>
    <row r="5558" spans="1:4">
      <c r="A5558">
        <v>1.031371</v>
      </c>
      <c r="B5558">
        <v>3.45885</v>
      </c>
      <c r="C5558">
        <f>LOG10(1.031371)</f>
        <v>1.341491578793513E-2</v>
      </c>
      <c r="D5558">
        <f>LOG10(3.45885)</f>
        <v>0.53893172836740588</v>
      </c>
    </row>
    <row r="5559" spans="1:4">
      <c r="A5559">
        <v>1.03078</v>
      </c>
      <c r="B5559">
        <v>3.3570389999999999</v>
      </c>
      <c r="C5559">
        <f>LOG10(1.03078)</f>
        <v>1.3165983439302986E-2</v>
      </c>
      <c r="D5559">
        <f>LOG10(3.357039)</f>
        <v>0.52595638664164046</v>
      </c>
    </row>
    <row r="5560" spans="1:4">
      <c r="A5560">
        <v>1.0311920000000001</v>
      </c>
      <c r="B5560">
        <v>3.3848410000000002</v>
      </c>
      <c r="C5560">
        <f>LOG10(1.031192)</f>
        <v>1.3339535096576059E-2</v>
      </c>
      <c r="D5560">
        <f>LOG10(3.384841)</f>
        <v>0.52953827288986455</v>
      </c>
    </row>
    <row r="5561" spans="1:4">
      <c r="A5561">
        <v>1.0242180000000001</v>
      </c>
      <c r="B5561">
        <v>3.480934</v>
      </c>
      <c r="C5561">
        <f>LOG10(1.024218)</f>
        <v>1.0392404023256922E-2</v>
      </c>
      <c r="D5561">
        <f>LOG10(3.480934)</f>
        <v>0.54169578895290671</v>
      </c>
    </row>
    <row r="5562" spans="1:4">
      <c r="A5562">
        <v>1.0224120000000001</v>
      </c>
      <c r="B5562">
        <v>3.25176</v>
      </c>
      <c r="C5562">
        <f>LOG10(1.022412)</f>
        <v>9.6259381374851558E-3</v>
      </c>
      <c r="D5562">
        <f>LOG10(3.25176)</f>
        <v>0.51211848448599229</v>
      </c>
    </row>
    <row r="5563" spans="1:4">
      <c r="A5563">
        <v>1.009601</v>
      </c>
      <c r="B5563">
        <v>3.2028650000000001</v>
      </c>
      <c r="C5563">
        <f>LOG10(1.009601)</f>
        <v>4.1497720647449181E-3</v>
      </c>
      <c r="D5563">
        <f>LOG10(3.202865)</f>
        <v>0.5055386336402018</v>
      </c>
    </row>
    <row r="5564" spans="1:4">
      <c r="A5564">
        <v>1.0132300000000001</v>
      </c>
      <c r="B5564">
        <v>3.3705720000000001</v>
      </c>
      <c r="C5564">
        <f>LOG10(1.01323)</f>
        <v>5.7080400225515355E-3</v>
      </c>
      <c r="D5564">
        <f>LOG10(3.370572)</f>
        <v>0.5277036086944269</v>
      </c>
    </row>
    <row r="5565" spans="1:4">
      <c r="A5565">
        <v>1.026375</v>
      </c>
      <c r="B5565">
        <v>3.669899</v>
      </c>
      <c r="C5565">
        <f>LOG10(1.026375)</f>
        <v>1.1306065137842505E-2</v>
      </c>
      <c r="D5565">
        <f>LOG10(3.669899)</f>
        <v>0.5646541121141444</v>
      </c>
    </row>
    <row r="5566" spans="1:4">
      <c r="A5566">
        <v>1.0311600000000001</v>
      </c>
      <c r="B5566">
        <v>3.5429590000000002</v>
      </c>
      <c r="C5566">
        <f>LOG10(1.03116)</f>
        <v>1.3326057840101865E-2</v>
      </c>
      <c r="D5566">
        <f>LOG10(3.542959)</f>
        <v>0.54936612659883188</v>
      </c>
    </row>
    <row r="5567" spans="1:4">
      <c r="A5567">
        <v>1.028222</v>
      </c>
      <c r="B5567">
        <v>3.5932569999999999</v>
      </c>
      <c r="C5567">
        <f>LOG10(1.028222)</f>
        <v>1.2086891863622138E-2</v>
      </c>
      <c r="D5567">
        <f>LOG10(3.593257)</f>
        <v>0.5554882802968536</v>
      </c>
    </row>
    <row r="5568" spans="1:4">
      <c r="A5568">
        <v>1.0239849999999999</v>
      </c>
      <c r="B5568">
        <v>3.809723</v>
      </c>
      <c r="C5568">
        <f>LOG10(1.023985)</f>
        <v>1.0293594857641968E-2</v>
      </c>
      <c r="D5568">
        <f>LOG10(3.809723)</f>
        <v>0.58089339983709076</v>
      </c>
    </row>
    <row r="5569" spans="1:4">
      <c r="A5569">
        <v>1.032978</v>
      </c>
      <c r="B5569">
        <v>3.5558480000000001</v>
      </c>
      <c r="C5569">
        <f>LOG10(1.032978)</f>
        <v>1.4091072167882803E-2</v>
      </c>
      <c r="D5569">
        <f>LOG10(3.555848)</f>
        <v>0.55094318813278353</v>
      </c>
    </row>
    <row r="5570" spans="1:4">
      <c r="A5570">
        <v>1.032573</v>
      </c>
      <c r="B5570">
        <v>3.5790289999999998</v>
      </c>
      <c r="C5570">
        <f>LOG10(1.032573)</f>
        <v>1.3920764809289552E-2</v>
      </c>
      <c r="D5570">
        <f>LOG10(3.579029)</f>
        <v>0.55376521738663742</v>
      </c>
    </row>
    <row r="5571" spans="1:4">
      <c r="A5571">
        <v>1.0170650000000001</v>
      </c>
      <c r="B5571">
        <v>3.667357</v>
      </c>
      <c r="C5571">
        <f>LOG10(1.017065)</f>
        <v>7.3487093035223671E-3</v>
      </c>
      <c r="D5571">
        <f>LOG10(3.667357)</f>
        <v>0.56435318854894034</v>
      </c>
    </row>
    <row r="5572" spans="1:4">
      <c r="A5572">
        <v>1.035971</v>
      </c>
      <c r="B5572">
        <v>3.699309</v>
      </c>
      <c r="C5572">
        <f>LOG10(1.035971)</f>
        <v>1.5347598347193537E-2</v>
      </c>
      <c r="D5572">
        <f>LOG10(3.699309)</f>
        <v>0.56812060906345407</v>
      </c>
    </row>
    <row r="5573" spans="1:4">
      <c r="A5573">
        <v>1.0294920000000001</v>
      </c>
      <c r="B5573">
        <v>3.7164440000000001</v>
      </c>
      <c r="C5573">
        <f>LOG10(1.029492)</f>
        <v>1.2622976141661192E-2</v>
      </c>
      <c r="D5573">
        <f>LOG10(3.716444)</f>
        <v>0.57012759316635464</v>
      </c>
    </row>
    <row r="5574" spans="1:4">
      <c r="A5574">
        <v>1.015614</v>
      </c>
      <c r="B5574">
        <v>3.6322519999999998</v>
      </c>
      <c r="C5574">
        <f>LOG10(1.015614)</f>
        <v>6.7286788901839562E-3</v>
      </c>
      <c r="D5574">
        <f>LOG10(3.632252)</f>
        <v>0.56017597157065724</v>
      </c>
    </row>
    <row r="5575" spans="1:4">
      <c r="A5575">
        <v>1.0220560000000001</v>
      </c>
      <c r="B5575">
        <v>3.503085</v>
      </c>
      <c r="C5575">
        <f>LOG10(1.022056)</f>
        <v>9.4746921046588318E-3</v>
      </c>
      <c r="D5575">
        <f>LOG10(3.503085)</f>
        <v>0.54445067530887115</v>
      </c>
    </row>
    <row r="5576" spans="1:4">
      <c r="A5576">
        <v>1.042923</v>
      </c>
      <c r="B5576">
        <v>3.5757249999999998</v>
      </c>
      <c r="C5576">
        <f>LOG10(1.042923)</f>
        <v>1.8252245234244558E-2</v>
      </c>
      <c r="D5576">
        <f>LOG10(3.575725)</f>
        <v>0.55336411091387627</v>
      </c>
    </row>
    <row r="5577" spans="1:4">
      <c r="A5577">
        <v>1.022883</v>
      </c>
      <c r="B5577">
        <v>3.5960809999999999</v>
      </c>
      <c r="C5577">
        <f>LOG10(1.022883)</f>
        <v>9.8259608281896869E-3</v>
      </c>
      <c r="D5577">
        <f>LOG10(3.596081)</f>
        <v>0.5558294654462993</v>
      </c>
    </row>
    <row r="5578" spans="1:4">
      <c r="A5578">
        <v>1.0244310000000001</v>
      </c>
      <c r="B5578">
        <v>3.665616</v>
      </c>
      <c r="C5578">
        <f>LOG10(1.024431)</f>
        <v>1.0482712050623956E-2</v>
      </c>
      <c r="D5578">
        <f>LOG10(3.665616)</f>
        <v>0.56414696749584203</v>
      </c>
    </row>
    <row r="5579" spans="1:4">
      <c r="A5579">
        <v>1.026424</v>
      </c>
      <c r="B5579">
        <v>3.9304399999999999</v>
      </c>
      <c r="C5579">
        <f>LOG10(1.026424)</f>
        <v>1.1326798224342729E-2</v>
      </c>
      <c r="D5579">
        <f>LOG10(3.93044)</f>
        <v>0.59444117095448767</v>
      </c>
    </row>
    <row r="5580" spans="1:4">
      <c r="A5580">
        <v>1.013056</v>
      </c>
      <c r="B5580">
        <v>3.7359589999999998</v>
      </c>
      <c r="C5580">
        <f>LOG10(1.013056)</f>
        <v>5.6334530787173886E-3</v>
      </c>
      <c r="D5580">
        <f>LOG10(3.735959)</f>
        <v>0.5724021014522036</v>
      </c>
    </row>
    <row r="5581" spans="1:4">
      <c r="A5581">
        <v>1.014796</v>
      </c>
      <c r="B5581">
        <v>3.7369089999999998</v>
      </c>
      <c r="C5581">
        <f>LOG10(1.014796)</f>
        <v>6.3787467036630578E-3</v>
      </c>
      <c r="D5581">
        <f>LOG10(3.736909)</f>
        <v>0.57251252217956849</v>
      </c>
    </row>
    <row r="5582" spans="1:4">
      <c r="A5582">
        <v>1.02867</v>
      </c>
      <c r="B5582">
        <v>3.9139200000000001</v>
      </c>
      <c r="C5582">
        <f>LOG10(1.02867)</f>
        <v>1.227607431070179E-2</v>
      </c>
      <c r="D5582">
        <f>LOG10(3.91392)</f>
        <v>0.59261194449172516</v>
      </c>
    </row>
    <row r="5583" spans="1:4">
      <c r="A5583">
        <v>1.0296149999999999</v>
      </c>
      <c r="B5583">
        <v>3.8355619999999999</v>
      </c>
      <c r="C5583">
        <f>LOG10(1.029615)</f>
        <v>1.2674860984301794E-2</v>
      </c>
      <c r="D5583">
        <f>LOG10(3.835562)</f>
        <v>0.58382900729848175</v>
      </c>
    </row>
    <row r="5584" spans="1:4">
      <c r="A5584">
        <v>1.0137640000000001</v>
      </c>
      <c r="B5584">
        <v>3.782915</v>
      </c>
      <c r="C5584">
        <f>LOG10(1.013764)</f>
        <v>5.9368648327892586E-3</v>
      </c>
      <c r="D5584">
        <f>LOG10(3.782915)</f>
        <v>0.57782658304646106</v>
      </c>
    </row>
    <row r="5585" spans="1:4">
      <c r="A5585">
        <v>1.0136210000000001</v>
      </c>
      <c r="B5585">
        <v>3.7478370000000001</v>
      </c>
      <c r="C5585">
        <f>LOG10(1.013621)</f>
        <v>5.8755995960284484E-3</v>
      </c>
      <c r="D5585">
        <f>LOG10(3.747837)</f>
        <v>0.57378069439825974</v>
      </c>
    </row>
    <row r="5586" spans="1:4">
      <c r="A5586">
        <v>1.0138100000000001</v>
      </c>
      <c r="B5586">
        <v>3.4634870000000002</v>
      </c>
      <c r="C5586">
        <f>LOG10(1.01381)</f>
        <v>5.9565706942482956E-3</v>
      </c>
      <c r="D5586">
        <f>LOG10(3.463487)</f>
        <v>0.53951356187646371</v>
      </c>
    </row>
    <row r="5587" spans="1:4">
      <c r="A5587">
        <v>1.0505930000000001</v>
      </c>
      <c r="B5587">
        <v>3.3023150000000001</v>
      </c>
      <c r="C5587">
        <f>LOG10(1.050593)</f>
        <v>2.1434502814414086E-2</v>
      </c>
      <c r="D5587">
        <f>LOG10(3.302315)</f>
        <v>0.51881849722385132</v>
      </c>
    </row>
    <row r="5588" spans="1:4">
      <c r="A5588">
        <v>1.0355350000000001</v>
      </c>
      <c r="B5588">
        <v>3.4448409999999998</v>
      </c>
      <c r="C5588">
        <f>LOG10(1.035535)</f>
        <v>1.5164782176826808E-2</v>
      </c>
      <c r="D5588">
        <f>LOG10(3.444841)</f>
        <v>0.53716918142036496</v>
      </c>
    </row>
    <row r="5589" spans="1:4">
      <c r="A5589">
        <v>1.026769</v>
      </c>
      <c r="B5589">
        <v>3.6529090000000002</v>
      </c>
      <c r="C5589">
        <f>LOG10(1.026769)</f>
        <v>1.147274806701877E-2</v>
      </c>
      <c r="D5589">
        <f>LOG10(3.652909)</f>
        <v>0.56263885335341313</v>
      </c>
    </row>
    <row r="5590" spans="1:4">
      <c r="A5590">
        <v>1.0220819999999999</v>
      </c>
      <c r="B5590">
        <v>3.5727380000000002</v>
      </c>
      <c r="C5590">
        <f>LOG10(1.022082)</f>
        <v>9.4857399463701367E-3</v>
      </c>
      <c r="D5590">
        <f>LOG10(3.572738)</f>
        <v>0.55300116920376474</v>
      </c>
    </row>
    <row r="5591" spans="1:4">
      <c r="A5591">
        <v>1.0213540000000001</v>
      </c>
      <c r="B5591">
        <v>3.8031190000000001</v>
      </c>
      <c r="C5591">
        <f>LOG10(1.021354)</f>
        <v>9.1762940951648428E-3</v>
      </c>
      <c r="D5591">
        <f>LOG10(3.803119)</f>
        <v>0.58013991474494697</v>
      </c>
    </row>
    <row r="5592" spans="1:4">
      <c r="A5592">
        <v>1.019984</v>
      </c>
      <c r="B5592">
        <v>3.5161289999999998</v>
      </c>
      <c r="C5592">
        <f>LOG10(1.019984)</f>
        <v>8.5933592460246972E-3</v>
      </c>
      <c r="D5592">
        <f>LOG10(3.516129)</f>
        <v>0.54606480012199787</v>
      </c>
    </row>
    <row r="5593" spans="1:4">
      <c r="A5593">
        <v>1.0219529999999999</v>
      </c>
      <c r="B5593">
        <v>3.5558700000000001</v>
      </c>
      <c r="C5593">
        <f>LOG10(1.021953)</f>
        <v>9.4309228926113525E-3</v>
      </c>
      <c r="D5593">
        <f>LOG10(3.55587)</f>
        <v>0.55094587510057447</v>
      </c>
    </row>
    <row r="5594" spans="1:4">
      <c r="A5594">
        <v>1.159624</v>
      </c>
      <c r="B5594">
        <v>3.5455030000000001</v>
      </c>
      <c r="C5594">
        <f>LOG10(1.159624)</f>
        <v>6.4317195092502027E-2</v>
      </c>
      <c r="D5594">
        <f>LOG10(3.545503)</f>
        <v>0.54967785718563555</v>
      </c>
    </row>
    <row r="5595" spans="1:4">
      <c r="A5595">
        <v>1.186739</v>
      </c>
      <c r="B5595">
        <v>3.7377799999999999</v>
      </c>
      <c r="C5595">
        <f>LOG10(1.186739)</f>
        <v>7.4355214890973825E-2</v>
      </c>
      <c r="D5595">
        <f>LOG10(3.73778)</f>
        <v>0.5726137358877107</v>
      </c>
    </row>
    <row r="5596" spans="1:4">
      <c r="A5596">
        <v>1.1216219999999999</v>
      </c>
      <c r="B5596">
        <v>3.5152739999999998</v>
      </c>
      <c r="C5596">
        <f>LOG10(1.121622)</f>
        <v>4.9846519154054809E-2</v>
      </c>
      <c r="D5596">
        <f>LOG10(3.515274)</f>
        <v>0.54595918200172877</v>
      </c>
    </row>
    <row r="5597" spans="1:4">
      <c r="A5597">
        <v>1.1236060000000001</v>
      </c>
      <c r="B5597">
        <v>3.5612059999999999</v>
      </c>
      <c r="C5597">
        <f>LOG10(1.123606)</f>
        <v>5.0614049646605382E-2</v>
      </c>
      <c r="D5597">
        <f>LOG10(3.561206)</f>
        <v>0.55159709641383659</v>
      </c>
    </row>
    <row r="5598" spans="1:4">
      <c r="A5598">
        <v>1.1468160000000001</v>
      </c>
      <c r="B5598">
        <v>3.4523100000000002</v>
      </c>
      <c r="C5598">
        <f>LOG10(1.146816)</f>
        <v>5.9493743450621618E-2</v>
      </c>
      <c r="D5598">
        <f>LOG10(3.45231)</f>
        <v>0.5381097862449693</v>
      </c>
    </row>
    <row r="5599" spans="1:4">
      <c r="A5599">
        <v>1.1400939999999999</v>
      </c>
      <c r="B5599">
        <v>3.2287129999999999</v>
      </c>
      <c r="C5599">
        <f>LOG10(1.140094)</f>
        <v>5.6940660106919783E-2</v>
      </c>
      <c r="D5599">
        <f>LOG10(3.228713)</f>
        <v>0.50902944233649483</v>
      </c>
    </row>
    <row r="5600" spans="1:4">
      <c r="A5600">
        <v>1.331437</v>
      </c>
      <c r="B5600">
        <v>5.5746120000000001</v>
      </c>
      <c r="C5600">
        <f>LOG10(1.331437)</f>
        <v>0.1243206216201246</v>
      </c>
      <c r="D5600">
        <f>LOG10(5.574612)</f>
        <v>0.74621464533042858</v>
      </c>
    </row>
    <row r="5601" spans="1:4">
      <c r="A5601">
        <v>1.126126</v>
      </c>
      <c r="B5601">
        <v>3.1582059999999998</v>
      </c>
      <c r="C5601">
        <f>LOG10(1.126126)</f>
        <v>5.1586985580414267E-2</v>
      </c>
      <c r="D5601">
        <f>LOG10(3.158206)</f>
        <v>0.49944045428071654</v>
      </c>
    </row>
    <row r="5602" spans="1:4">
      <c r="A5602">
        <v>1.183344</v>
      </c>
      <c r="B5602">
        <v>3.5952470000000001</v>
      </c>
      <c r="C5602">
        <f>LOG10(1.183344)</f>
        <v>7.3111013084948537E-2</v>
      </c>
      <c r="D5602">
        <f>LOG10(3.595247)</f>
        <v>0.55572873256371325</v>
      </c>
    </row>
    <row r="5603" spans="1:4">
      <c r="A5603">
        <v>1.1363859999999999</v>
      </c>
      <c r="B5603">
        <v>3.6990780000000001</v>
      </c>
      <c r="C5603">
        <f>LOG10(1.136386)</f>
        <v>5.5525874681134645E-2</v>
      </c>
      <c r="D5603">
        <f>LOG10(3.699078)</f>
        <v>0.56809348909112711</v>
      </c>
    </row>
    <row r="5604" spans="1:4">
      <c r="A5604">
        <v>1.1835359999999999</v>
      </c>
      <c r="B5604">
        <v>3.4731209999999999</v>
      </c>
      <c r="C5604">
        <f>LOG10(1.183536)</f>
        <v>7.3181472542722753E-2</v>
      </c>
      <c r="D5604">
        <f>LOG10(3.473121)</f>
        <v>0.54071991395196928</v>
      </c>
    </row>
    <row r="5605" spans="1:4">
      <c r="A5605">
        <v>1.1673519999999999</v>
      </c>
      <c r="B5605">
        <v>3.579888</v>
      </c>
      <c r="C5605">
        <f>LOG10(1.167352)</f>
        <v>6.7201831715524962E-2</v>
      </c>
      <c r="D5605">
        <f>LOG10(3.579888)</f>
        <v>0.55386943956486501</v>
      </c>
    </row>
    <row r="5606" spans="1:4">
      <c r="A5606">
        <v>1.133124</v>
      </c>
      <c r="B5606">
        <v>3.450342</v>
      </c>
      <c r="C5606">
        <f>LOG10(1.133124)</f>
        <v>5.4277438167947008E-2</v>
      </c>
      <c r="D5606">
        <f>LOG10(3.450342)</f>
        <v>0.53786214474035798</v>
      </c>
    </row>
    <row r="5607" spans="1:4">
      <c r="A5607">
        <v>1.1016950000000001</v>
      </c>
      <c r="B5607">
        <v>3.6941639999999998</v>
      </c>
      <c r="C5607">
        <f>LOG10(1.101695)</f>
        <v>4.2061378407977974E-2</v>
      </c>
      <c r="D5607">
        <f>LOG10(3.694164)</f>
        <v>0.56751617175230884</v>
      </c>
    </row>
    <row r="5608" spans="1:4">
      <c r="A5608">
        <v>1.06993</v>
      </c>
      <c r="B5608">
        <v>3.7196929999999999</v>
      </c>
      <c r="C5608">
        <f>LOG10(1.06993)</f>
        <v>2.9355364967275831E-2</v>
      </c>
      <c r="D5608">
        <f>LOG10(3.719693)</f>
        <v>0.57050709743355454</v>
      </c>
    </row>
    <row r="5609" spans="1:4">
      <c r="A5609">
        <v>1.1182970000000001</v>
      </c>
      <c r="B5609">
        <v>3.786651</v>
      </c>
      <c r="C5609">
        <f>LOG10(1.118297)</f>
        <v>4.8557159839737851E-2</v>
      </c>
      <c r="D5609">
        <f>LOG10(3.786651)</f>
        <v>0.57825527983466207</v>
      </c>
    </row>
    <row r="5610" spans="1:4">
      <c r="A5610">
        <v>1.1671339999999999</v>
      </c>
      <c r="B5610">
        <v>3.8178350000000001</v>
      </c>
      <c r="C5610">
        <f>LOG10(1.167134)</f>
        <v>6.7120720758054989E-2</v>
      </c>
      <c r="D5610">
        <f>LOG10(3.817835)</f>
        <v>0.58181715503251186</v>
      </c>
    </row>
    <row r="5611" spans="1:4">
      <c r="A5611">
        <v>1.12869</v>
      </c>
      <c r="B5611">
        <v>3.3864480000000001</v>
      </c>
      <c r="C5611">
        <f>LOG10(1.12869)</f>
        <v>5.2574677287009493E-2</v>
      </c>
      <c r="D5611">
        <f>LOG10(3.386448)</f>
        <v>0.52974441126190019</v>
      </c>
    </row>
    <row r="5612" spans="1:4">
      <c r="A5612">
        <v>1.099504</v>
      </c>
      <c r="B5612">
        <v>3.8131300000000001</v>
      </c>
      <c r="C5612">
        <f>LOG10(1.099504)</f>
        <v>4.1196813664765249E-2</v>
      </c>
      <c r="D5612">
        <f>LOG10(3.81313)</f>
        <v>0.58128161180926674</v>
      </c>
    </row>
    <row r="5613" spans="1:4">
      <c r="A5613">
        <v>1.097577</v>
      </c>
      <c r="B5613">
        <v>3.6899600000000001</v>
      </c>
      <c r="C5613">
        <f>LOG10(1.097577)</f>
        <v>4.0434997708757324E-2</v>
      </c>
      <c r="D5613">
        <f>LOG10(3.68996)</f>
        <v>0.56702165833428186</v>
      </c>
    </row>
    <row r="5614" spans="1:4">
      <c r="A5614">
        <v>1.1249480000000001</v>
      </c>
      <c r="B5614">
        <v>3.5030489999999999</v>
      </c>
      <c r="C5614">
        <f>LOG10(1.124948)</f>
        <v>5.1132447927380857E-2</v>
      </c>
      <c r="D5614">
        <f>LOG10(3.503049)</f>
        <v>0.54444621219088085</v>
      </c>
    </row>
    <row r="5615" spans="1:4">
      <c r="A5615">
        <v>1.1146469999999999</v>
      </c>
      <c r="B5615">
        <v>3.6420180000000002</v>
      </c>
      <c r="C5615">
        <f>LOG10(1.114647)</f>
        <v>4.7137351487364629E-2</v>
      </c>
      <c r="D5615">
        <f>LOG10(3.642018)</f>
        <v>0.56134208788431483</v>
      </c>
    </row>
    <row r="5616" spans="1:4">
      <c r="A5616">
        <v>1.0989640000000001</v>
      </c>
      <c r="B5616">
        <v>3.7355360000000002</v>
      </c>
      <c r="C5616">
        <f>LOG10(1.098964)</f>
        <v>4.0983465983612667E-2</v>
      </c>
      <c r="D5616">
        <f>LOG10(3.735536)</f>
        <v>0.57235292613560607</v>
      </c>
    </row>
    <row r="5617" spans="1:4">
      <c r="A5617">
        <v>1.13232</v>
      </c>
      <c r="B5617">
        <v>3.731449</v>
      </c>
      <c r="C5617">
        <f>LOG10(1.13232)</f>
        <v>5.3969178261182672E-2</v>
      </c>
      <c r="D5617">
        <f>LOG10(3.731449)</f>
        <v>0.57187751022817113</v>
      </c>
    </row>
    <row r="5618" spans="1:4">
      <c r="A5618">
        <v>1.1389020000000001</v>
      </c>
      <c r="B5618">
        <v>3.7935530000000002</v>
      </c>
      <c r="C5618">
        <f>LOG10(1.138902)</f>
        <v>5.6486355606485877E-2</v>
      </c>
      <c r="D5618">
        <f>LOG10(3.793553)</f>
        <v>0.57904615600170717</v>
      </c>
    </row>
    <row r="5619" spans="1:4">
      <c r="A5619">
        <v>1.1123099999999999</v>
      </c>
      <c r="B5619">
        <v>3.7001979999999999</v>
      </c>
      <c r="C5619">
        <f>LOG10(1.11231)</f>
        <v>4.6225841676636605E-2</v>
      </c>
      <c r="D5619">
        <f>LOG10(3.700198)</f>
        <v>0.56822496406879963</v>
      </c>
    </row>
    <row r="5620" spans="1:4">
      <c r="A5620">
        <v>1.136282</v>
      </c>
      <c r="B5620">
        <v>3.494828</v>
      </c>
      <c r="C5620">
        <f>LOG10(1.136282)</f>
        <v>5.5486127013503986E-2</v>
      </c>
      <c r="D5620">
        <f>LOG10(3.494828)</f>
        <v>0.54342580655122064</v>
      </c>
    </row>
    <row r="5621" spans="1:4">
      <c r="A5621">
        <v>1.1473629999999999</v>
      </c>
      <c r="B5621">
        <v>3.6229589999999998</v>
      </c>
      <c r="C5621">
        <f>LOG10(1.147363)</f>
        <v>5.9700840705110177E-2</v>
      </c>
      <c r="D5621">
        <f>LOG10(3.622959)</f>
        <v>0.5590634192748043</v>
      </c>
    </row>
    <row r="5622" spans="1:4">
      <c r="A5622">
        <v>1.120242</v>
      </c>
      <c r="B5622">
        <v>3.5792099999999998</v>
      </c>
      <c r="C5622">
        <f>LOG10(1.120242)</f>
        <v>4.9311851162843902E-2</v>
      </c>
      <c r="D5622">
        <f>LOG10(3.57921)</f>
        <v>0.55378718013508466</v>
      </c>
    </row>
    <row r="5623" spans="1:4">
      <c r="A5623">
        <v>1.1384320000000001</v>
      </c>
      <c r="B5623">
        <v>3.5149840000000001</v>
      </c>
      <c r="C5623">
        <f>LOG10(1.138432)</f>
        <v>5.6307094760784236E-2</v>
      </c>
      <c r="D5623">
        <f>LOG10(3.514984)</f>
        <v>0.54592335247745716</v>
      </c>
    </row>
    <row r="5624" spans="1:4">
      <c r="A5624">
        <v>1.127769</v>
      </c>
      <c r="B5624">
        <v>3.4505509999999999</v>
      </c>
      <c r="C5624">
        <f>LOG10(1.127769)</f>
        <v>5.2220152573691107E-2</v>
      </c>
      <c r="D5624">
        <f>LOG10(3.450551)</f>
        <v>0.53788845076966341</v>
      </c>
    </row>
    <row r="5625" spans="1:4">
      <c r="A5625">
        <v>1.072165</v>
      </c>
      <c r="B5625">
        <v>3.6472380000000002</v>
      </c>
      <c r="C5625">
        <f>LOG10(1.072165)</f>
        <v>3.0261625912077414E-2</v>
      </c>
      <c r="D5625">
        <f>LOG10(3.647238)</f>
        <v>0.56196410406348807</v>
      </c>
    </row>
    <row r="5626" spans="1:4">
      <c r="A5626">
        <v>1.065574</v>
      </c>
      <c r="B5626">
        <v>3.6532209999999998</v>
      </c>
      <c r="C5626">
        <f>LOG10(1.065574)</f>
        <v>2.7583615172428425E-2</v>
      </c>
      <c r="D5626">
        <f>LOG10(3.653221)</f>
        <v>0.56267594546057143</v>
      </c>
    </row>
    <row r="5627" spans="1:4">
      <c r="A5627">
        <v>1.1144480000000001</v>
      </c>
      <c r="B5627">
        <v>3.7037409999999999</v>
      </c>
      <c r="C5627">
        <f>LOG10(1.114448)</f>
        <v>4.7059809164468315E-2</v>
      </c>
      <c r="D5627">
        <f>LOG10(3.703741)</f>
        <v>0.56864060916442583</v>
      </c>
    </row>
    <row r="5628" spans="1:4">
      <c r="A5628">
        <v>1.124744</v>
      </c>
      <c r="B5628">
        <v>3.6179380000000001</v>
      </c>
      <c r="C5628">
        <f>LOG10(1.124744)</f>
        <v>5.1053685079354427E-2</v>
      </c>
      <c r="D5628">
        <f>LOG10(3.617938)</f>
        <v>0.55846112015547211</v>
      </c>
    </row>
    <row r="5629" spans="1:4">
      <c r="A5629">
        <v>1.1302080000000001</v>
      </c>
      <c r="B5629">
        <v>3.4324349999999999</v>
      </c>
      <c r="C5629">
        <f>LOG10(1.130208)</f>
        <v>5.3158377058109246E-2</v>
      </c>
      <c r="D5629">
        <f>LOG10(3.432435)</f>
        <v>0.53560232175479139</v>
      </c>
    </row>
    <row r="5630" spans="1:4">
      <c r="A5630">
        <v>1.1261300000000001</v>
      </c>
      <c r="B5630">
        <v>3.3991829999999998</v>
      </c>
      <c r="C5630">
        <f>LOG10(1.12613)</f>
        <v>5.158852819184713E-2</v>
      </c>
      <c r="D5630">
        <f>LOG10(3.399183)</f>
        <v>0.53137454609256229</v>
      </c>
    </row>
    <row r="5631" spans="1:4">
      <c r="A5631">
        <v>1.124088</v>
      </c>
      <c r="B5631">
        <v>3.665651</v>
      </c>
      <c r="C5631">
        <f>LOG10(1.124088)</f>
        <v>5.0800311605293719E-2</v>
      </c>
      <c r="D5631">
        <f>LOG10(3.665651)</f>
        <v>0.5641511142025073</v>
      </c>
    </row>
    <row r="5632" spans="1:4">
      <c r="A5632">
        <v>1.1623479999999999</v>
      </c>
      <c r="B5632">
        <v>3.5803600000000002</v>
      </c>
      <c r="C5632">
        <f>LOG10(1.162348)</f>
        <v>6.5336172678293863E-2</v>
      </c>
      <c r="D5632">
        <f>LOG10(3.58036)</f>
        <v>0.55392669651902504</v>
      </c>
    </row>
    <row r="5633" spans="1:4">
      <c r="A5633">
        <v>1.1274690000000001</v>
      </c>
      <c r="B5633">
        <v>3.4872869999999998</v>
      </c>
      <c r="C5633">
        <f>LOG10(1.127469)</f>
        <v>5.2104609694988764E-2</v>
      </c>
      <c r="D5633">
        <f>LOG10(3.487287)</f>
        <v>0.54248769081939274</v>
      </c>
    </row>
    <row r="5634" spans="1:4">
      <c r="A5634">
        <v>1.120968</v>
      </c>
      <c r="B5634">
        <v>3.3427090000000002</v>
      </c>
      <c r="C5634">
        <f>LOG10(1.120968)</f>
        <v>4.959321507331195E-2</v>
      </c>
      <c r="D5634">
        <f>LOG10(3.342709)</f>
        <v>0.5240985706712179</v>
      </c>
    </row>
    <row r="5635" spans="1:4">
      <c r="A5635">
        <v>1.1145039999999999</v>
      </c>
      <c r="B5635">
        <v>3.2616299999999998</v>
      </c>
      <c r="C5635">
        <f>LOG10(1.114504)</f>
        <v>4.708163151954068E-2</v>
      </c>
      <c r="D5635">
        <f>LOG10(3.26163)</f>
        <v>0.5134346930401692</v>
      </c>
    </row>
    <row r="5636" spans="1:4">
      <c r="A5636">
        <v>1.1019490000000001</v>
      </c>
      <c r="B5636">
        <v>3.3008030000000002</v>
      </c>
      <c r="C5636">
        <f>LOG10(1.101949)</f>
        <v>4.2161495122739465E-2</v>
      </c>
      <c r="D5636">
        <f>LOG10(3.300803)</f>
        <v>0.5186196053463733</v>
      </c>
    </row>
    <row r="5637" spans="1:4">
      <c r="A5637">
        <v>1.085267</v>
      </c>
      <c r="B5637">
        <v>3.3314319999999999</v>
      </c>
      <c r="C5637">
        <f>LOG10(1.085267)</f>
        <v>3.5536597503934529E-2</v>
      </c>
      <c r="D5637">
        <f>LOG10(3.331432)</f>
        <v>0.5226309530307901</v>
      </c>
    </row>
    <row r="5638" spans="1:4">
      <c r="A5638">
        <v>1.101966</v>
      </c>
      <c r="B5638">
        <v>3.4165459999999999</v>
      </c>
      <c r="C5638">
        <f>LOG10(1.101966)</f>
        <v>4.2168195023772372E-2</v>
      </c>
      <c r="D5638">
        <f>LOG10(3.416546)</f>
        <v>0.53358727239126247</v>
      </c>
    </row>
    <row r="5639" spans="1:4">
      <c r="A5639">
        <v>1.0766770000000001</v>
      </c>
      <c r="B5639">
        <v>3.464839</v>
      </c>
      <c r="C5639">
        <f>LOG10(1.076677)</f>
        <v>3.2085435742812959E-2</v>
      </c>
      <c r="D5639">
        <f>LOG10(3.464839)</f>
        <v>0.53968305913943493</v>
      </c>
    </row>
    <row r="5640" spans="1:4">
      <c r="A5640">
        <v>1.1068979999999999</v>
      </c>
      <c r="B5640">
        <v>3.2074530000000001</v>
      </c>
      <c r="C5640">
        <f>LOG10(1.106898)</f>
        <v>4.4107602741314936E-2</v>
      </c>
      <c r="D5640">
        <f>LOG10(3.207453)</f>
        <v>0.50616030121525923</v>
      </c>
    </row>
    <row r="5641" spans="1:4">
      <c r="A5641">
        <v>1.12253</v>
      </c>
      <c r="B5641">
        <v>3.243703</v>
      </c>
      <c r="C5641">
        <f>LOG10(1.12253)</f>
        <v>5.019795649973096E-2</v>
      </c>
      <c r="D5641">
        <f>LOG10(3.243703)</f>
        <v>0.51104108247930657</v>
      </c>
    </row>
    <row r="5642" spans="1:4">
      <c r="A5642">
        <v>1.055733</v>
      </c>
      <c r="B5642">
        <v>3.538678</v>
      </c>
      <c r="C5642">
        <f>LOG10(1.055733)</f>
        <v>2.3554096901932609E-2</v>
      </c>
      <c r="D5642">
        <f>LOG10(3.538678)</f>
        <v>0.54884104605502293</v>
      </c>
    </row>
    <row r="5643" spans="1:4">
      <c r="A5643">
        <v>1.070767</v>
      </c>
      <c r="B5643">
        <v>3.606392</v>
      </c>
      <c r="C5643">
        <f>LOG10(1.070767)</f>
        <v>2.9694978186593432E-2</v>
      </c>
      <c r="D5643">
        <f>LOG10(3.606392)</f>
        <v>0.55707293097878186</v>
      </c>
    </row>
    <row r="5644" spans="1:4">
      <c r="A5644">
        <v>1.0872790000000001</v>
      </c>
      <c r="B5644">
        <v>3.4416340000000001</v>
      </c>
      <c r="C5644">
        <f>LOG10(1.087279)</f>
        <v>3.6341000032027435E-2</v>
      </c>
      <c r="D5644">
        <f>LOG10(3.441634)</f>
        <v>0.53676468347209716</v>
      </c>
    </row>
    <row r="5645" spans="1:4">
      <c r="A5645">
        <v>1.1164069999999999</v>
      </c>
      <c r="B5645">
        <v>3.503136</v>
      </c>
      <c r="C5645">
        <f>LOG10(1.116407)</f>
        <v>4.7822550901368166E-2</v>
      </c>
      <c r="D5645">
        <f>LOG10(3.503136)</f>
        <v>0.54445699798084435</v>
      </c>
    </row>
    <row r="5646" spans="1:4">
      <c r="A5646">
        <v>1.1124080000000001</v>
      </c>
      <c r="B5646">
        <v>3.2995239999999999</v>
      </c>
      <c r="C5646">
        <f>LOG10(1.112408)</f>
        <v>4.6264103478136046E-2</v>
      </c>
      <c r="D5646">
        <f>LOG10(3.299524)</f>
        <v>0.51845129167060933</v>
      </c>
    </row>
    <row r="5647" spans="1:4">
      <c r="A5647">
        <v>1.125758</v>
      </c>
      <c r="B5647">
        <v>3.2226710000000001</v>
      </c>
      <c r="C5647">
        <f>LOG10(1.125758)</f>
        <v>5.1445041882814332E-2</v>
      </c>
      <c r="D5647">
        <f>LOG10(3.222671)</f>
        <v>0.50821597098620985</v>
      </c>
    </row>
    <row r="5648" spans="1:4">
      <c r="A5648">
        <v>1.076902</v>
      </c>
      <c r="B5648">
        <v>3.2677580000000002</v>
      </c>
      <c r="C5648">
        <f>LOG10(1.076902)</f>
        <v>3.2176183524792387E-2</v>
      </c>
      <c r="D5648">
        <f>LOG10(3.267758)</f>
        <v>0.5142498865518752</v>
      </c>
    </row>
    <row r="5649" spans="1:4">
      <c r="A5649">
        <v>1.1099889999999999</v>
      </c>
      <c r="B5649">
        <v>3.1605270000000001</v>
      </c>
      <c r="C5649">
        <f>LOG10(1.109989)</f>
        <v>4.5318674946141987E-2</v>
      </c>
      <c r="D5649">
        <f>LOG10(3.160527)</f>
        <v>0.49975950480487447</v>
      </c>
    </row>
    <row r="5650" spans="1:4">
      <c r="A5650">
        <v>1.12104</v>
      </c>
      <c r="B5650">
        <v>3.236459</v>
      </c>
      <c r="C5650">
        <f>LOG10(1.12104)</f>
        <v>4.9621108999388763E-2</v>
      </c>
      <c r="D5650">
        <f>LOG10(3.236459)</f>
        <v>0.51007010967418931</v>
      </c>
    </row>
    <row r="5651" spans="1:4">
      <c r="A5651">
        <v>1.107116</v>
      </c>
      <c r="B5651">
        <v>3.1383999999999999</v>
      </c>
      <c r="C5651">
        <f>LOG10(1.107116)</f>
        <v>4.4193127220709283E-2</v>
      </c>
      <c r="D5651">
        <f>LOG10(3.1384)</f>
        <v>0.49670829512147946</v>
      </c>
    </row>
    <row r="5652" spans="1:4">
      <c r="A5652">
        <v>1.1147480000000001</v>
      </c>
      <c r="B5652">
        <v>3.1958679999999999</v>
      </c>
      <c r="C5652">
        <f>LOG10(1.114748)</f>
        <v>4.7176701842687296E-2</v>
      </c>
      <c r="D5652">
        <f>LOG10(3.195868)</f>
        <v>0.50458883320281411</v>
      </c>
    </row>
    <row r="5653" spans="1:4">
      <c r="A5653">
        <v>1.089488</v>
      </c>
      <c r="B5653">
        <v>3.0891649999999999</v>
      </c>
      <c r="C5653">
        <f>LOG10(1.089488)</f>
        <v>3.7222451138049048E-2</v>
      </c>
      <c r="D5653">
        <f>LOG10(3.089165)</f>
        <v>0.48984110567139172</v>
      </c>
    </row>
    <row r="5654" spans="1:4">
      <c r="A5654">
        <v>1.09456</v>
      </c>
      <c r="B5654">
        <v>3.2108530000000002</v>
      </c>
      <c r="C5654">
        <f>LOG10(1.09456)</f>
        <v>3.9239573080474405E-2</v>
      </c>
      <c r="D5654">
        <f>LOG10(3.210853)</f>
        <v>0.50662042305319965</v>
      </c>
    </row>
    <row r="5655" spans="1:4">
      <c r="A5655">
        <v>1.106584</v>
      </c>
      <c r="B5655">
        <v>3.2253820000000002</v>
      </c>
      <c r="C5655">
        <f>LOG10(1.106584)</f>
        <v>4.3984386498099645E-2</v>
      </c>
      <c r="D5655">
        <f>LOG10(3.225382)</f>
        <v>0.50858115793793413</v>
      </c>
    </row>
    <row r="5656" spans="1:4">
      <c r="A5656">
        <v>1.098319</v>
      </c>
      <c r="B5656">
        <v>3.6928480000000001</v>
      </c>
      <c r="C5656">
        <f>LOG10(1.098319)</f>
        <v>4.0728496597444916E-2</v>
      </c>
      <c r="D5656">
        <f>LOG10(3.692848)</f>
        <v>0.56736143217851887</v>
      </c>
    </row>
    <row r="5657" spans="1:4">
      <c r="A5657">
        <v>1.1028309999999999</v>
      </c>
      <c r="B5657">
        <v>3.646252</v>
      </c>
      <c r="C5657">
        <f>LOG10(1.102831)</f>
        <v>4.2508965395031378E-2</v>
      </c>
      <c r="D5657">
        <f>LOG10(3.646252)</f>
        <v>0.56184668034404361</v>
      </c>
    </row>
    <row r="5658" spans="1:4">
      <c r="A5658">
        <v>1.086533</v>
      </c>
      <c r="B5658">
        <v>3.738283</v>
      </c>
      <c r="C5658">
        <f>LOG10(1.086533)</f>
        <v>3.6042921176801343E-2</v>
      </c>
      <c r="D5658">
        <f>LOG10(3.738283)</f>
        <v>0.57267217577103613</v>
      </c>
    </row>
    <row r="5659" spans="1:4">
      <c r="A5659">
        <v>1.072692</v>
      </c>
      <c r="B5659">
        <v>3.5204019999999998</v>
      </c>
      <c r="C5659">
        <f>LOG10(1.072692)</f>
        <v>3.0475041721680307E-2</v>
      </c>
      <c r="D5659">
        <f>LOG10(3.520402)</f>
        <v>0.54659225905006414</v>
      </c>
    </row>
    <row r="5660" spans="1:4">
      <c r="A5660">
        <v>1.052233</v>
      </c>
      <c r="B5660">
        <v>3.6304970000000001</v>
      </c>
      <c r="C5660">
        <f>LOG10(1.052233)</f>
        <v>2.2111917964053873E-2</v>
      </c>
      <c r="D5660">
        <f>LOG10(3.630497)</f>
        <v>0.55996608222143829</v>
      </c>
    </row>
    <row r="5661" spans="1:4">
      <c r="A5661">
        <v>1.133254</v>
      </c>
      <c r="B5661">
        <v>3.782454</v>
      </c>
      <c r="C5661">
        <f>LOG10(1.133254)</f>
        <v>5.4327260644788315E-2</v>
      </c>
      <c r="D5661">
        <f>LOG10(3.782454)</f>
        <v>0.57777365509108825</v>
      </c>
    </row>
    <row r="5662" spans="1:4">
      <c r="A5662">
        <v>1.12381</v>
      </c>
      <c r="B5662">
        <v>3.7434759999999998</v>
      </c>
      <c r="C5662">
        <f>LOG10(1.12381)</f>
        <v>5.0692892259233867E-2</v>
      </c>
      <c r="D5662">
        <f>LOG10(3.743476)</f>
        <v>0.57327505314430949</v>
      </c>
    </row>
    <row r="5663" spans="1:4">
      <c r="A5663">
        <v>1.0834649999999999</v>
      </c>
      <c r="B5663">
        <v>3.8360150000000002</v>
      </c>
      <c r="C5663">
        <f>LOG10(1.083465)</f>
        <v>3.4814886535045268E-2</v>
      </c>
      <c r="D5663">
        <f>LOG10(3.836015)</f>
        <v>0.58388029672711705</v>
      </c>
    </row>
    <row r="5664" spans="1:4">
      <c r="A5664">
        <v>1.108841</v>
      </c>
      <c r="B5664">
        <v>3.6984140000000001</v>
      </c>
      <c r="C5664">
        <f>LOG10(1.108841)</f>
        <v>4.4869275839664539E-2</v>
      </c>
      <c r="D5664">
        <f>LOG10(3.698414)</f>
        <v>0.56801552441424519</v>
      </c>
    </row>
    <row r="5665" spans="1:4">
      <c r="A5665">
        <v>1.143532</v>
      </c>
      <c r="B5665">
        <v>3.6013459999999999</v>
      </c>
      <c r="C5665">
        <f>LOG10(1.143532)</f>
        <v>5.8248322181918999E-2</v>
      </c>
      <c r="D5665">
        <f>LOG10(3.601346)</f>
        <v>0.55646484830049814</v>
      </c>
    </row>
    <row r="5666" spans="1:4">
      <c r="A5666">
        <v>1.100425</v>
      </c>
      <c r="B5666">
        <v>3.5915119999999998</v>
      </c>
      <c r="C5666">
        <f>LOG10(1.100425)</f>
        <v>4.1560448346794572E-2</v>
      </c>
      <c r="D5666">
        <f>LOG10(3.591512)</f>
        <v>0.55527732184131451</v>
      </c>
    </row>
    <row r="5667" spans="1:4">
      <c r="A5667">
        <v>1.128512</v>
      </c>
      <c r="B5667">
        <v>3.3300480000000001</v>
      </c>
      <c r="C5667">
        <f>LOG10(1.128512)</f>
        <v>5.2506181496257021E-2</v>
      </c>
      <c r="D5667">
        <f>LOG10(3.330048)</f>
        <v>0.52245049356184248</v>
      </c>
    </row>
    <row r="5668" spans="1:4">
      <c r="A5668">
        <v>1.1302099999999999</v>
      </c>
      <c r="B5668">
        <v>3.2663880000000001</v>
      </c>
      <c r="C5668">
        <f>LOG10(1.13021)</f>
        <v>5.3159145578766699E-2</v>
      </c>
      <c r="D5668">
        <f>LOG10(3.266388)</f>
        <v>0.51406777141428073</v>
      </c>
    </row>
    <row r="5669" spans="1:4">
      <c r="A5669">
        <v>1.130763</v>
      </c>
      <c r="B5669">
        <v>3.0082170000000001</v>
      </c>
      <c r="C5669">
        <f>LOG10(1.130763)</f>
        <v>5.337158938351938E-2</v>
      </c>
      <c r="D5669">
        <f>LOG10(3.008217)</f>
        <v>0.47830916120929412</v>
      </c>
    </row>
    <row r="5670" spans="1:4">
      <c r="A5670">
        <v>1.1393310000000001</v>
      </c>
      <c r="B5670">
        <v>3.0415329999999998</v>
      </c>
      <c r="C5670">
        <f>LOG10(1.139331)</f>
        <v>5.6649914237177829E-2</v>
      </c>
      <c r="D5670">
        <f>LOG10(3.041533)</f>
        <v>0.48309253282924108</v>
      </c>
    </row>
    <row r="5671" spans="1:4">
      <c r="A5671">
        <v>1.18228</v>
      </c>
      <c r="B5671">
        <v>3.2582520000000001</v>
      </c>
      <c r="C5671">
        <f>LOG10(1.18228)</f>
        <v>7.272034291935589E-2</v>
      </c>
      <c r="D5671">
        <f>LOG10(3.258252)</f>
        <v>0.51298467051180496</v>
      </c>
    </row>
    <row r="5672" spans="1:4">
      <c r="A5672">
        <v>1.1526609999999999</v>
      </c>
      <c r="B5672">
        <v>3.090401</v>
      </c>
      <c r="C5672">
        <f>LOG10(1.152661)</f>
        <v>6.1701599162041078E-2</v>
      </c>
      <c r="D5672">
        <f>LOG10(3.090401)</f>
        <v>0.49001483566692561</v>
      </c>
    </row>
    <row r="5673" spans="1:4">
      <c r="A5673">
        <v>1.1509259999999999</v>
      </c>
      <c r="B5673">
        <v>3.16791</v>
      </c>
      <c r="C5673">
        <f>LOG10(1.150926)</f>
        <v>6.1047401106068662E-2</v>
      </c>
      <c r="D5673">
        <f>LOG10(3.16791)</f>
        <v>0.50077283483078039</v>
      </c>
    </row>
    <row r="5674" spans="1:4">
      <c r="A5674">
        <v>1.0697030000000001</v>
      </c>
      <c r="B5674">
        <v>3.3735409999999999</v>
      </c>
      <c r="C5674">
        <f>LOG10(1.069703)</f>
        <v>2.9263213792039788E-2</v>
      </c>
      <c r="D5674">
        <f>LOG10(3.373541)</f>
        <v>0.52808599267882061</v>
      </c>
    </row>
    <row r="5675" spans="1:4">
      <c r="A5675">
        <v>1.1007309999999999</v>
      </c>
      <c r="B5675">
        <v>3.3204660000000001</v>
      </c>
      <c r="C5675">
        <f>LOG10(1.100731)</f>
        <v>4.1681197727863849E-2</v>
      </c>
      <c r="D5675">
        <f>LOG10(3.320466)</f>
        <v>0.52119903762772157</v>
      </c>
    </row>
    <row r="5676" spans="1:4">
      <c r="A5676">
        <v>1.140417</v>
      </c>
      <c r="B5676">
        <v>3.1899280000000001</v>
      </c>
      <c r="C5676">
        <f>LOG10(1.140417)</f>
        <v>5.7063682638793377E-2</v>
      </c>
      <c r="D5676">
        <f>LOG10(3.189928)</f>
        <v>0.50378088068865967</v>
      </c>
    </row>
    <row r="5677" spans="1:4">
      <c r="A5677">
        <v>1.096975</v>
      </c>
      <c r="B5677">
        <v>2.9811510000000001</v>
      </c>
      <c r="C5677">
        <f>LOG10(1.096975)</f>
        <v>4.0196730140102228E-2</v>
      </c>
      <c r="D5677">
        <f>LOG10(2.981151)</f>
        <v>0.47438397429023327</v>
      </c>
    </row>
    <row r="5678" spans="1:4">
      <c r="A5678">
        <v>1.1016140000000001</v>
      </c>
      <c r="B5678">
        <v>3.235398</v>
      </c>
      <c r="C5678">
        <f>LOG10(1.101614)</f>
        <v>4.202944656995615E-2</v>
      </c>
      <c r="D5678">
        <f>LOG10(3.235398)</f>
        <v>0.509927712693098</v>
      </c>
    </row>
    <row r="5679" spans="1:4">
      <c r="A5679">
        <v>1.1161639999999999</v>
      </c>
      <c r="B5679">
        <v>3.0739519999999998</v>
      </c>
      <c r="C5679">
        <f>LOG10(1.116164)</f>
        <v>4.7728010965554943E-2</v>
      </c>
      <c r="D5679">
        <f>LOG10(3.073952)</f>
        <v>0.4876970816744981</v>
      </c>
    </row>
    <row r="5680" spans="1:4">
      <c r="A5680">
        <v>1.1210530000000001</v>
      </c>
      <c r="B5680">
        <v>3.048686</v>
      </c>
      <c r="C5680">
        <f>LOG10(1.121053)</f>
        <v>4.9626145211771409E-2</v>
      </c>
      <c r="D5680">
        <f>LOG10(3.048686)</f>
        <v>0.48411269642516264</v>
      </c>
    </row>
    <row r="5681" spans="1:4">
      <c r="A5681">
        <v>1.1118269999999999</v>
      </c>
      <c r="B5681">
        <v>3.0219649999999998</v>
      </c>
      <c r="C5681">
        <f>LOG10(1.111827)</f>
        <v>4.6037216391362587E-2</v>
      </c>
      <c r="D5681">
        <f>LOG10(3.021965)</f>
        <v>0.4802894300907331</v>
      </c>
    </row>
    <row r="5682" spans="1:4">
      <c r="A5682">
        <v>1.147804</v>
      </c>
      <c r="B5682">
        <v>3.0548649999999999</v>
      </c>
      <c r="C5682">
        <f>LOG10(1.147804)</f>
        <v>5.9867733893166943E-2</v>
      </c>
      <c r="D5682">
        <f>LOG10(3.054865)</f>
        <v>0.48499202274534381</v>
      </c>
    </row>
    <row r="5683" spans="1:4">
      <c r="A5683">
        <v>1.1226529999999999</v>
      </c>
      <c r="B5683">
        <v>2.98752</v>
      </c>
      <c r="C5683">
        <f>LOG10(1.122653)</f>
        <v>5.0245541236767971E-2</v>
      </c>
      <c r="D5683">
        <f>LOG10(2.98752)</f>
        <v>0.47531082135721975</v>
      </c>
    </row>
    <row r="5684" spans="1:4">
      <c r="A5684">
        <v>1.1119840000000001</v>
      </c>
      <c r="B5684">
        <v>3.0752440000000001</v>
      </c>
      <c r="C5684">
        <f>LOG10(1.111984)</f>
        <v>4.6098538359616338E-2</v>
      </c>
      <c r="D5684">
        <f>LOG10(3.075244)</f>
        <v>0.48787957983486768</v>
      </c>
    </row>
    <row r="5685" spans="1:4">
      <c r="A5685">
        <v>1.1293960000000001</v>
      </c>
      <c r="B5685">
        <v>2.9428320000000001</v>
      </c>
      <c r="C5685">
        <f>LOG10(1.129396)</f>
        <v>5.2846245255824181E-2</v>
      </c>
      <c r="D5685">
        <f>LOG10(2.942832)</f>
        <v>0.46876546986191897</v>
      </c>
    </row>
    <row r="5686" spans="1:4">
      <c r="A5686">
        <v>1.117915</v>
      </c>
      <c r="B5686">
        <v>3.0071059999999998</v>
      </c>
      <c r="C5686">
        <f>LOG10(1.117915)</f>
        <v>4.8408783483917563E-2</v>
      </c>
      <c r="D5686">
        <f>LOG10(3.007106)</f>
        <v>0.47814873718056583</v>
      </c>
    </row>
    <row r="5687" spans="1:4">
      <c r="A5687">
        <v>1.0984579999999999</v>
      </c>
      <c r="B5687">
        <v>2.9700470000000001</v>
      </c>
      <c r="C5687">
        <f>LOG10(1.098458)</f>
        <v>4.0783456143238653E-2</v>
      </c>
      <c r="D5687">
        <f>LOG10(2.970047)</f>
        <v>0.47276332193645254</v>
      </c>
    </row>
    <row r="5688" spans="1:4">
      <c r="A5688">
        <v>1.128879</v>
      </c>
      <c r="B5688">
        <v>2.8982670000000001</v>
      </c>
      <c r="C5688">
        <f>LOG10(1.128879)</f>
        <v>5.2647394140644066E-2</v>
      </c>
      <c r="D5688">
        <f>LOG10(2.898267)</f>
        <v>0.46213839193063855</v>
      </c>
    </row>
    <row r="5689" spans="1:4">
      <c r="A5689">
        <v>1.1172359999999999</v>
      </c>
      <c r="B5689">
        <v>2.9508070000000002</v>
      </c>
      <c r="C5689">
        <f>LOG10(1.117236)</f>
        <v>4.8144921255116532E-2</v>
      </c>
      <c r="D5689">
        <f>LOG10(2.950807)</f>
        <v>0.46994080503500929</v>
      </c>
    </row>
    <row r="5690" spans="1:4">
      <c r="A5690">
        <v>1.059952</v>
      </c>
      <c r="B5690">
        <v>3.0063599999999999</v>
      </c>
      <c r="C5690">
        <f>LOG10(1.059952)</f>
        <v>2.5286198654266876E-2</v>
      </c>
      <c r="D5690">
        <f>LOG10(3.00636)</f>
        <v>0.47804098445188598</v>
      </c>
    </row>
    <row r="5691" spans="1:4">
      <c r="A5691">
        <v>1.0901069999999999</v>
      </c>
      <c r="B5691">
        <v>3.075682</v>
      </c>
      <c r="C5691">
        <f>LOG10(1.090107)</f>
        <v>3.7469128425825449E-2</v>
      </c>
      <c r="D5691">
        <f>LOG10(3.075682)</f>
        <v>0.4879414310043973</v>
      </c>
    </row>
    <row r="5692" spans="1:4">
      <c r="A5692">
        <v>1.089318</v>
      </c>
      <c r="B5692">
        <v>3.016969</v>
      </c>
      <c r="C5692">
        <f>LOG10(1.089318)</f>
        <v>3.7154680017468897E-2</v>
      </c>
      <c r="D5692">
        <f>LOG10(3.016969)</f>
        <v>0.47957084772947733</v>
      </c>
    </row>
    <row r="5693" spans="1:4">
      <c r="A5693">
        <v>1.0890519999999999</v>
      </c>
      <c r="B5693">
        <v>2.8504290000000001</v>
      </c>
      <c r="C5693">
        <f>LOG10(1.089052)</f>
        <v>3.7048616921887816E-2</v>
      </c>
      <c r="D5693">
        <f>LOG10(2.850429)</f>
        <v>0.454910227837173</v>
      </c>
    </row>
    <row r="5694" spans="1:4">
      <c r="A5694">
        <v>1.112169</v>
      </c>
      <c r="B5694">
        <v>2.9889920000000001</v>
      </c>
      <c r="C5694">
        <f>LOG10(1.112169)</f>
        <v>4.6170785618988637E-2</v>
      </c>
      <c r="D5694">
        <f>LOG10(2.988992)</f>
        <v>0.47552475265704425</v>
      </c>
    </row>
    <row r="5695" spans="1:4">
      <c r="A5695">
        <v>1.148482</v>
      </c>
      <c r="B5695">
        <v>2.9440439999999999</v>
      </c>
      <c r="C5695">
        <f>LOG10(1.148482)</f>
        <v>6.0124192946862318E-2</v>
      </c>
      <c r="D5695">
        <f>LOG10(2.944044)</f>
        <v>0.46894429643122454</v>
      </c>
    </row>
    <row r="5696" spans="1:4">
      <c r="A5696">
        <v>1.1289629999999999</v>
      </c>
      <c r="B5696">
        <v>3.0397159999999999</v>
      </c>
      <c r="C5696">
        <f>LOG10(1.128963)</f>
        <v>5.2679708834494826E-2</v>
      </c>
      <c r="D5696">
        <f>LOG10(3.039716)</f>
        <v>0.48283300946583313</v>
      </c>
    </row>
    <row r="5697" spans="1:4">
      <c r="A5697">
        <v>1.079278</v>
      </c>
      <c r="B5697">
        <v>2.9765999999999999</v>
      </c>
      <c r="C5697">
        <f>LOG10(1.079278)</f>
        <v>3.313332449323797E-2</v>
      </c>
      <c r="D5697">
        <f>LOG10(2.9766)</f>
        <v>0.4737204774198292</v>
      </c>
    </row>
    <row r="5698" spans="1:4">
      <c r="A5698">
        <v>1.1363840000000001</v>
      </c>
      <c r="B5698">
        <v>2.9607100000000002</v>
      </c>
      <c r="C5698">
        <f>LOG10(1.136384)</f>
        <v>5.5525110337216223E-2</v>
      </c>
      <c r="D5698">
        <f>LOG10(2.96071)</f>
        <v>0.47139587055454957</v>
      </c>
    </row>
    <row r="5699" spans="1:4">
      <c r="A5699">
        <v>1.092217</v>
      </c>
      <c r="B5699">
        <v>3.0766390000000001</v>
      </c>
      <c r="C5699">
        <f>LOG10(1.092217)</f>
        <v>3.8308931903548588E-2</v>
      </c>
      <c r="D5699">
        <f>LOG10(3.076639)</f>
        <v>0.4880765409320274</v>
      </c>
    </row>
    <row r="5700" spans="1:4">
      <c r="A5700">
        <v>1.105934</v>
      </c>
      <c r="B5700">
        <v>3.0211250000000001</v>
      </c>
      <c r="C5700">
        <f>LOG10(1.105934)</f>
        <v>4.3729209888138956E-2</v>
      </c>
      <c r="D5700">
        <f>LOG10(3.021125)</f>
        <v>0.48016869471623164</v>
      </c>
    </row>
    <row r="5701" spans="1:4">
      <c r="A5701">
        <v>1.1424540000000001</v>
      </c>
      <c r="B5701">
        <v>2.8871069999999999</v>
      </c>
      <c r="C5701">
        <f>LOG10(1.142454)</f>
        <v>5.7838722572651852E-2</v>
      </c>
      <c r="D5701">
        <f>LOG10(2.887107)</f>
        <v>0.46046287970629801</v>
      </c>
    </row>
    <row r="5702" spans="1:4">
      <c r="A5702">
        <v>1.1470959999999999</v>
      </c>
      <c r="B5702">
        <v>3.0466679999999999</v>
      </c>
      <c r="C5702">
        <f>LOG10(1.147096)</f>
        <v>5.9599765351668187E-2</v>
      </c>
      <c r="D5702">
        <f>LOG10(3.046668)</f>
        <v>0.48382513107735797</v>
      </c>
    </row>
    <row r="5703" spans="1:4">
      <c r="A5703">
        <v>1.14215</v>
      </c>
      <c r="B5703">
        <v>3.068241</v>
      </c>
      <c r="C5703">
        <f>LOG10(1.14215)</f>
        <v>5.7723144097539453E-2</v>
      </c>
      <c r="D5703">
        <f>LOG10(3.068241)</f>
        <v>0.48688946898603414</v>
      </c>
    </row>
    <row r="5704" spans="1:4">
      <c r="A5704">
        <v>1.123904</v>
      </c>
      <c r="B5704">
        <v>3.140047</v>
      </c>
      <c r="C5704">
        <f>LOG10(1.123904)</f>
        <v>5.0729216881781683E-2</v>
      </c>
      <c r="D5704">
        <f>LOG10(3.140047)</f>
        <v>0.49693614861075863</v>
      </c>
    </row>
    <row r="5705" spans="1:4">
      <c r="A5705">
        <v>1.0910280000000001</v>
      </c>
      <c r="B5705">
        <v>2.9773299999999998</v>
      </c>
      <c r="C5705">
        <f>LOG10(1.091028)</f>
        <v>3.7835896408188373E-2</v>
      </c>
      <c r="D5705">
        <f>LOG10(2.97733)</f>
        <v>0.47382697345635566</v>
      </c>
    </row>
    <row r="5706" spans="1:4">
      <c r="A5706">
        <v>1.1098680000000001</v>
      </c>
      <c r="B5706">
        <v>3.1833710000000002</v>
      </c>
      <c r="C5706">
        <f>LOG10(1.109868)</f>
        <v>4.527132988530045E-2</v>
      </c>
      <c r="D5706">
        <f>LOG10(3.183371)</f>
        <v>0.50288725560608571</v>
      </c>
    </row>
    <row r="5707" spans="1:4">
      <c r="A5707">
        <v>1.101389</v>
      </c>
      <c r="B5707">
        <v>2.9854270000000001</v>
      </c>
      <c r="C5707">
        <f>LOG10(1.101389)</f>
        <v>4.1940734699143396E-2</v>
      </c>
      <c r="D5707">
        <f>LOG10(2.985427)</f>
        <v>0.47500645622964444</v>
      </c>
    </row>
    <row r="5708" spans="1:4">
      <c r="A5708">
        <v>1.152244</v>
      </c>
      <c r="B5708">
        <v>2.879651</v>
      </c>
      <c r="C5708">
        <f>LOG10(1.152244)</f>
        <v>6.1544455331011591E-2</v>
      </c>
      <c r="D5708">
        <f>LOG10(2.879651)</f>
        <v>0.45933985652363352</v>
      </c>
    </row>
    <row r="5709" spans="1:4">
      <c r="A5709">
        <v>1.095729</v>
      </c>
      <c r="B5709">
        <v>3.106528</v>
      </c>
      <c r="C5709">
        <f>LOG10(1.095729)</f>
        <v>3.9703156011814691E-2</v>
      </c>
      <c r="D5709">
        <f>LOG10(3.106528)</f>
        <v>0.49227527238360713</v>
      </c>
    </row>
    <row r="5710" spans="1:4">
      <c r="A5710">
        <v>1.041493</v>
      </c>
      <c r="B5710">
        <v>3.0077769999999999</v>
      </c>
      <c r="C5710">
        <f>LOG10(1.041493)</f>
        <v>1.7656355348008926E-2</v>
      </c>
      <c r="D5710">
        <f>LOG10(3.007777)</f>
        <v>0.47824563402745907</v>
      </c>
    </row>
    <row r="5711" spans="1:4">
      <c r="A5711">
        <v>1.0831729999999999</v>
      </c>
      <c r="B5711">
        <v>2.9175360000000001</v>
      </c>
      <c r="C5711">
        <f>LOG10(1.083173)</f>
        <v>3.4697825919027724E-2</v>
      </c>
      <c r="D5711">
        <f>LOG10(2.917536)</f>
        <v>0.46501622358797817</v>
      </c>
    </row>
    <row r="5712" spans="1:4">
      <c r="A5712">
        <v>1.056921</v>
      </c>
      <c r="B5712">
        <v>2.9030499999999999</v>
      </c>
      <c r="C5712">
        <f>LOG10(1.056921)</f>
        <v>2.4042526998752169E-2</v>
      </c>
      <c r="D5712">
        <f>LOG10(2.90305)</f>
        <v>0.46285451586512011</v>
      </c>
    </row>
    <row r="5713" spans="1:4">
      <c r="A5713">
        <v>1.0348189999999999</v>
      </c>
      <c r="B5713">
        <v>3.002278</v>
      </c>
      <c r="C5713">
        <f>LOG10(1.034819)</f>
        <v>1.4864394067895009E-2</v>
      </c>
      <c r="D5713">
        <f>LOG10(3.002278)</f>
        <v>0.47745090385529909</v>
      </c>
    </row>
    <row r="5714" spans="1:4">
      <c r="A5714">
        <v>1.0571889999999999</v>
      </c>
      <c r="B5714">
        <v>2.8802289999999999</v>
      </c>
      <c r="C5714">
        <f>LOG10(1.057189)</f>
        <v>2.4152635670272107E-2</v>
      </c>
      <c r="D5714">
        <f>LOG10(2.880229)</f>
        <v>0.45942701882957832</v>
      </c>
    </row>
    <row r="5715" spans="1:4">
      <c r="A5715">
        <v>1.0979140000000001</v>
      </c>
      <c r="B5715">
        <v>3.101137</v>
      </c>
      <c r="C5715">
        <f>LOG10(1.097914)</f>
        <v>4.0568323002781174E-2</v>
      </c>
      <c r="D5715">
        <f>LOG10(3.101137)</f>
        <v>0.49152095263841056</v>
      </c>
    </row>
    <row r="5716" spans="1:4">
      <c r="A5716">
        <v>1.055647</v>
      </c>
      <c r="B5716">
        <v>2.9321229999999998</v>
      </c>
      <c r="C5716">
        <f>LOG10(1.055647)</f>
        <v>2.3518717836615757E-2</v>
      </c>
      <c r="D5716">
        <f>LOG10(2.932123)</f>
        <v>0.46718218462558231</v>
      </c>
    </row>
    <row r="5717" spans="1:4">
      <c r="A5717">
        <v>1.0541210000000001</v>
      </c>
      <c r="B5717">
        <v>2.920439</v>
      </c>
      <c r="C5717">
        <f>LOG10(1.054121)</f>
        <v>2.2890465351074602E-2</v>
      </c>
      <c r="D5717">
        <f>LOG10(2.920439)</f>
        <v>0.46544813944403457</v>
      </c>
    </row>
    <row r="5718" spans="1:4">
      <c r="A5718">
        <v>1.0618350000000001</v>
      </c>
      <c r="B5718">
        <v>2.80891</v>
      </c>
      <c r="C5718">
        <f>LOG10(1.061835)</f>
        <v>2.6057036371825971E-2</v>
      </c>
      <c r="D5718">
        <f>LOG10(2.80891)</f>
        <v>0.44853782423911887</v>
      </c>
    </row>
    <row r="5719" spans="1:4">
      <c r="A5719">
        <v>1.062627</v>
      </c>
      <c r="B5719">
        <v>2.8405209999999999</v>
      </c>
      <c r="C5719">
        <f>LOG10(1.062627)</f>
        <v>2.6380846584107404E-2</v>
      </c>
      <c r="D5719">
        <f>LOG10(2.840521)</f>
        <v>0.45339800436856942</v>
      </c>
    </row>
    <row r="5720" spans="1:4">
      <c r="A5720">
        <v>1.0693589999999999</v>
      </c>
      <c r="B5720">
        <v>2.9916369999999999</v>
      </c>
      <c r="C5720">
        <f>LOG10(1.069359)</f>
        <v>2.9123528917956942E-2</v>
      </c>
      <c r="D5720">
        <f>LOG10(2.991637)</f>
        <v>0.47590889585653978</v>
      </c>
    </row>
    <row r="5721" spans="1:4">
      <c r="A5721">
        <v>1.114668</v>
      </c>
      <c r="B5721">
        <v>2.9287260000000002</v>
      </c>
      <c r="C5721">
        <f>LOG10(1.114668)</f>
        <v>4.7145533538012707E-2</v>
      </c>
      <c r="D5721">
        <f>LOG10(2.928726)</f>
        <v>0.46667874271120019</v>
      </c>
    </row>
    <row r="5722" spans="1:4">
      <c r="A5722">
        <v>1.12052</v>
      </c>
      <c r="B5722">
        <v>3.0307870000000001</v>
      </c>
      <c r="C5722">
        <f>LOG10(1.12052)</f>
        <v>4.941961259988055E-2</v>
      </c>
      <c r="D5722">
        <f>LOG10(3.030787)</f>
        <v>0.48155541575557059</v>
      </c>
    </row>
    <row r="5723" spans="1:4">
      <c r="A5723">
        <v>1.103969</v>
      </c>
      <c r="B5723">
        <v>2.986262</v>
      </c>
      <c r="C5723">
        <f>LOG10(1.103969)</f>
        <v>4.2956878358793388E-2</v>
      </c>
      <c r="D5723">
        <f>LOG10(2.986262)</f>
        <v>0.47512790793108184</v>
      </c>
    </row>
    <row r="5724" spans="1:4">
      <c r="A5724">
        <v>1.0800110000000001</v>
      </c>
      <c r="B5724">
        <v>2.9586380000000001</v>
      </c>
      <c r="C5724">
        <f>LOG10(1.080011)</f>
        <v>3.3428178834146546E-2</v>
      </c>
      <c r="D5724">
        <f>LOG10(2.958638)</f>
        <v>0.47109183091935464</v>
      </c>
    </row>
    <row r="5725" spans="1:4">
      <c r="A5725">
        <v>1.1122909999999999</v>
      </c>
      <c r="B5725">
        <v>3.0425360000000001</v>
      </c>
      <c r="C5725">
        <f>LOG10(1.112291)</f>
        <v>4.6218423182123332E-2</v>
      </c>
      <c r="D5725">
        <f>LOG10(3.042536)</f>
        <v>0.48323572560673761</v>
      </c>
    </row>
    <row r="5726" spans="1:4">
      <c r="A5726">
        <v>1.127613</v>
      </c>
      <c r="B5726">
        <v>3.0424899999999999</v>
      </c>
      <c r="C5726">
        <f>LOG10(1.127613)</f>
        <v>5.2160074113115497E-2</v>
      </c>
      <c r="D5726">
        <f>LOG10(3.04249)</f>
        <v>0.48322915947335776</v>
      </c>
    </row>
    <row r="5727" spans="1:4">
      <c r="A5727">
        <v>1.1407480000000001</v>
      </c>
      <c r="B5727">
        <v>3.1229960000000001</v>
      </c>
      <c r="C5727">
        <f>LOG10(1.140748)</f>
        <v>5.7189716024821022E-2</v>
      </c>
      <c r="D5727">
        <f>LOG10(3.122996)</f>
        <v>0.49457142797690368</v>
      </c>
    </row>
    <row r="5728" spans="1:4">
      <c r="A5728">
        <v>1.093825</v>
      </c>
      <c r="B5728">
        <v>3.112311</v>
      </c>
      <c r="C5728">
        <f>LOG10(1.093825)</f>
        <v>3.8947845202425953E-2</v>
      </c>
      <c r="D5728">
        <f>LOG10(3.112311)</f>
        <v>0.49308298768634751</v>
      </c>
    </row>
    <row r="5729" spans="1:4">
      <c r="A5729">
        <v>1.1230089999999999</v>
      </c>
      <c r="B5729">
        <v>3.1229619999999998</v>
      </c>
      <c r="C5729">
        <f>LOG10(1.123009)</f>
        <v>5.0383236790998952E-2</v>
      </c>
      <c r="D5729">
        <f>LOG10(3.122962)</f>
        <v>0.49456669979513074</v>
      </c>
    </row>
    <row r="5730" spans="1:4">
      <c r="A5730">
        <v>1.106473</v>
      </c>
      <c r="B5730">
        <v>3.0182820000000001</v>
      </c>
      <c r="C5730">
        <f>LOG10(1.106473)</f>
        <v>4.39408207991306E-2</v>
      </c>
      <c r="D5730">
        <f>LOG10(3.018282)</f>
        <v>0.47975981374389343</v>
      </c>
    </row>
    <row r="5731" spans="1:4">
      <c r="A5731">
        <v>1.0704579999999999</v>
      </c>
      <c r="B5731">
        <v>3.065461</v>
      </c>
      <c r="C5731">
        <f>LOG10(1.070458)</f>
        <v>2.9569632185272022E-2</v>
      </c>
      <c r="D5731">
        <f>LOG10(3.065461)</f>
        <v>0.48649579523326236</v>
      </c>
    </row>
    <row r="5732" spans="1:4">
      <c r="A5732">
        <v>1.082686</v>
      </c>
      <c r="B5732">
        <v>2.978888</v>
      </c>
      <c r="C5732">
        <f>LOG10(1.082686)</f>
        <v>3.4502521038838135E-2</v>
      </c>
      <c r="D5732">
        <f>LOG10(2.978888)</f>
        <v>0.47405417495174668</v>
      </c>
    </row>
    <row r="5733" spans="1:4">
      <c r="A5733">
        <v>1.089286</v>
      </c>
      <c r="B5733">
        <v>3.1689560000000001</v>
      </c>
      <c r="C5733">
        <f>LOG10(1.089286)</f>
        <v>3.7141921917858395E-2</v>
      </c>
      <c r="D5733">
        <f>LOG10(3.168956)</f>
        <v>0.50091620918403224</v>
      </c>
    </row>
    <row r="5734" spans="1:4">
      <c r="A5734">
        <v>1.108995</v>
      </c>
      <c r="B5734">
        <v>3.0272950000000001</v>
      </c>
      <c r="C5734">
        <f>LOG10(1.108995)</f>
        <v>4.4929588099291116E-2</v>
      </c>
      <c r="D5734">
        <f>LOG10(3.027295)</f>
        <v>0.48105474359604228</v>
      </c>
    </row>
    <row r="5735" spans="1:4">
      <c r="A5735">
        <v>1.1165799999999999</v>
      </c>
      <c r="B5735">
        <v>3.2297799999999999</v>
      </c>
      <c r="C5735">
        <f>LOG10(1.11658)</f>
        <v>4.7889844571702631E-2</v>
      </c>
      <c r="D5735">
        <f>LOG10(3.22978)</f>
        <v>0.50917294089456611</v>
      </c>
    </row>
    <row r="5736" spans="1:4">
      <c r="A5736">
        <v>1.098106</v>
      </c>
      <c r="B5736">
        <v>3.2891400000000002</v>
      </c>
      <c r="C5736">
        <f>LOG10(1.098106)</f>
        <v>4.0644264515825576E-2</v>
      </c>
      <c r="D5736">
        <f>LOG10(3.28914)</f>
        <v>0.51708235932438984</v>
      </c>
    </row>
    <row r="5737" spans="1:4">
      <c r="A5737">
        <v>1.1035090000000001</v>
      </c>
      <c r="B5737">
        <v>3.0914899999999998</v>
      </c>
      <c r="C5737">
        <f>LOG10(1.103509)</f>
        <v>4.2775879531564219E-2</v>
      </c>
      <c r="D5737">
        <f>LOG10(3.09149)</f>
        <v>0.49016784603080449</v>
      </c>
    </row>
    <row r="5738" spans="1:4">
      <c r="A5738">
        <v>1.0288820000000001</v>
      </c>
      <c r="B5738">
        <v>4.1199519999999996</v>
      </c>
      <c r="C5738">
        <f>LOG10(1.028882)</f>
        <v>1.2365569429648332E-2</v>
      </c>
      <c r="D5738">
        <f>LOG10(4.119952)</f>
        <v>0.61489215626212335</v>
      </c>
    </row>
    <row r="5739" spans="1:4">
      <c r="A5739">
        <v>1.0342819999999999</v>
      </c>
      <c r="B5739">
        <v>4.0124760000000004</v>
      </c>
      <c r="C5739">
        <f>LOG10(1.034282)</f>
        <v>1.4638966559021999E-2</v>
      </c>
      <c r="D5739">
        <f>LOG10(4.012476)</f>
        <v>0.60341244775592229</v>
      </c>
    </row>
    <row r="5740" spans="1:4">
      <c r="A5740">
        <v>1.0126869999999999</v>
      </c>
      <c r="B5740">
        <v>3.9283980000000001</v>
      </c>
      <c r="C5740">
        <f>LOG10(1.012687)</f>
        <v>5.4752349181760212E-3</v>
      </c>
      <c r="D5740">
        <f>LOG10(3.928398)</f>
        <v>0.59421548126550205</v>
      </c>
    </row>
    <row r="5741" spans="1:4">
      <c r="A5741">
        <v>1.0375529999999999</v>
      </c>
      <c r="B5741">
        <v>3.8589579999999999</v>
      </c>
      <c r="C5741">
        <f>LOG10(1.037553)</f>
        <v>1.6010290463302615E-2</v>
      </c>
      <c r="D5741">
        <f>LOG10(3.858958)</f>
        <v>0.58647005183713863</v>
      </c>
    </row>
    <row r="5742" spans="1:4">
      <c r="A5742">
        <v>1.027855</v>
      </c>
      <c r="B5742">
        <v>3.700094</v>
      </c>
      <c r="C5742">
        <f>LOG10(1.027855)</f>
        <v>1.1931852848496531E-2</v>
      </c>
      <c r="D5742">
        <f>LOG10(3.700094)</f>
        <v>0.56821275735422105</v>
      </c>
    </row>
    <row r="5743" spans="1:4">
      <c r="A5743">
        <v>1.014632</v>
      </c>
      <c r="B5743">
        <v>3.4825029999999999</v>
      </c>
      <c r="C5743">
        <f>LOG10(1.014632)</f>
        <v>6.3085552061699739E-3</v>
      </c>
      <c r="D5743">
        <f>LOG10(3.482503)</f>
        <v>0.54189149921886814</v>
      </c>
    </row>
    <row r="5744" spans="1:4">
      <c r="A5744">
        <v>1.022529</v>
      </c>
      <c r="B5744">
        <v>3.4749409999999998</v>
      </c>
      <c r="C5744">
        <f>LOG10(1.022529)</f>
        <v>9.6756339032193182E-3</v>
      </c>
      <c r="D5744">
        <f>LOG10(3.474941)</f>
        <v>0.54094743523060551</v>
      </c>
    </row>
    <row r="5745" spans="1:4">
      <c r="A5745">
        <v>1.0312790000000001</v>
      </c>
      <c r="B5745">
        <v>3.8493909999999998</v>
      </c>
      <c r="C5745">
        <f>LOG10(1.031279)</f>
        <v>1.3376174273512821E-2</v>
      </c>
      <c r="D5745">
        <f>LOG10(3.849391)</f>
        <v>0.58539202658380685</v>
      </c>
    </row>
    <row r="5746" spans="1:4">
      <c r="A5746">
        <v>1.024184</v>
      </c>
      <c r="B5746">
        <v>3.9523109999999999</v>
      </c>
      <c r="C5746">
        <f>LOG10(1.024184)</f>
        <v>1.0377986919205953E-2</v>
      </c>
      <c r="D5746">
        <f>LOG10(3.952311)</f>
        <v>0.59685111108504973</v>
      </c>
    </row>
    <row r="5747" spans="1:4">
      <c r="A5747">
        <v>1.018718</v>
      </c>
      <c r="B5747">
        <v>3.7770589999999999</v>
      </c>
      <c r="C5747">
        <f>LOG10(1.018718)</f>
        <v>8.0539798911576886E-3</v>
      </c>
      <c r="D5747">
        <f>LOG10(3.777059)</f>
        <v>0.57715376882919422</v>
      </c>
    </row>
    <row r="5748" spans="1:4">
      <c r="A5748">
        <v>1.0383439999999999</v>
      </c>
      <c r="B5748">
        <v>3.656104</v>
      </c>
      <c r="C5748">
        <f>LOG10(1.038344)</f>
        <v>1.6341257704751689E-2</v>
      </c>
      <c r="D5748">
        <f>LOG10(3.656104)</f>
        <v>0.56301854099607074</v>
      </c>
    </row>
    <row r="5749" spans="1:4">
      <c r="A5749">
        <v>1.0245629999999999</v>
      </c>
      <c r="B5749">
        <v>3.764173</v>
      </c>
      <c r="C5749">
        <f>LOG10(1.024563)</f>
        <v>1.0538668165371435E-2</v>
      </c>
      <c r="D5749">
        <f>LOG10(3.764173)</f>
        <v>0.57566957522780204</v>
      </c>
    </row>
    <row r="5750" spans="1:4">
      <c r="A5750">
        <v>1.0299400000000001</v>
      </c>
      <c r="B5750">
        <v>3.9100169999999999</v>
      </c>
      <c r="C5750">
        <f>LOG10(1.02994)</f>
        <v>1.2811925260604373E-2</v>
      </c>
      <c r="D5750">
        <f>LOG10(3.910017)</f>
        <v>0.59217864562863975</v>
      </c>
    </row>
    <row r="5751" spans="1:4">
      <c r="A5751">
        <v>1.012365</v>
      </c>
      <c r="B5751">
        <v>3.935835</v>
      </c>
      <c r="C5751">
        <f>LOG10(1.012365)</f>
        <v>5.3371220950471374E-3</v>
      </c>
      <c r="D5751">
        <f>LOG10(3.935835)</f>
        <v>0.5950368834352322</v>
      </c>
    </row>
    <row r="5752" spans="1:4">
      <c r="A5752">
        <v>1.0201279999999999</v>
      </c>
      <c r="B5752">
        <v>3.9477739999999999</v>
      </c>
      <c r="C5752">
        <f>LOG10(1.020128)</f>
        <v>8.6546680423044038E-3</v>
      </c>
      <c r="D5752">
        <f>LOG10(3.947774)</f>
        <v>0.59635228245699856</v>
      </c>
    </row>
    <row r="5753" spans="1:4">
      <c r="A5753">
        <v>1.0232049999999999</v>
      </c>
      <c r="B5753">
        <v>4.1018530000000002</v>
      </c>
      <c r="C5753">
        <f>LOG10(1.023205)</f>
        <v>9.9626537019343996E-3</v>
      </c>
      <c r="D5753">
        <f>LOG10(4.101853)</f>
        <v>0.6129800922993438</v>
      </c>
    </row>
    <row r="5754" spans="1:4">
      <c r="A5754">
        <v>1.0195639999999999</v>
      </c>
      <c r="B5754">
        <v>3.8040940000000001</v>
      </c>
      <c r="C5754">
        <f>LOG10(1.019564)</f>
        <v>8.4144924726241594E-3</v>
      </c>
      <c r="D5754">
        <f>LOG10(3.804094)</f>
        <v>0.58025123991020122</v>
      </c>
    </row>
    <row r="5755" spans="1:4">
      <c r="A5755">
        <v>1.0201279999999999</v>
      </c>
      <c r="B5755">
        <v>4.0587309999999999</v>
      </c>
      <c r="C5755">
        <f>LOG10(1.020128)</f>
        <v>8.6546680423044038E-3</v>
      </c>
      <c r="D5755">
        <f>LOG10(4.058731)</f>
        <v>0.60839026859076373</v>
      </c>
    </row>
    <row r="5756" spans="1:4">
      <c r="A5756">
        <v>1.020165</v>
      </c>
      <c r="B5756">
        <v>4.1055510000000002</v>
      </c>
      <c r="C5756">
        <f>LOG10(1.020165)</f>
        <v>8.6704195993917536E-3</v>
      </c>
      <c r="D5756">
        <f>LOG10(4.105551)</f>
        <v>0.6133714513948042</v>
      </c>
    </row>
    <row r="5757" spans="1:4">
      <c r="A5757">
        <v>1.022044</v>
      </c>
      <c r="B5757">
        <v>3.8249390000000001</v>
      </c>
      <c r="C5757">
        <f>LOG10(1.022044)</f>
        <v>9.4695930060012777E-3</v>
      </c>
      <c r="D5757">
        <f>LOG10(3.824939)</f>
        <v>0.5826245134309066</v>
      </c>
    </row>
    <row r="5758" spans="1:4">
      <c r="A5758">
        <v>1.0202169999999999</v>
      </c>
      <c r="B5758">
        <v>3.93743</v>
      </c>
      <c r="C5758">
        <f>LOG10(1.020217)</f>
        <v>8.6925559572539907E-3</v>
      </c>
      <c r="D5758">
        <f>LOG10(3.93743)</f>
        <v>0.59521284593823742</v>
      </c>
    </row>
    <row r="5759" spans="1:4">
      <c r="A5759">
        <v>1.0201910000000001</v>
      </c>
      <c r="B5759">
        <v>4.0090120000000002</v>
      </c>
      <c r="C5759">
        <f>LOG10(1.020191)</f>
        <v>8.6814879193615347E-3</v>
      </c>
      <c r="D5759">
        <f>LOG10(4.009012)</f>
        <v>0.60303735620711507</v>
      </c>
    </row>
    <row r="5760" spans="1:4">
      <c r="A5760">
        <v>1.0321720000000001</v>
      </c>
      <c r="B5760">
        <v>3.9742150000000001</v>
      </c>
      <c r="C5760">
        <f>LOG10(1.032172)</f>
        <v>1.3752073673645449E-2</v>
      </c>
      <c r="D5760">
        <f>LOG10(3.974215)</f>
        <v>0.59925135819097664</v>
      </c>
    </row>
    <row r="5761" spans="1:4">
      <c r="A5761">
        <v>1.019638</v>
      </c>
      <c r="B5761">
        <v>3.9563769999999998</v>
      </c>
      <c r="C5761">
        <f>LOG10(1.019638)</f>
        <v>8.4460124413913568E-3</v>
      </c>
      <c r="D5761">
        <f>LOG10(3.956377)</f>
        <v>0.59729766847080057</v>
      </c>
    </row>
    <row r="5762" spans="1:4">
      <c r="A5762">
        <v>1.024742</v>
      </c>
      <c r="B5762">
        <v>4.1124999999999998</v>
      </c>
      <c r="C5762">
        <f>LOG10(1.024742)</f>
        <v>1.0614536532899401E-2</v>
      </c>
      <c r="D5762">
        <f>LOG10(4.1125)</f>
        <v>0.61410591095803069</v>
      </c>
    </row>
    <row r="5763" spans="1:4">
      <c r="A5763">
        <v>1.020996</v>
      </c>
      <c r="B5763">
        <v>3.9416989999999998</v>
      </c>
      <c r="C5763">
        <f>LOG10(1.020996)</f>
        <v>9.0240406360478469E-3</v>
      </c>
      <c r="D5763">
        <f>LOG10(3.941699)</f>
        <v>0.5956834571757651</v>
      </c>
    </row>
    <row r="5764" spans="1:4">
      <c r="A5764">
        <v>1.030543</v>
      </c>
      <c r="B5764">
        <v>3.7662339999999999</v>
      </c>
      <c r="C5764">
        <f>LOG10(1.030543)</f>
        <v>1.3066117680598862E-2</v>
      </c>
      <c r="D5764">
        <f>LOG10(3.766234)</f>
        <v>0.57590729968268262</v>
      </c>
    </row>
    <row r="5765" spans="1:4">
      <c r="A5765">
        <v>1.017458</v>
      </c>
      <c r="B5765">
        <v>3.8563040000000002</v>
      </c>
      <c r="C5765">
        <f>LOG10(1.017458)</f>
        <v>7.5164908754296409E-3</v>
      </c>
      <c r="D5765">
        <f>LOG10(3.856304)</f>
        <v>0.58617126286524512</v>
      </c>
    </row>
    <row r="5766" spans="1:4">
      <c r="A5766">
        <v>1.0257050000000001</v>
      </c>
      <c r="B5766">
        <v>3.8021060000000002</v>
      </c>
      <c r="C5766">
        <f>LOG10(1.025705)</f>
        <v>1.1022472574965188E-2</v>
      </c>
      <c r="D5766">
        <f>LOG10(3.802106)</f>
        <v>0.58002422051820957</v>
      </c>
    </row>
    <row r="5767" spans="1:4">
      <c r="A5767">
        <v>1.0411360000000001</v>
      </c>
      <c r="B5767">
        <v>3.7077149999999999</v>
      </c>
      <c r="C5767">
        <f>LOG10(1.041136)</f>
        <v>1.7507463604392526E-2</v>
      </c>
      <c r="D5767">
        <f>LOG10(3.707715)</f>
        <v>0.56910634395027226</v>
      </c>
    </row>
    <row r="5768" spans="1:4">
      <c r="A5768">
        <v>1.018831</v>
      </c>
      <c r="B5768">
        <v>3.737781</v>
      </c>
      <c r="C5768">
        <f>LOG10(1.018831)</f>
        <v>8.1021507832495041E-3</v>
      </c>
      <c r="D5768">
        <f>LOG10(3.737781)</f>
        <v>0.57261385207818305</v>
      </c>
    </row>
    <row r="5769" spans="1:4">
      <c r="A5769">
        <v>1.0097670000000001</v>
      </c>
      <c r="B5769">
        <v>3.9055219999999999</v>
      </c>
      <c r="C5769">
        <f>LOG10(1.009767)</f>
        <v>4.2211734974291803E-3</v>
      </c>
      <c r="D5769">
        <f>LOG10(3.905522)</f>
        <v>0.59167908855102791</v>
      </c>
    </row>
    <row r="5770" spans="1:4">
      <c r="A5770">
        <v>1.016087</v>
      </c>
      <c r="B5770">
        <v>3.7825690000000001</v>
      </c>
      <c r="C5770">
        <f>LOG10(1.016087)</f>
        <v>6.9308949580517394E-3</v>
      </c>
      <c r="D5770">
        <f>LOG10(3.782569)</f>
        <v>0.57778685898099647</v>
      </c>
    </row>
    <row r="5771" spans="1:4">
      <c r="A5771">
        <v>1.028125</v>
      </c>
      <c r="B5771">
        <v>4.0259850000000004</v>
      </c>
      <c r="C5771">
        <f>LOG10(1.028125)</f>
        <v>1.20459196300683E-2</v>
      </c>
      <c r="D5771">
        <f>LOG10(4.025985)</f>
        <v>0.60487215246287807</v>
      </c>
    </row>
    <row r="5772" spans="1:4">
      <c r="A5772">
        <v>1.023647</v>
      </c>
      <c r="B5772">
        <v>3.6382859999999999</v>
      </c>
      <c r="C5772">
        <f>LOG10(1.023647)</f>
        <v>1.0150217985023722E-2</v>
      </c>
      <c r="D5772">
        <f>LOG10(3.638286)</f>
        <v>0.56089683528265688</v>
      </c>
    </row>
    <row r="5773" spans="1:4">
      <c r="A5773">
        <v>1.0169999999999999</v>
      </c>
      <c r="B5773">
        <v>3.6231260000000001</v>
      </c>
      <c r="C5773">
        <f>LOG10(1.017)</f>
        <v>7.3209529227445565E-3</v>
      </c>
      <c r="D5773">
        <f>LOG10(3.623126)</f>
        <v>0.55908343758220502</v>
      </c>
    </row>
    <row r="5774" spans="1:4">
      <c r="A5774">
        <v>1.0207949999999999</v>
      </c>
      <c r="B5774">
        <v>3.750356</v>
      </c>
      <c r="C5774">
        <f>LOG10(1.020795)</f>
        <v>8.9385341457708396E-3</v>
      </c>
      <c r="D5774">
        <f>LOG10(3.750356)</f>
        <v>0.57407249479365374</v>
      </c>
    </row>
    <row r="5775" spans="1:4">
      <c r="A5775">
        <v>1.022634</v>
      </c>
      <c r="B5775">
        <v>4.087739</v>
      </c>
      <c r="C5775">
        <f>LOG10(1.022634)</f>
        <v>9.7202278261877238E-3</v>
      </c>
      <c r="D5775">
        <f>LOG10(4.087739)</f>
        <v>0.61148315853605051</v>
      </c>
    </row>
    <row r="5776" spans="1:4">
      <c r="A5776">
        <v>1.0217309999999999</v>
      </c>
      <c r="B5776">
        <v>3.739598</v>
      </c>
      <c r="C5776">
        <f>LOG10(1.021731)</f>
        <v>9.3365703651543466E-3</v>
      </c>
      <c r="D5776">
        <f>LOG10(3.739598)</f>
        <v>0.57282491884078801</v>
      </c>
    </row>
    <row r="5777" spans="1:4">
      <c r="A5777">
        <v>1.0203249999999999</v>
      </c>
      <c r="B5777">
        <v>3.6615229999999999</v>
      </c>
      <c r="C5777">
        <f>LOG10(1.020325)</f>
        <v>8.7385278648053639E-3</v>
      </c>
      <c r="D5777">
        <f>LOG10(3.661523)</f>
        <v>0.56366176651922006</v>
      </c>
    </row>
    <row r="5778" spans="1:4">
      <c r="A5778">
        <v>1.0142260000000001</v>
      </c>
      <c r="B5778">
        <v>3.519558</v>
      </c>
      <c r="C5778">
        <f>LOG10(1.014226)</f>
        <v>6.1347396291248505E-3</v>
      </c>
      <c r="D5778">
        <f>LOG10(3.519558)</f>
        <v>0.54648812648553757</v>
      </c>
    </row>
    <row r="5779" spans="1:4">
      <c r="A5779">
        <v>1.02315</v>
      </c>
      <c r="B5779">
        <v>3.7335419999999999</v>
      </c>
      <c r="C5779">
        <f>LOG10(1.02315)</f>
        <v>9.9393085868293533E-3</v>
      </c>
      <c r="D5779">
        <f>LOG10(3.733542)</f>
        <v>0.5721210412316089</v>
      </c>
    </row>
    <row r="5780" spans="1:4">
      <c r="A5780">
        <v>1.011441</v>
      </c>
      <c r="B5780">
        <v>3.6340370000000002</v>
      </c>
      <c r="C5780">
        <f>LOG10(1.011441)</f>
        <v>4.9405543122046265E-3</v>
      </c>
      <c r="D5780">
        <f>LOG10(3.634037)</f>
        <v>0.56038934477004176</v>
      </c>
    </row>
    <row r="5781" spans="1:4">
      <c r="A5781">
        <v>1.0184800000000001</v>
      </c>
      <c r="B5781">
        <v>3.7470699999999999</v>
      </c>
      <c r="C5781">
        <f>LOG10(1.01848)</f>
        <v>7.952505133021065E-3</v>
      </c>
      <c r="D5781">
        <f>LOG10(3.74707)</f>
        <v>0.57369180633899952</v>
      </c>
    </row>
    <row r="5782" spans="1:4">
      <c r="A5782">
        <v>1.0089570000000001</v>
      </c>
      <c r="B5782">
        <v>3.7104879999999998</v>
      </c>
      <c r="C5782">
        <f>LOG10(1.008957)</f>
        <v>3.8726577526121734E-3</v>
      </c>
      <c r="D5782">
        <f>LOG10(3.710488)</f>
        <v>0.56943103138587126</v>
      </c>
    </row>
    <row r="5783" spans="1:4">
      <c r="A5783">
        <v>1.0187059999999999</v>
      </c>
      <c r="B5783">
        <v>3.5234969999999999</v>
      </c>
      <c r="C5783">
        <f>LOG10(1.018706)</f>
        <v>8.0488640843516899E-3</v>
      </c>
      <c r="D5783">
        <f>LOG10(3.523497)</f>
        <v>0.54697390606345586</v>
      </c>
    </row>
    <row r="5784" spans="1:4">
      <c r="A5784">
        <v>1.0207660000000001</v>
      </c>
      <c r="B5784">
        <v>3.4767410000000001</v>
      </c>
      <c r="C5784">
        <f>LOG10(1.020766)</f>
        <v>8.926195998660888E-3</v>
      </c>
      <c r="D5784">
        <f>LOG10(3.476741)</f>
        <v>0.54117233909844531</v>
      </c>
    </row>
    <row r="5785" spans="1:4">
      <c r="A5785">
        <v>1.0169859999999999</v>
      </c>
      <c r="B5785">
        <v>3.4971369999999999</v>
      </c>
      <c r="C5785">
        <f>LOG10(1.016986)</f>
        <v>7.3149743931512122E-3</v>
      </c>
      <c r="D5785">
        <f>LOG10(3.497137)</f>
        <v>0.5437126460863636</v>
      </c>
    </row>
    <row r="5786" spans="1:4">
      <c r="A5786">
        <v>1.009919</v>
      </c>
      <c r="B5786">
        <v>3.6015999999999999</v>
      </c>
      <c r="C5786">
        <f>LOG10(1.009919)</f>
        <v>4.286542828477566E-3</v>
      </c>
      <c r="D5786">
        <f>LOG10(3.6016)</f>
        <v>0.5564954776564448</v>
      </c>
    </row>
    <row r="5787" spans="1:4">
      <c r="A5787">
        <v>1.0139149999999999</v>
      </c>
      <c r="B5787">
        <v>3.8770349999999998</v>
      </c>
      <c r="C5787">
        <f>LOG10(1.013915)</f>
        <v>6.0015481153882552E-3</v>
      </c>
      <c r="D5787">
        <f>LOG10(3.877035)</f>
        <v>0.58849972162579545</v>
      </c>
    </row>
    <row r="5788" spans="1:4">
      <c r="A5788">
        <v>1.0145059999999999</v>
      </c>
      <c r="B5788">
        <v>3.6237149999999998</v>
      </c>
      <c r="C5788">
        <f>LOG10(1.014506)</f>
        <v>6.2546198850728651E-3</v>
      </c>
      <c r="D5788">
        <f>LOG10(3.623715)</f>
        <v>0.55915403370826988</v>
      </c>
    </row>
    <row r="5789" spans="1:4">
      <c r="A5789">
        <v>1.0198590000000001</v>
      </c>
      <c r="B5789">
        <v>3.6097700000000001</v>
      </c>
      <c r="C5789">
        <f>LOG10(1.019859)</f>
        <v>8.5401327866297064E-3</v>
      </c>
      <c r="D5789">
        <f>LOG10(3.60977)</f>
        <v>0.55747953129264072</v>
      </c>
    </row>
    <row r="5790" spans="1:4">
      <c r="A5790">
        <v>1.018354</v>
      </c>
      <c r="B5790">
        <v>3.4195220000000002</v>
      </c>
      <c r="C5790">
        <f>LOG10(1.018354)</f>
        <v>7.898773601841165E-3</v>
      </c>
      <c r="D5790">
        <f>LOG10(3.419522)</f>
        <v>0.5339654021757505</v>
      </c>
    </row>
    <row r="5791" spans="1:4">
      <c r="A5791">
        <v>1.017191</v>
      </c>
      <c r="B5791">
        <v>3.43424</v>
      </c>
      <c r="C5791">
        <f>LOG10(1.017191)</f>
        <v>7.4025089283382434E-3</v>
      </c>
      <c r="D5791">
        <f>LOG10(3.43424)</f>
        <v>0.53583064231980737</v>
      </c>
    </row>
    <row r="5792" spans="1:4">
      <c r="A5792">
        <v>1.01227</v>
      </c>
      <c r="B5792">
        <v>3.698626</v>
      </c>
      <c r="C5792">
        <f>LOG10(1.01227)</f>
        <v>5.2963661308253699E-3</v>
      </c>
      <c r="D5792">
        <f>LOG10(3.698626)</f>
        <v>0.56804041827183926</v>
      </c>
    </row>
    <row r="5793" spans="1:4">
      <c r="A5793">
        <v>1.018038</v>
      </c>
      <c r="B5793">
        <v>3.473929</v>
      </c>
      <c r="C5793">
        <f>LOG10(1.018038)</f>
        <v>7.7639890835529725E-3</v>
      </c>
      <c r="D5793">
        <f>LOG10(3.473929)</f>
        <v>0.54082093811127729</v>
      </c>
    </row>
    <row r="5794" spans="1:4">
      <c r="A5794">
        <v>1.0193110000000001</v>
      </c>
      <c r="B5794">
        <v>3.2669670000000002</v>
      </c>
      <c r="C5794">
        <f>LOG10(1.019311)</f>
        <v>8.3067109710751128E-3</v>
      </c>
      <c r="D5794">
        <f>LOG10(3.266967)</f>
        <v>0.51414474764033313</v>
      </c>
    </row>
    <row r="5795" spans="1:4">
      <c r="A5795">
        <v>1.531379</v>
      </c>
      <c r="B5795">
        <v>3.3696920000000001</v>
      </c>
      <c r="C5795">
        <f>LOG10(1.531379)</f>
        <v>0.18508268726186841</v>
      </c>
      <c r="D5795">
        <f>LOG10(3.369692)</f>
        <v>0.52759020686142855</v>
      </c>
    </row>
    <row r="5796" spans="1:4">
      <c r="A5796">
        <v>1.022097</v>
      </c>
      <c r="B5796">
        <v>3.378269</v>
      </c>
      <c r="C5796">
        <f>LOG10(1.022097)</f>
        <v>9.4921135733653361E-3</v>
      </c>
      <c r="D5796">
        <f>LOG10(3.378269)</f>
        <v>0.52869422799529553</v>
      </c>
    </row>
    <row r="5797" spans="1:4">
      <c r="A5797">
        <v>1.017396</v>
      </c>
      <c r="B5797">
        <v>3.269536</v>
      </c>
      <c r="C5797">
        <f>LOG10(1.017396)</f>
        <v>7.4900258239946615E-3</v>
      </c>
      <c r="D5797">
        <f>LOG10(3.269536)</f>
        <v>0.51448612362729618</v>
      </c>
    </row>
    <row r="5798" spans="1:4">
      <c r="A5798">
        <v>1.0240929999999999</v>
      </c>
      <c r="B5798">
        <v>3.446151</v>
      </c>
      <c r="C5798">
        <f>LOG10(1.024093)</f>
        <v>1.0339397609381915E-2</v>
      </c>
      <c r="D5798">
        <f>LOG10(3.446151)</f>
        <v>0.5373343030104486</v>
      </c>
    </row>
    <row r="5799" spans="1:4">
      <c r="A5799">
        <v>1.017272</v>
      </c>
      <c r="B5799">
        <v>3.610865</v>
      </c>
      <c r="C5799">
        <f>LOG10(1.017272)</f>
        <v>7.4370908824487377E-3</v>
      </c>
      <c r="D5799">
        <f>LOG10(3.610865)</f>
        <v>0.55761125169156123</v>
      </c>
    </row>
    <row r="5800" spans="1:4">
      <c r="A5800">
        <v>1.011679</v>
      </c>
      <c r="B5800">
        <v>3.7677200000000002</v>
      </c>
      <c r="C5800">
        <f>LOG10(1.011679)</f>
        <v>5.0427351884450595E-3</v>
      </c>
      <c r="D5800">
        <f>LOG10(3.76772)</f>
        <v>0.57607862050796965</v>
      </c>
    </row>
    <row r="5801" spans="1:4">
      <c r="A5801">
        <v>1.0446569999999999</v>
      </c>
      <c r="B5801">
        <v>3.9363220000000001</v>
      </c>
      <c r="C5801">
        <f>LOG10(1.044657)</f>
        <v>1.8973718715319079E-2</v>
      </c>
      <c r="D5801">
        <f>LOG10(3.936322)</f>
        <v>0.59509061747863523</v>
      </c>
    </row>
    <row r="5802" spans="1:4">
      <c r="A5802">
        <v>1.022923</v>
      </c>
      <c r="B5802">
        <v>3.6425489999999998</v>
      </c>
      <c r="C5802">
        <f>LOG10(1.022923)</f>
        <v>9.8429436499023627E-3</v>
      </c>
      <c r="D5802">
        <f>LOG10(3.642549)</f>
        <v>0.56140540266206318</v>
      </c>
    </row>
    <row r="5803" spans="1:4">
      <c r="A5803">
        <v>1.0068440000000001</v>
      </c>
      <c r="B5803">
        <v>3.671421</v>
      </c>
      <c r="C5803">
        <f>LOG10(1.006844)</f>
        <v>2.9621863555248178E-3</v>
      </c>
      <c r="D5803">
        <f>LOG10(3.671421)</f>
        <v>0.56483418768936167</v>
      </c>
    </row>
    <row r="5804" spans="1:4">
      <c r="A5804">
        <v>1.0107699999999999</v>
      </c>
      <c r="B5804">
        <v>4.0506859999999998</v>
      </c>
      <c r="C5804">
        <f>LOG10(1.01077)</f>
        <v>4.6523434301037527E-3</v>
      </c>
      <c r="D5804">
        <f>LOG10(4.050686)</f>
        <v>0.60752857896421808</v>
      </c>
    </row>
    <row r="5805" spans="1:4">
      <c r="A5805">
        <v>1.026429</v>
      </c>
      <c r="B5805">
        <v>4.2297029999999998</v>
      </c>
      <c r="C5805">
        <f>LOG10(1.026429)</f>
        <v>1.1328913789762694E-2</v>
      </c>
      <c r="D5805">
        <f>LOG10(4.229703)</f>
        <v>0.62630987328767818</v>
      </c>
    </row>
    <row r="5806" spans="1:4">
      <c r="A5806">
        <v>1.012554</v>
      </c>
      <c r="B5806">
        <v>3.8828499999999999</v>
      </c>
      <c r="C5806">
        <f>LOG10(1.012554)</f>
        <v>5.4181936414330143E-3</v>
      </c>
      <c r="D5806">
        <f>LOG10(3.88285)</f>
        <v>0.58915061345859587</v>
      </c>
    </row>
    <row r="5807" spans="1:4">
      <c r="A5807">
        <v>1.011072</v>
      </c>
      <c r="B5807">
        <v>3.8698030000000001</v>
      </c>
      <c r="C5807">
        <f>LOG10(1.011072)</f>
        <v>4.7820834735989495E-3</v>
      </c>
      <c r="D5807">
        <f>LOG10(3.869803)</f>
        <v>0.5876888569593256</v>
      </c>
    </row>
    <row r="5808" spans="1:4">
      <c r="A5808">
        <v>1.059015</v>
      </c>
      <c r="B5808">
        <v>3.7405629999999999</v>
      </c>
      <c r="C5808">
        <f>LOG10(1.059015)</f>
        <v>2.4902111543833351E-2</v>
      </c>
      <c r="D5808">
        <f>LOG10(3.740563)</f>
        <v>0.57293697369558638</v>
      </c>
    </row>
    <row r="5809" spans="1:4">
      <c r="A5809">
        <v>1.0174559999999999</v>
      </c>
      <c r="B5809">
        <v>3.6611129999999998</v>
      </c>
      <c r="C5809">
        <f>LOG10(1.017456)</f>
        <v>7.515637189265182E-3</v>
      </c>
      <c r="D5809">
        <f>LOG10(3.661113)</f>
        <v>0.56361313355760179</v>
      </c>
    </row>
    <row r="5810" spans="1:4">
      <c r="A5810">
        <v>1.0147809999999999</v>
      </c>
      <c r="B5810">
        <v>3.6842459999999999</v>
      </c>
      <c r="C5810">
        <f>LOG10(1.014781)</f>
        <v>6.3723272209543855E-3</v>
      </c>
      <c r="D5810">
        <f>LOG10(3.684246)</f>
        <v>0.56634862067673641</v>
      </c>
    </row>
    <row r="5811" spans="1:4">
      <c r="A5811">
        <v>1.0157910000000001</v>
      </c>
      <c r="B5811">
        <v>3.1692930000000001</v>
      </c>
      <c r="C5811">
        <f>LOG10(1.015791)</f>
        <v>6.804360621292669E-3</v>
      </c>
      <c r="D5811">
        <f>LOG10(3.169293)</f>
        <v>0.50096239141528864</v>
      </c>
    </row>
    <row r="5812" spans="1:4">
      <c r="A5812">
        <v>1.021323</v>
      </c>
      <c r="B5812">
        <v>3.1884579999999998</v>
      </c>
      <c r="C5812">
        <f>LOG10(1.021323)</f>
        <v>9.1631122470899051E-3</v>
      </c>
      <c r="D5812">
        <f>LOG10(3.188458)</f>
        <v>0.5035807006118499</v>
      </c>
    </row>
    <row r="5813" spans="1:4">
      <c r="A5813">
        <v>1.0246949999999999</v>
      </c>
      <c r="B5813">
        <v>3.0114770000000002</v>
      </c>
      <c r="C5813">
        <f>LOG10(1.024695)</f>
        <v>1.059461707145405E-2</v>
      </c>
      <c r="D5813">
        <f>LOG10(3.011477)</f>
        <v>0.4787795506175978</v>
      </c>
    </row>
    <row r="5814" spans="1:4">
      <c r="A5814">
        <v>1.0175829999999999</v>
      </c>
      <c r="B5814">
        <v>3.110484</v>
      </c>
      <c r="C5814">
        <f>LOG10(1.017583)</f>
        <v>7.5698429310453747E-3</v>
      </c>
      <c r="D5814">
        <f>LOG10(3.110484)</f>
        <v>0.4928279717196522</v>
      </c>
    </row>
    <row r="5815" spans="1:4">
      <c r="A5815">
        <v>1.0162359999999999</v>
      </c>
      <c r="B5815">
        <v>3.1350609999999999</v>
      </c>
      <c r="C5815">
        <f>LOG10(1.016236)</f>
        <v>6.9945756603018308E-3</v>
      </c>
      <c r="D5815">
        <f>LOG10(3.135061)</f>
        <v>0.49624599547157178</v>
      </c>
    </row>
    <row r="5816" spans="1:4">
      <c r="A5816">
        <v>1.033188</v>
      </c>
      <c r="B5816">
        <v>3.3487450000000001</v>
      </c>
      <c r="C5816">
        <f>LOG10(1.033188)</f>
        <v>1.4179353401349761E-2</v>
      </c>
      <c r="D5816">
        <f>LOG10(3.348745)</f>
        <v>0.52488207817310573</v>
      </c>
    </row>
    <row r="5817" spans="1:4">
      <c r="A5817">
        <v>1.0143249999999999</v>
      </c>
      <c r="B5817">
        <v>3.2872659999999998</v>
      </c>
      <c r="C5817">
        <f>LOG10(1.014325)</f>
        <v>6.1771296442070358E-3</v>
      </c>
      <c r="D5817">
        <f>LOG10(3.287266)</f>
        <v>0.51683484787782896</v>
      </c>
    </row>
    <row r="5818" spans="1:4">
      <c r="A5818">
        <v>1.010311</v>
      </c>
      <c r="B5818">
        <v>3.5278119999999999</v>
      </c>
      <c r="C5818">
        <f>LOG10(1.010311)</f>
        <v>4.4550814988691895E-3</v>
      </c>
      <c r="D5818">
        <f>LOG10(3.527812)</f>
        <v>0.54750543316667366</v>
      </c>
    </row>
    <row r="5819" spans="1:4">
      <c r="A5819">
        <v>1.0174639999999999</v>
      </c>
      <c r="B5819">
        <v>3.4182169999999998</v>
      </c>
      <c r="C5819">
        <f>LOG10(1.017464)</f>
        <v>7.5190519238544995E-3</v>
      </c>
      <c r="D5819">
        <f>LOG10(3.418217)</f>
        <v>0.533799629745488</v>
      </c>
    </row>
    <row r="5820" spans="1:4">
      <c r="A5820">
        <v>1.0247580000000001</v>
      </c>
      <c r="B5820">
        <v>3.1255950000000001</v>
      </c>
      <c r="C5820">
        <f>LOG10(1.024758)</f>
        <v>1.0621317417710916E-2</v>
      </c>
      <c r="D5820">
        <f>LOG10(3.125595)</f>
        <v>0.49493270347839097</v>
      </c>
    </row>
    <row r="5821" spans="1:4">
      <c r="A5821">
        <v>1.022921</v>
      </c>
      <c r="B5821">
        <v>3.0754220000000001</v>
      </c>
      <c r="C5821">
        <f>LOG10(1.022921)</f>
        <v>9.8420945245889634E-3</v>
      </c>
      <c r="D5821">
        <f>LOG10(3.075422)</f>
        <v>0.48790471676078767</v>
      </c>
    </row>
    <row r="5822" spans="1:4">
      <c r="A5822">
        <v>1.0134909999999999</v>
      </c>
      <c r="B5822">
        <v>3.1154030000000001</v>
      </c>
      <c r="C5822">
        <f>LOG10(1.013491)</f>
        <v>5.8198964254834538E-3</v>
      </c>
      <c r="D5822">
        <f>LOG10(3.115403)</f>
        <v>0.49351423377387904</v>
      </c>
    </row>
    <row r="5823" spans="1:4">
      <c r="A5823">
        <v>1.0185850000000001</v>
      </c>
      <c r="B5823">
        <v>3.0635560000000002</v>
      </c>
      <c r="C5823">
        <f>LOG10(1.018585)</f>
        <v>7.9972763314268471E-3</v>
      </c>
      <c r="D5823">
        <f>LOG10(3.063556)</f>
        <v>0.48622582338796727</v>
      </c>
    </row>
    <row r="5824" spans="1:4">
      <c r="A5824">
        <v>1.0204530000000001</v>
      </c>
      <c r="B5824">
        <v>3.0465490000000002</v>
      </c>
      <c r="C5824">
        <f>LOG10(1.020453)</f>
        <v>8.7930067878009728E-3</v>
      </c>
      <c r="D5824">
        <f>LOG10(3.046549)</f>
        <v>0.4838081676101606</v>
      </c>
    </row>
    <row r="5825" spans="1:4">
      <c r="A5825">
        <v>1.0163249999999999</v>
      </c>
      <c r="B5825">
        <v>3.116879</v>
      </c>
      <c r="C5825">
        <f>LOG10(1.016325)</f>
        <v>7.0326086727566543E-3</v>
      </c>
      <c r="D5825">
        <f>LOG10(3.116879)</f>
        <v>0.4937199429081171</v>
      </c>
    </row>
    <row r="5826" spans="1:4">
      <c r="A5826">
        <v>1.02057</v>
      </c>
      <c r="B5826">
        <v>3.061588</v>
      </c>
      <c r="C5826">
        <f>LOG10(1.02057)</f>
        <v>8.8427979507994352E-3</v>
      </c>
      <c r="D5826">
        <f>LOG10(3.061588)</f>
        <v>0.4859467469875442</v>
      </c>
    </row>
    <row r="5827" spans="1:4">
      <c r="A5827">
        <v>1.028826</v>
      </c>
      <c r="B5827">
        <v>3.1268690000000001</v>
      </c>
      <c r="C5827">
        <f>LOG10(1.028826)</f>
        <v>1.2341931001851374E-2</v>
      </c>
      <c r="D5827">
        <f>LOG10(3.126869)</f>
        <v>0.49510968688128681</v>
      </c>
    </row>
    <row r="5828" spans="1:4">
      <c r="A5828">
        <v>1.0138659999999999</v>
      </c>
      <c r="B5828">
        <v>2.9991080000000001</v>
      </c>
      <c r="C5828">
        <f>LOG10(1.013866)</f>
        <v>5.9805592318575521E-3</v>
      </c>
      <c r="D5828">
        <f>LOG10(2.999108)</f>
        <v>0.47699210529254343</v>
      </c>
    </row>
    <row r="5829" spans="1:4">
      <c r="A5829">
        <v>1.0215449999999999</v>
      </c>
      <c r="B5829">
        <v>3.031698</v>
      </c>
      <c r="C5829">
        <f>LOG10(1.021545)</f>
        <v>9.2575024625732583E-3</v>
      </c>
      <c r="D5829">
        <f>LOG10(3.031698)</f>
        <v>0.48168593724172415</v>
      </c>
    </row>
    <row r="5830" spans="1:4">
      <c r="A5830">
        <v>1.018705</v>
      </c>
      <c r="B5830">
        <v>3.056743</v>
      </c>
      <c r="C5830">
        <f>LOG10(1.018705)</f>
        <v>8.0484377643977208E-3</v>
      </c>
      <c r="D5830">
        <f>LOG10(3.056743)</f>
        <v>0.48525892633689782</v>
      </c>
    </row>
    <row r="5831" spans="1:4">
      <c r="A5831">
        <v>1.0217849999999999</v>
      </c>
      <c r="B5831">
        <v>3.0346410000000001</v>
      </c>
      <c r="C5831">
        <f>LOG10(1.021785)</f>
        <v>9.3595228666549322E-3</v>
      </c>
      <c r="D5831">
        <f>LOG10(3.034641)</f>
        <v>0.48210732113092436</v>
      </c>
    </row>
    <row r="5832" spans="1:4">
      <c r="A5832">
        <v>1.0230680000000001</v>
      </c>
      <c r="B5832">
        <v>2.900134</v>
      </c>
      <c r="C5832">
        <f>LOG10(1.023068)</f>
        <v>9.9045008121591144E-3</v>
      </c>
      <c r="D5832">
        <f>LOG10(2.900134)</f>
        <v>0.46241806483554249</v>
      </c>
    </row>
    <row r="5833" spans="1:4">
      <c r="A5833">
        <v>1.01694</v>
      </c>
      <c r="B5833">
        <v>3.0354760000000001</v>
      </c>
      <c r="C5833">
        <f>LOG10(1.01694)</f>
        <v>7.2953300735732621E-3</v>
      </c>
      <c r="D5833">
        <f>LOG10(3.035476)</f>
        <v>0.48222680347193247</v>
      </c>
    </row>
    <row r="5834" spans="1:4">
      <c r="A5834">
        <v>1.0108790000000001</v>
      </c>
      <c r="B5834">
        <v>3.1898650000000002</v>
      </c>
      <c r="C5834">
        <f>LOG10(1.010879)</f>
        <v>4.6991746046284944E-3</v>
      </c>
      <c r="D5834">
        <f>LOG10(3.189865)</f>
        <v>0.50377230343470769</v>
      </c>
    </row>
    <row r="5835" spans="1:4">
      <c r="A5835">
        <v>1.0206980000000001</v>
      </c>
      <c r="B5835">
        <v>3.2189920000000001</v>
      </c>
      <c r="C5835">
        <f>LOG10(1.020698)</f>
        <v>8.8972637962999104E-3</v>
      </c>
      <c r="D5835">
        <f>LOG10(3.218992)</f>
        <v>0.50771989735657574</v>
      </c>
    </row>
    <row r="5836" spans="1:4">
      <c r="A5836">
        <v>1.01355</v>
      </c>
      <c r="B5836">
        <v>3.0191569999999999</v>
      </c>
      <c r="C5836">
        <f>LOG10(1.01355)</f>
        <v>5.845177980656281E-3</v>
      </c>
      <c r="D5836">
        <f>LOG10(3.019157)</f>
        <v>0.47988569747516618</v>
      </c>
    </row>
    <row r="5837" spans="1:4">
      <c r="A5837">
        <v>1.026168</v>
      </c>
      <c r="B5837">
        <v>3.0273409999999998</v>
      </c>
      <c r="C5837">
        <f>LOG10(1.026168)</f>
        <v>1.1218467501097468E-2</v>
      </c>
      <c r="D5837">
        <f>LOG10(3.027341)</f>
        <v>0.48106134268677797</v>
      </c>
    </row>
    <row r="5838" spans="1:4">
      <c r="A5838">
        <v>1.0215019999999999</v>
      </c>
      <c r="B5838">
        <v>2.9720499999999999</v>
      </c>
      <c r="C5838">
        <f>LOG10(1.021502)</f>
        <v>9.2392212749896115E-3</v>
      </c>
      <c r="D5838">
        <f>LOG10(2.97205)</f>
        <v>0.47305611146183385</v>
      </c>
    </row>
    <row r="5839" spans="1:4">
      <c r="A5839">
        <v>1.0192049999999999</v>
      </c>
      <c r="B5839">
        <v>3.090014</v>
      </c>
      <c r="C5839">
        <f>LOG10(1.019205)</f>
        <v>8.2615455516000576E-3</v>
      </c>
      <c r="D5839">
        <f>LOG10(3.090014)</f>
        <v>0.48996044709764142</v>
      </c>
    </row>
    <row r="5840" spans="1:4">
      <c r="A5840">
        <v>1.0224979999999999</v>
      </c>
      <c r="B5840">
        <v>3.0758510000000001</v>
      </c>
      <c r="C5840">
        <f>LOG10(1.022498)</f>
        <v>9.6624672027893661E-3</v>
      </c>
      <c r="D5840">
        <f>LOG10(3.075851)</f>
        <v>0.48796529359847268</v>
      </c>
    </row>
    <row r="5841" spans="1:4">
      <c r="A5841">
        <v>1.0173760000000001</v>
      </c>
      <c r="B5841">
        <v>3.1806230000000002</v>
      </c>
      <c r="C5841">
        <f>LOG10(1.017376)</f>
        <v>7.48148836659078E-3</v>
      </c>
      <c r="D5841">
        <f>LOG10(3.180623)</f>
        <v>0.5025121951297733</v>
      </c>
    </row>
    <row r="5842" spans="1:4">
      <c r="A5842">
        <v>1.0145550000000001</v>
      </c>
      <c r="B5842">
        <v>3.0653190000000001</v>
      </c>
      <c r="C5842">
        <f>LOG10(1.014555)</f>
        <v>6.2755955281092032E-3</v>
      </c>
      <c r="D5842">
        <f>LOG10(3.065319)</f>
        <v>0.48647567713525813</v>
      </c>
    </row>
    <row r="5843" spans="1:4">
      <c r="A5843">
        <v>1.0209239999999999</v>
      </c>
      <c r="B5843">
        <v>3.1735380000000002</v>
      </c>
      <c r="C5843">
        <f>LOG10(1.020924)</f>
        <v>8.993413380611763E-3</v>
      </c>
      <c r="D5843">
        <f>LOG10(3.173538)</f>
        <v>0.50154370293089767</v>
      </c>
    </row>
    <row r="5844" spans="1:4">
      <c r="A5844">
        <v>1.025155</v>
      </c>
      <c r="B5844">
        <v>3.0332780000000001</v>
      </c>
      <c r="C5844">
        <f>LOG10(1.025155)</f>
        <v>1.0789534226396124E-2</v>
      </c>
      <c r="D5844">
        <f>LOG10(3.033278)</f>
        <v>0.48191221523422739</v>
      </c>
    </row>
    <row r="5845" spans="1:4">
      <c r="A5845">
        <v>1.015862</v>
      </c>
      <c r="B5845">
        <v>3.109067</v>
      </c>
      <c r="C5845">
        <f>LOG10(1.015862)</f>
        <v>6.8347151239834874E-3</v>
      </c>
      <c r="D5845">
        <f>LOG10(3.109067)</f>
        <v>0.49263008113510531</v>
      </c>
    </row>
    <row r="5846" spans="1:4">
      <c r="A5846">
        <v>1.02799</v>
      </c>
      <c r="B5846">
        <v>3.325577</v>
      </c>
      <c r="C5846">
        <f>LOG10(1.02799)</f>
        <v>1.1988889984215625E-2</v>
      </c>
      <c r="D5846">
        <f>LOG10(3.325577)</f>
        <v>0.52186700788749396</v>
      </c>
    </row>
    <row r="5847" spans="1:4">
      <c r="A5847">
        <v>1.038762</v>
      </c>
      <c r="B5847">
        <v>3.1420300000000001</v>
      </c>
      <c r="C5847">
        <f>LOG10(1.038762)</f>
        <v>1.6516053883556415E-2</v>
      </c>
      <c r="D5847">
        <f>LOG10(3.14203)</f>
        <v>0.49721032735330445</v>
      </c>
    </row>
    <row r="5848" spans="1:4">
      <c r="A5848">
        <v>1.0184930000000001</v>
      </c>
      <c r="B5848">
        <v>3.3190629999999999</v>
      </c>
      <c r="C5848">
        <f>LOG10(1.018493)</f>
        <v>7.9580484841257071E-3</v>
      </c>
      <c r="D5848">
        <f>LOG10(3.319063)</f>
        <v>0.5210154959436113</v>
      </c>
    </row>
    <row r="5849" spans="1:4">
      <c r="A5849">
        <v>1.00987</v>
      </c>
      <c r="B5849">
        <v>3.3039320000000001</v>
      </c>
      <c r="C5849">
        <f>LOG10(1.00987)</f>
        <v>4.2654708951049029E-3</v>
      </c>
      <c r="D5849">
        <f>LOG10(3.303932)</f>
        <v>0.51903110029220823</v>
      </c>
    </row>
    <row r="5850" spans="1:4">
      <c r="A5850">
        <v>1.0187170000000001</v>
      </c>
      <c r="B5850">
        <v>3.3312400000000002</v>
      </c>
      <c r="C5850">
        <f>LOG10(1.018717)</f>
        <v>8.0535535762255618E-3</v>
      </c>
      <c r="D5850">
        <f>LOG10(3.33124)</f>
        <v>0.5226059226704336</v>
      </c>
    </row>
    <row r="5851" spans="1:4">
      <c r="A5851">
        <v>1.0262070000000001</v>
      </c>
      <c r="B5851">
        <v>3.2489889999999999</v>
      </c>
      <c r="C5851">
        <f>LOG10(1.026207)</f>
        <v>1.1234972754568513E-2</v>
      </c>
      <c r="D5851">
        <f>LOG10(3.248989)</f>
        <v>0.51174824097028659</v>
      </c>
    </row>
    <row r="5852" spans="1:4">
      <c r="A5852">
        <v>1.024502</v>
      </c>
      <c r="B5852">
        <v>3.4096549999999999</v>
      </c>
      <c r="C5852">
        <f>LOG10(1.024502)</f>
        <v>1.0512810553822884E-2</v>
      </c>
      <c r="D5852">
        <f>LOG10(3.409655)</f>
        <v>0.5327104378851002</v>
      </c>
    </row>
    <row r="5853" spans="1:4">
      <c r="A5853">
        <v>1.0063660000000001</v>
      </c>
      <c r="B5853">
        <v>3.2453270000000001</v>
      </c>
      <c r="C5853">
        <f>LOG10(1.006366)</f>
        <v>2.7559557424733441E-3</v>
      </c>
      <c r="D5853">
        <f>LOG10(3.245327)</f>
        <v>0.51125846296709476</v>
      </c>
    </row>
    <row r="5854" spans="1:4">
      <c r="A5854">
        <v>1.012508</v>
      </c>
      <c r="B5854">
        <v>3.148263</v>
      </c>
      <c r="C5854">
        <f>LOG10(1.012508)</f>
        <v>5.398463335722887E-3</v>
      </c>
      <c r="D5854">
        <f>LOG10(3.148263)</f>
        <v>0.4980710053508669</v>
      </c>
    </row>
    <row r="5855" spans="1:4">
      <c r="A5855">
        <v>1.0116700000000001</v>
      </c>
      <c r="B5855">
        <v>3.1891150000000001</v>
      </c>
      <c r="C5855">
        <f>LOG10(1.01167)</f>
        <v>5.0388716430684356E-3</v>
      </c>
      <c r="D5855">
        <f>LOG10(3.189115)</f>
        <v>0.50367018025422172</v>
      </c>
    </row>
    <row r="5856" spans="1:4">
      <c r="A5856">
        <v>1.0092179999999999</v>
      </c>
      <c r="B5856">
        <v>3.2220249999999999</v>
      </c>
      <c r="C5856">
        <f>LOG10(1.009218)</f>
        <v>3.9849878135916304E-3</v>
      </c>
      <c r="D5856">
        <f>LOG10(3.222025)</f>
        <v>0.50812890582867587</v>
      </c>
    </row>
    <row r="5857" spans="1:4">
      <c r="A5857">
        <v>1.0063059999999999</v>
      </c>
      <c r="B5857">
        <v>3.1278489999999999</v>
      </c>
      <c r="C5857">
        <f>LOG10(1.006306)</f>
        <v>2.7300621354454839E-3</v>
      </c>
      <c r="D5857">
        <f>LOG10(3.127849)</f>
        <v>0.49524577889878396</v>
      </c>
    </row>
    <row r="5858" spans="1:4">
      <c r="A5858">
        <v>1.0171859999999999</v>
      </c>
      <c r="B5858">
        <v>3.3035230000000002</v>
      </c>
      <c r="C5858">
        <f>LOG10(1.017186)</f>
        <v>7.4003741495735059E-3</v>
      </c>
      <c r="D5858">
        <f>LOG10(3.303523)</f>
        <v>0.51897733482779718</v>
      </c>
    </row>
    <row r="5859" spans="1:4">
      <c r="A5859">
        <v>1.0107710000000001</v>
      </c>
      <c r="B5859">
        <v>3.2239710000000001</v>
      </c>
      <c r="C5859">
        <f>LOG10(1.010771)</f>
        <v>4.6527730968599201E-3</v>
      </c>
      <c r="D5859">
        <f>LOG10(3.223971)</f>
        <v>0.50839112662045394</v>
      </c>
    </row>
    <row r="5860" spans="1:4">
      <c r="A5860">
        <v>1.010262</v>
      </c>
      <c r="B5860">
        <v>3.2467450000000002</v>
      </c>
      <c r="C5860">
        <f>LOG10(1.010262)</f>
        <v>4.4340177415910153E-3</v>
      </c>
      <c r="D5860">
        <f>LOG10(3.246745)</f>
        <v>0.51144818039017081</v>
      </c>
    </row>
    <row r="5861" spans="1:4">
      <c r="A5861">
        <v>1.0117480000000001</v>
      </c>
      <c r="B5861">
        <v>3.1453739999999999</v>
      </c>
      <c r="C5861">
        <f>LOG10(1.011748)</f>
        <v>5.0723545611854465E-3</v>
      </c>
      <c r="D5861">
        <f>LOG10(3.145374)</f>
        <v>0.49767229254097839</v>
      </c>
    </row>
    <row r="5862" spans="1:4">
      <c r="A5862">
        <v>1.0165850000000001</v>
      </c>
      <c r="B5862">
        <v>3.165314</v>
      </c>
      <c r="C5862">
        <f>LOG10(1.016585)</f>
        <v>7.1436972757057066E-3</v>
      </c>
      <c r="D5862">
        <f>LOG10(3.165314)</f>
        <v>0.50041679861978772</v>
      </c>
    </row>
    <row r="5863" spans="1:4">
      <c r="A5863">
        <v>1.009927</v>
      </c>
      <c r="B5863">
        <v>3.1459630000000001</v>
      </c>
      <c r="C5863">
        <f>LOG10(1.009927)</f>
        <v>4.2899830470439796E-3</v>
      </c>
      <c r="D5863">
        <f>LOG10(3.145963)</f>
        <v>0.49775361053446321</v>
      </c>
    </row>
    <row r="5864" spans="1:4">
      <c r="A5864">
        <v>1.0164820000000001</v>
      </c>
      <c r="B5864">
        <v>3.2636289999999999</v>
      </c>
      <c r="C5864">
        <f>LOG10(1.016482)</f>
        <v>7.0996924970394932E-3</v>
      </c>
      <c r="D5864">
        <f>LOG10(3.263629)</f>
        <v>0.51370078353450299</v>
      </c>
    </row>
    <row r="5865" spans="1:4">
      <c r="A5865">
        <v>1.0209490000000001</v>
      </c>
      <c r="B5865">
        <v>3.25386</v>
      </c>
      <c r="C5865">
        <f>LOG10(1.020949)</f>
        <v>9.0040480890859875E-3</v>
      </c>
      <c r="D5865">
        <f>LOG10(3.25386)</f>
        <v>0.51239886312589866</v>
      </c>
    </row>
    <row r="5866" spans="1:4">
      <c r="A5866">
        <v>1.0227710000000001</v>
      </c>
      <c r="B5866">
        <v>3.3581819999999998</v>
      </c>
      <c r="C5866">
        <f>LOG10(1.022771)</f>
        <v>9.7784053940627828E-3</v>
      </c>
      <c r="D5866">
        <f>LOG10(3.358182)</f>
        <v>0.5261042294595043</v>
      </c>
    </row>
    <row r="5867" spans="1:4">
      <c r="A5867">
        <v>1.0199370000000001</v>
      </c>
      <c r="B5867">
        <v>3.3168769999999999</v>
      </c>
      <c r="C5867">
        <f>LOG10(1.019937)</f>
        <v>8.5733468625519803E-3</v>
      </c>
      <c r="D5867">
        <f>LOG10(3.316877)</f>
        <v>0.52072936684305249</v>
      </c>
    </row>
    <row r="5868" spans="1:4">
      <c r="A5868">
        <v>1.0179309999999999</v>
      </c>
      <c r="B5868">
        <v>3.5462440000000002</v>
      </c>
      <c r="C5868">
        <f>LOG10(1.017931)</f>
        <v>7.7183405401748907E-3</v>
      </c>
      <c r="D5868">
        <f>LOG10(3.546244)</f>
        <v>0.5497686140082525</v>
      </c>
    </row>
    <row r="5869" spans="1:4">
      <c r="A5869">
        <v>1.024194</v>
      </c>
      <c r="B5869">
        <v>3.4728560000000002</v>
      </c>
      <c r="C5869">
        <f>LOG10(1.024194)</f>
        <v>1.0382227293608623E-2</v>
      </c>
      <c r="D5869">
        <f>LOG10(3.472856)</f>
        <v>0.54068677591026248</v>
      </c>
    </row>
    <row r="5870" spans="1:4">
      <c r="A5870">
        <v>1.017882</v>
      </c>
      <c r="B5870">
        <v>3.361402</v>
      </c>
      <c r="C5870">
        <f>LOG10(1.017882)</f>
        <v>7.6974344651892668E-3</v>
      </c>
      <c r="D5870">
        <f>LOG10(3.361402)</f>
        <v>0.52652045413614157</v>
      </c>
    </row>
    <row r="5871" spans="1:4">
      <c r="A5871">
        <v>1.0246949999999999</v>
      </c>
      <c r="B5871">
        <v>3.4276010000000001</v>
      </c>
      <c r="C5871">
        <f>LOG10(1.024695)</f>
        <v>1.059461707145405E-2</v>
      </c>
      <c r="D5871">
        <f>LOG10(3.427601)</f>
        <v>0.53499026086385715</v>
      </c>
    </row>
    <row r="5872" spans="1:4">
      <c r="A5872">
        <v>1.0196810000000001</v>
      </c>
      <c r="B5872">
        <v>3.3171029999999999</v>
      </c>
      <c r="C5872">
        <f>LOG10(1.019681)</f>
        <v>8.4643270481052791E-3</v>
      </c>
      <c r="D5872">
        <f>LOG10(3.317103)</f>
        <v>0.52075895708991726</v>
      </c>
    </row>
    <row r="5873" spans="1:4">
      <c r="A5873">
        <v>1.0214289999999999</v>
      </c>
      <c r="B5873">
        <v>3.2835299999999998</v>
      </c>
      <c r="C5873">
        <f>LOG10(1.021429)</f>
        <v>9.2081840082464603E-3</v>
      </c>
      <c r="D5873">
        <f>LOG10(3.28353)</f>
        <v>0.5163409885769974</v>
      </c>
    </row>
    <row r="5874" spans="1:4">
      <c r="A5874">
        <v>1.016624</v>
      </c>
      <c r="B5874">
        <v>3.437602</v>
      </c>
      <c r="C5874">
        <f>LOG10(1.016624)</f>
        <v>7.1603581155861721E-3</v>
      </c>
      <c r="D5874">
        <f>LOG10(3.437602)</f>
        <v>0.53625559334884865</v>
      </c>
    </row>
    <row r="5875" spans="1:4">
      <c r="A5875">
        <v>1.0172699999999999</v>
      </c>
      <c r="B5875">
        <v>3.0561630000000002</v>
      </c>
      <c r="C5875">
        <f>LOG10(1.01727)</f>
        <v>7.4362370401944797E-3</v>
      </c>
      <c r="D5875">
        <f>LOG10(3.056163)</f>
        <v>0.48517651355310576</v>
      </c>
    </row>
    <row r="5876" spans="1:4">
      <c r="A5876">
        <v>1.014286</v>
      </c>
      <c r="B5876">
        <v>3.4408029999999998</v>
      </c>
      <c r="C5876">
        <f>LOG10(1.014286)</f>
        <v>6.1604310412750095E-3</v>
      </c>
      <c r="D5876">
        <f>LOG10(3.440803)</f>
        <v>0.5366598082029983</v>
      </c>
    </row>
    <row r="5877" spans="1:4">
      <c r="A5877">
        <v>1.0127079999999999</v>
      </c>
      <c r="B5877">
        <v>3.3701819999999998</v>
      </c>
      <c r="C5877">
        <f>LOG10(1.012708)</f>
        <v>5.4842407507373894E-3</v>
      </c>
      <c r="D5877">
        <f>LOG10(3.370182)</f>
        <v>0.527653354717459</v>
      </c>
    </row>
    <row r="5878" spans="1:4">
      <c r="A5878">
        <v>1.033002</v>
      </c>
      <c r="B5878">
        <v>3.5378820000000002</v>
      </c>
      <c r="C5878">
        <f>LOG10(1.033002)</f>
        <v>1.4101162360010662E-2</v>
      </c>
      <c r="D5878">
        <f>LOG10(3.537882)</f>
        <v>0.54874334366599409</v>
      </c>
    </row>
    <row r="5879" spans="1:4">
      <c r="A5879">
        <v>1.018635</v>
      </c>
      <c r="B5879">
        <v>3.5019740000000001</v>
      </c>
      <c r="C5879">
        <f>LOG10(1.018635)</f>
        <v>8.0185943276172168E-3</v>
      </c>
      <c r="D5879">
        <f>LOG10(3.501974)</f>
        <v>0.54431291739036103</v>
      </c>
    </row>
    <row r="5880" spans="1:4">
      <c r="A5880">
        <v>1.0176419999999999</v>
      </c>
      <c r="B5880">
        <v>3.579145</v>
      </c>
      <c r="C5880">
        <f>LOG10(1.017642)</f>
        <v>7.5950228246094605E-3</v>
      </c>
      <c r="D5880">
        <f>LOG10(3.579145)</f>
        <v>0.55377929308803975</v>
      </c>
    </row>
    <row r="5881" spans="1:4">
      <c r="A5881">
        <v>1.1283399999999999</v>
      </c>
      <c r="B5881">
        <v>3.3100070000000001</v>
      </c>
      <c r="C5881">
        <f>LOG10(1.12834)</f>
        <v>5.2439984287904848E-2</v>
      </c>
      <c r="D5881">
        <f>LOG10(3.310007)</f>
        <v>0.51982891222229244</v>
      </c>
    </row>
    <row r="5882" spans="1:4">
      <c r="A5882">
        <v>1.107739</v>
      </c>
      <c r="B5882">
        <v>3.2348889999999999</v>
      </c>
      <c r="C5882">
        <f>LOG10(1.107739)</f>
        <v>4.4437446121369996E-2</v>
      </c>
      <c r="D5882">
        <f>LOG10(3.234889)</f>
        <v>0.50985938314550772</v>
      </c>
    </row>
    <row r="5883" spans="1:4">
      <c r="A5883">
        <v>1.1062320000000001</v>
      </c>
      <c r="B5883">
        <v>3.360449</v>
      </c>
      <c r="C5883">
        <f>LOG10(1.106232)</f>
        <v>4.3846217161906002E-2</v>
      </c>
      <c r="D5883">
        <f>LOG10(3.360449)</f>
        <v>0.52639730869777146</v>
      </c>
    </row>
    <row r="5884" spans="1:4">
      <c r="A5884">
        <v>1.0982209999999999</v>
      </c>
      <c r="B5884">
        <v>3.210226</v>
      </c>
      <c r="C5884">
        <f>LOG10(1.098221)</f>
        <v>4.0689743959883271E-2</v>
      </c>
      <c r="D5884">
        <f>LOG10(3.210226)</f>
        <v>0.50653560782478746</v>
      </c>
    </row>
    <row r="5885" spans="1:4">
      <c r="A5885">
        <v>1.126422</v>
      </c>
      <c r="B5885">
        <v>3.2083110000000001</v>
      </c>
      <c r="C5885">
        <f>LOG10(1.126422)</f>
        <v>5.1701124029302659E-2</v>
      </c>
      <c r="D5885">
        <f>LOG10(3.208311)</f>
        <v>0.50627646030954465</v>
      </c>
    </row>
    <row r="5886" spans="1:4">
      <c r="A5886">
        <v>1.13324</v>
      </c>
      <c r="B5886">
        <v>2.9419759999999999</v>
      </c>
      <c r="C5886">
        <f>LOG10(1.13324)</f>
        <v>5.4321895421896305E-2</v>
      </c>
      <c r="D5886">
        <f>LOG10(2.941976)</f>
        <v>0.46863912552608639</v>
      </c>
    </row>
    <row r="5887" spans="1:4">
      <c r="A5887">
        <v>1.1099190000000001</v>
      </c>
      <c r="B5887">
        <v>2.9842580000000001</v>
      </c>
      <c r="C5887">
        <f>LOG10(1.109919)</f>
        <v>4.5291285870790024E-2</v>
      </c>
      <c r="D5887">
        <f>LOG10(2.984258)</f>
        <v>0.47483636676735813</v>
      </c>
    </row>
    <row r="5888" spans="1:4">
      <c r="A5888">
        <v>1.10734</v>
      </c>
      <c r="B5888">
        <v>3.0057459999999998</v>
      </c>
      <c r="C5888">
        <f>LOG10(1.10734)</f>
        <v>4.4280988044566816E-2</v>
      </c>
      <c r="D5888">
        <f>LOG10(3.005746)</f>
        <v>0.47795227782801214</v>
      </c>
    </row>
    <row r="5889" spans="1:4">
      <c r="A5889">
        <v>1.126997</v>
      </c>
      <c r="B5889">
        <v>3.2567529999999998</v>
      </c>
      <c r="C5889">
        <f>LOG10(1.126997)</f>
        <v>5.1922759981173267E-2</v>
      </c>
      <c r="D5889">
        <f>LOG10(3.256753)</f>
        <v>0.51278482187320495</v>
      </c>
    </row>
    <row r="5890" spans="1:4">
      <c r="A5890">
        <v>1.1291150000000001</v>
      </c>
      <c r="B5890">
        <v>3.3348939999999998</v>
      </c>
      <c r="C5890">
        <f>LOG10(1.129115)</f>
        <v>5.2738176931123079E-2</v>
      </c>
      <c r="D5890">
        <f>LOG10(3.334894)</f>
        <v>0.52308203437050138</v>
      </c>
    </row>
    <row r="5891" spans="1:4">
      <c r="A5891">
        <v>1.128903</v>
      </c>
      <c r="B5891">
        <v>3.3208839999999999</v>
      </c>
      <c r="C5891">
        <f>LOG10(1.128903)</f>
        <v>5.2656627155670391E-2</v>
      </c>
      <c r="D5891">
        <f>LOG10(3.320884)</f>
        <v>0.52125370575804897</v>
      </c>
    </row>
    <row r="5892" spans="1:4">
      <c r="A5892">
        <v>1.120233</v>
      </c>
      <c r="B5892">
        <v>3.0509430000000002</v>
      </c>
      <c r="C5892">
        <f>LOG10(1.120233)</f>
        <v>4.9308362036353207E-2</v>
      </c>
      <c r="D5892">
        <f>LOG10(3.050943)</f>
        <v>0.48443409390372771</v>
      </c>
    </row>
    <row r="5893" spans="1:4">
      <c r="A5893">
        <v>1.085553</v>
      </c>
      <c r="B5893">
        <v>3.1625860000000001</v>
      </c>
      <c r="C5893">
        <f>LOG10(1.085553)</f>
        <v>3.5651031885912746E-2</v>
      </c>
      <c r="D5893">
        <f>LOG10(3.162586)</f>
        <v>0.50004234408667914</v>
      </c>
    </row>
    <row r="5894" spans="1:4">
      <c r="A5894">
        <v>1.1043879999999999</v>
      </c>
      <c r="B5894">
        <v>3.2502719999999998</v>
      </c>
      <c r="C5894">
        <f>LOG10(1.104388)</f>
        <v>4.3121679059133965E-2</v>
      </c>
      <c r="D5894">
        <f>LOG10(3.250272)</f>
        <v>0.51191970656538111</v>
      </c>
    </row>
    <row r="5895" spans="1:4">
      <c r="A5895">
        <v>1.127901</v>
      </c>
      <c r="B5895">
        <v>3.2551399999999999</v>
      </c>
      <c r="C5895">
        <f>LOG10(1.127901)</f>
        <v>5.2270981703552016E-2</v>
      </c>
      <c r="D5895">
        <f>LOG10(3.25514)</f>
        <v>0.51256967183507118</v>
      </c>
    </row>
    <row r="5896" spans="1:4">
      <c r="A5896">
        <v>1.0946100000000001</v>
      </c>
      <c r="B5896">
        <v>3.4201299999999999</v>
      </c>
      <c r="C5896">
        <f>LOG10(1.09461)</f>
        <v>3.9259411397369832E-2</v>
      </c>
      <c r="D5896">
        <f>LOG10(3.42013)</f>
        <v>0.53404261401216924</v>
      </c>
    </row>
    <row r="5897" spans="1:4">
      <c r="A5897">
        <v>1.0688820000000001</v>
      </c>
      <c r="B5897">
        <v>3.1800790000000001</v>
      </c>
      <c r="C5897">
        <f>LOG10(1.068882)</f>
        <v>2.8929763602163081E-2</v>
      </c>
      <c r="D5897">
        <f>LOG10(3.180079)</f>
        <v>0.50243790892717133</v>
      </c>
    </row>
    <row r="5898" spans="1:4">
      <c r="A5898">
        <v>1.0704899999999999</v>
      </c>
      <c r="B5898">
        <v>3.3559709999999998</v>
      </c>
      <c r="C5898">
        <f>LOG10(1.07049)</f>
        <v>2.958261468033678E-2</v>
      </c>
      <c r="D5898">
        <f>LOG10(3.355971)</f>
        <v>0.5258181992977855</v>
      </c>
    </row>
    <row r="5899" spans="1:4">
      <c r="A5899">
        <v>1.1045910000000001</v>
      </c>
      <c r="B5899">
        <v>3.4049510000000001</v>
      </c>
      <c r="C5899">
        <f>LOG10(1.104591)</f>
        <v>4.3201500352206115E-2</v>
      </c>
      <c r="D5899">
        <f>LOG10(3.404951)</f>
        <v>0.53211086644477057</v>
      </c>
    </row>
    <row r="5900" spans="1:4">
      <c r="A5900">
        <v>1.1207549999999999</v>
      </c>
      <c r="B5900">
        <v>3.488836</v>
      </c>
      <c r="C5900">
        <f>LOG10(1.120755)</f>
        <v>4.9510685050714348E-2</v>
      </c>
      <c r="D5900">
        <f>LOG10(3.488836)</f>
        <v>0.54268055501158774</v>
      </c>
    </row>
    <row r="5901" spans="1:4">
      <c r="A5901">
        <v>1.094333</v>
      </c>
      <c r="B5901">
        <v>3.3439549999999998</v>
      </c>
      <c r="C5901">
        <f>LOG10(1.094333)</f>
        <v>3.9149495723796439E-2</v>
      </c>
      <c r="D5901">
        <f>LOG10(3.343955)</f>
        <v>0.52426042445382592</v>
      </c>
    </row>
    <row r="5902" spans="1:4">
      <c r="A5902">
        <v>1.1202319999999999</v>
      </c>
      <c r="B5902">
        <v>3.3815189999999999</v>
      </c>
      <c r="C5902">
        <f>LOG10(1.120232)</f>
        <v>4.9307974353901607E-2</v>
      </c>
      <c r="D5902">
        <f>LOG10(3.381519)</f>
        <v>0.52911183197191136</v>
      </c>
    </row>
    <row r="5903" spans="1:4">
      <c r="A5903">
        <v>1.090349</v>
      </c>
      <c r="B5903">
        <v>3.3180100000000001</v>
      </c>
      <c r="C5903">
        <f>LOG10(1.090349)</f>
        <v>3.7565529605259614E-2</v>
      </c>
      <c r="D5903">
        <f>LOG10(3.31801)</f>
        <v>0.52087769059077549</v>
      </c>
    </row>
    <row r="5904" spans="1:4">
      <c r="A5904">
        <v>1.1075980000000001</v>
      </c>
      <c r="B5904">
        <v>3.2702650000000002</v>
      </c>
      <c r="C5904">
        <f>LOG10(1.107598)</f>
        <v>4.4382162864663663E-2</v>
      </c>
      <c r="D5904">
        <f>LOG10(3.270265)</f>
        <v>0.51458294635282531</v>
      </c>
    </row>
    <row r="5905" spans="1:4">
      <c r="A5905">
        <v>1.109675</v>
      </c>
      <c r="B5905">
        <v>3.4307129999999999</v>
      </c>
      <c r="C5905">
        <f>LOG10(1.109675)</f>
        <v>4.5195801873255961E-2</v>
      </c>
      <c r="D5905">
        <f>LOG10(3.430713)</f>
        <v>0.53538438820198708</v>
      </c>
    </row>
    <row r="5906" spans="1:4">
      <c r="A5906">
        <v>1.0911839999999999</v>
      </c>
      <c r="B5906">
        <v>3.3902899999999998</v>
      </c>
      <c r="C5906">
        <f>LOG10(1.091184)</f>
        <v>3.7897989311437223E-2</v>
      </c>
      <c r="D5906">
        <f>LOG10(3.39029)</f>
        <v>0.53023684864939891</v>
      </c>
    </row>
    <row r="5907" spans="1:4">
      <c r="A5907">
        <v>1.1016490000000001</v>
      </c>
      <c r="B5907">
        <v>3.4723570000000001</v>
      </c>
      <c r="C5907">
        <f>LOG10(1.101649)</f>
        <v>4.2043244565808574E-2</v>
      </c>
      <c r="D5907">
        <f>LOG10(3.472357)</f>
        <v>0.54062436948821535</v>
      </c>
    </row>
    <row r="5908" spans="1:4">
      <c r="A5908">
        <v>1.0997250000000001</v>
      </c>
      <c r="B5908">
        <v>3.5129670000000002</v>
      </c>
      <c r="C5908">
        <f>LOG10(1.099725)</f>
        <v>4.1284097963784322E-2</v>
      </c>
      <c r="D5908">
        <f>LOG10(3.512967)</f>
        <v>0.54567407014920832</v>
      </c>
    </row>
    <row r="5909" spans="1:4">
      <c r="A5909">
        <v>1.114833</v>
      </c>
      <c r="B5909">
        <v>3.4646720000000002</v>
      </c>
      <c r="C5909">
        <f>LOG10(1.114833)</f>
        <v>4.720981571563438E-2</v>
      </c>
      <c r="D5909">
        <f>LOG10(3.464672)</f>
        <v>0.53966212629771149</v>
      </c>
    </row>
    <row r="5910" spans="1:4">
      <c r="A5910">
        <v>1.080991</v>
      </c>
      <c r="B5910">
        <v>3.2762419999999999</v>
      </c>
      <c r="C5910">
        <f>LOG10(1.080991)</f>
        <v>3.3822078165513692E-2</v>
      </c>
      <c r="D5910">
        <f>LOG10(3.276242)</f>
        <v>0.51537597348610376</v>
      </c>
    </row>
    <row r="5911" spans="1:4">
      <c r="A5911">
        <v>1.101137</v>
      </c>
      <c r="B5911">
        <v>3.2374649999999998</v>
      </c>
      <c r="C5911">
        <f>LOG10(1.101137)</f>
        <v>4.184135588598329E-2</v>
      </c>
      <c r="D5911">
        <f>LOG10(3.237465)</f>
        <v>0.51020508198844916</v>
      </c>
    </row>
    <row r="5912" spans="1:4">
      <c r="A5912">
        <v>1.089861</v>
      </c>
      <c r="B5912">
        <v>3.3888940000000001</v>
      </c>
      <c r="C5912">
        <f>LOG10(1.089861)</f>
        <v>3.7371111901728142E-2</v>
      </c>
      <c r="D5912">
        <f>LOG10(3.388894)</f>
        <v>0.53005798490848077</v>
      </c>
    </row>
    <row r="5913" spans="1:4">
      <c r="A5913">
        <v>1.127353</v>
      </c>
      <c r="B5913">
        <v>3.436658</v>
      </c>
      <c r="C5913">
        <f>LOG10(1.127353)</f>
        <v>5.2059924872909481E-2</v>
      </c>
      <c r="D5913">
        <f>LOG10(3.436658)</f>
        <v>0.53613631534845474</v>
      </c>
    </row>
    <row r="5914" spans="1:4">
      <c r="A5914">
        <v>1.1144019999999999</v>
      </c>
      <c r="B5914">
        <v>3.4237250000000001</v>
      </c>
      <c r="C5914">
        <f>LOG10(1.114402)</f>
        <v>4.7041882838183037E-2</v>
      </c>
      <c r="D5914">
        <f>LOG10(3.423725)</f>
        <v>0.53449887406035657</v>
      </c>
    </row>
    <row r="5915" spans="1:4">
      <c r="A5915">
        <v>1.068341</v>
      </c>
      <c r="B5915">
        <v>3.4054609999999998</v>
      </c>
      <c r="C5915">
        <f>LOG10(1.068341)</f>
        <v>2.8709895745857961E-2</v>
      </c>
      <c r="D5915">
        <f>LOG10(3.405461)</f>
        <v>0.53217591102245088</v>
      </c>
    </row>
    <row r="5916" spans="1:4">
      <c r="A5916">
        <v>1.0684020000000001</v>
      </c>
      <c r="B5916">
        <v>3.2318910000000001</v>
      </c>
      <c r="C5916">
        <f>LOG10(1.068402)</f>
        <v>2.8734692329633677E-2</v>
      </c>
      <c r="D5916">
        <f>LOG10(3.231891)</f>
        <v>0.50945670516666053</v>
      </c>
    </row>
    <row r="5917" spans="1:4">
      <c r="A5917">
        <v>1.1006689999999999</v>
      </c>
      <c r="B5917">
        <v>3.2878539999999998</v>
      </c>
      <c r="C5917">
        <f>LOG10(1.100669)</f>
        <v>4.1656734878872184E-2</v>
      </c>
      <c r="D5917">
        <f>LOG10(3.287854)</f>
        <v>0.51691252407416899</v>
      </c>
    </row>
    <row r="5918" spans="1:4">
      <c r="A5918">
        <v>1.078295</v>
      </c>
      <c r="B5918">
        <v>3.1750639999999999</v>
      </c>
      <c r="C5918">
        <f>LOG10(1.078295)</f>
        <v>3.2737591412364542E-2</v>
      </c>
      <c r="D5918">
        <f>LOG10(3.175064)</f>
        <v>0.50175248382223336</v>
      </c>
    </row>
    <row r="5919" spans="1:4">
      <c r="A5919">
        <v>1.086333</v>
      </c>
      <c r="B5919">
        <v>3.1259229999999998</v>
      </c>
      <c r="C5919">
        <f>LOG10(1.086333)</f>
        <v>3.5962972485417764E-2</v>
      </c>
      <c r="D5919">
        <f>LOG10(3.125923)</f>
        <v>0.49497827595860933</v>
      </c>
    </row>
    <row r="5920" spans="1:4">
      <c r="A5920">
        <v>1.090015</v>
      </c>
      <c r="B5920">
        <v>3.3735759999999999</v>
      </c>
      <c r="C5920">
        <f>LOG10(1.090015)</f>
        <v>3.7432474429068559E-2</v>
      </c>
      <c r="D5920">
        <f>LOG10(3.373576)</f>
        <v>0.52809049839789046</v>
      </c>
    </row>
    <row r="5921" spans="1:4">
      <c r="A5921">
        <v>1.0824180000000001</v>
      </c>
      <c r="B5921">
        <v>3.293247</v>
      </c>
      <c r="C5921">
        <f>LOG10(1.082418)</f>
        <v>3.4395005721565168E-2</v>
      </c>
      <c r="D5921">
        <f>LOG10(3.293247)</f>
        <v>0.51762430487351463</v>
      </c>
    </row>
    <row r="5922" spans="1:4">
      <c r="A5922">
        <v>1.0711059999999999</v>
      </c>
      <c r="B5922">
        <v>3.083707</v>
      </c>
      <c r="C5922">
        <f>LOG10(1.071106)</f>
        <v>2.9832452099000466E-2</v>
      </c>
      <c r="D5922">
        <f>LOG10(3.083707)</f>
        <v>0.48907310662655668</v>
      </c>
    </row>
    <row r="5923" spans="1:4">
      <c r="A5923">
        <v>1.069302</v>
      </c>
      <c r="B5923">
        <v>3.0868169999999999</v>
      </c>
      <c r="C5923">
        <f>LOG10(1.069302)</f>
        <v>2.9100379119579047E-2</v>
      </c>
      <c r="D5923">
        <f>LOG10(3.086817)</f>
        <v>0.48951088337066656</v>
      </c>
    </row>
    <row r="5924" spans="1:4">
      <c r="A5924">
        <v>1.114754</v>
      </c>
      <c r="B5924">
        <v>3.0415649999999999</v>
      </c>
      <c r="C5924">
        <f>LOG10(1.114754)</f>
        <v>4.7179039375366258E-2</v>
      </c>
      <c r="D5924">
        <f>LOG10(3.041565)</f>
        <v>0.48309710202191924</v>
      </c>
    </row>
    <row r="5925" spans="1:4">
      <c r="A5925">
        <v>1.0759460000000001</v>
      </c>
      <c r="B5925">
        <v>3.033388</v>
      </c>
      <c r="C5925">
        <f>LOG10(1.075946)</f>
        <v>3.1790475335463746E-2</v>
      </c>
      <c r="D5925">
        <f>LOG10(3.033388)</f>
        <v>0.48192796437651231</v>
      </c>
    </row>
    <row r="5926" spans="1:4">
      <c r="A5926">
        <v>1.0940300000000001</v>
      </c>
      <c r="B5926">
        <v>3.2047300000000001</v>
      </c>
      <c r="C5926">
        <f>LOG10(1.09403)</f>
        <v>3.9029231189203616E-2</v>
      </c>
      <c r="D5926">
        <f>LOG10(3.20473)</f>
        <v>0.5057914458830548</v>
      </c>
    </row>
    <row r="5927" spans="1:4">
      <c r="A5927">
        <v>1.093637</v>
      </c>
      <c r="B5927">
        <v>2.9337439999999999</v>
      </c>
      <c r="C5927">
        <f>LOG10(1.093637)</f>
        <v>3.8873194888227242E-2</v>
      </c>
      <c r="D5927">
        <f>LOG10(2.933744)</f>
        <v>0.46742221440228388</v>
      </c>
    </row>
    <row r="5928" spans="1:4">
      <c r="A5928">
        <v>1.0779650000000001</v>
      </c>
      <c r="B5928">
        <v>3.0815489999999999</v>
      </c>
      <c r="C5928">
        <f>LOG10(1.077965)</f>
        <v>3.2604660151619565E-2</v>
      </c>
      <c r="D5928">
        <f>LOG10(3.081549)</f>
        <v>0.48876907787893537</v>
      </c>
    </row>
    <row r="5929" spans="1:4">
      <c r="A5929">
        <v>1.068778</v>
      </c>
      <c r="B5929">
        <v>3.1811829999999999</v>
      </c>
      <c r="C5929">
        <f>LOG10(1.068778)</f>
        <v>2.8887505594665519E-2</v>
      </c>
      <c r="D5929">
        <f>LOG10(3.181183)</f>
        <v>0.50258865295023936</v>
      </c>
    </row>
    <row r="5930" spans="1:4">
      <c r="A5930">
        <v>1.0691390000000001</v>
      </c>
      <c r="B5930">
        <v>3.2544559999999998</v>
      </c>
      <c r="C5930">
        <f>LOG10(1.069139)</f>
        <v>2.9034172008242057E-2</v>
      </c>
      <c r="D5930">
        <f>LOG10(3.254456)</f>
        <v>0.51247840428890845</v>
      </c>
    </row>
    <row r="5931" spans="1:4">
      <c r="A5931">
        <v>1.047472</v>
      </c>
      <c r="B5931">
        <v>3.372061</v>
      </c>
      <c r="C5931">
        <f>LOG10(1.047472)</f>
        <v>2.0142422656929795E-2</v>
      </c>
      <c r="D5931">
        <f>LOG10(3.372061)</f>
        <v>0.52789542233579401</v>
      </c>
    </row>
    <row r="5932" spans="1:4">
      <c r="A5932">
        <v>1.057483</v>
      </c>
      <c r="B5932">
        <v>3.3527719999999999</v>
      </c>
      <c r="C5932">
        <f>LOG10(1.057483)</f>
        <v>2.4273394424823378E-2</v>
      </c>
      <c r="D5932">
        <f>LOG10(3.352772)</f>
        <v>0.52540402091804805</v>
      </c>
    </row>
    <row r="5933" spans="1:4">
      <c r="A5933">
        <v>1.0402180000000001</v>
      </c>
      <c r="B5933">
        <v>3.432204</v>
      </c>
      <c r="C5933">
        <f>LOG10(1.040218)</f>
        <v>1.7124364563826169E-2</v>
      </c>
      <c r="D5933">
        <f>LOG10(3.432204)</f>
        <v>0.53557309311644419</v>
      </c>
    </row>
    <row r="5934" spans="1:4">
      <c r="A5934">
        <v>1.063984</v>
      </c>
      <c r="B5934">
        <v>3.5297230000000002</v>
      </c>
      <c r="C5934">
        <f>LOG10(1.063984)</f>
        <v>2.6935097165836794E-2</v>
      </c>
      <c r="D5934">
        <f>LOG10(3.529723)</f>
        <v>0.54774062485192931</v>
      </c>
    </row>
    <row r="5935" spans="1:4">
      <c r="A5935">
        <v>1.0450969999999999</v>
      </c>
      <c r="B5935">
        <v>3.3661129999999999</v>
      </c>
      <c r="C5935">
        <f>LOG10(1.045097)</f>
        <v>1.9156601078373494E-2</v>
      </c>
      <c r="D5935">
        <f>LOG10(3.366113)</f>
        <v>0.52712869109694116</v>
      </c>
    </row>
    <row r="5936" spans="1:4">
      <c r="A5936">
        <v>1.0508059999999999</v>
      </c>
      <c r="B5936">
        <v>3.3370259999999998</v>
      </c>
      <c r="C5936">
        <f>LOG10(1.050806)</f>
        <v>2.1522543900340273E-2</v>
      </c>
      <c r="D5936">
        <f>LOG10(3.337026)</f>
        <v>0.52335959041641711</v>
      </c>
    </row>
    <row r="5937" spans="1:4">
      <c r="A5937">
        <v>1.0383469999999999</v>
      </c>
      <c r="B5937">
        <v>3.3941249999999998</v>
      </c>
      <c r="C5937">
        <f>LOG10(1.038347)</f>
        <v>1.634251247346374E-2</v>
      </c>
      <c r="D5937">
        <f>LOG10(3.394125)</f>
        <v>0.53072783262236967</v>
      </c>
    </row>
    <row r="5938" spans="1:4">
      <c r="A5938">
        <v>1.041536</v>
      </c>
      <c r="B5938">
        <v>3.4364789999999998</v>
      </c>
      <c r="C5938">
        <f>LOG10(1.041536)</f>
        <v>1.7674285643482005E-2</v>
      </c>
      <c r="D5938">
        <f>LOG10(3.436479)</f>
        <v>0.53611369432045008</v>
      </c>
    </row>
    <row r="5939" spans="1:4">
      <c r="A5939">
        <v>1.047852</v>
      </c>
      <c r="B5939">
        <v>3.3695219999999999</v>
      </c>
      <c r="C5939">
        <f>LOG10(1.047852)</f>
        <v>2.0299946653154301E-2</v>
      </c>
      <c r="D5939">
        <f>LOG10(3.369522)</f>
        <v>0.52756829627602819</v>
      </c>
    </row>
    <row r="5940" spans="1:4">
      <c r="A5940">
        <v>1.0608880000000001</v>
      </c>
      <c r="B5940">
        <v>3.3755090000000001</v>
      </c>
      <c r="C5940">
        <f>LOG10(1.060888)</f>
        <v>2.5669537012137925E-2</v>
      </c>
      <c r="D5940">
        <f>LOG10(3.375509)</f>
        <v>0.52833927027036609</v>
      </c>
    </row>
    <row r="5941" spans="1:4">
      <c r="A5941">
        <v>1.056322</v>
      </c>
      <c r="B5941">
        <v>3.4280029999999999</v>
      </c>
      <c r="C5941">
        <f>LOG10(1.056322)</f>
        <v>2.3796324927691685E-2</v>
      </c>
      <c r="D5941">
        <f>LOG10(3.428003)</f>
        <v>0.53504119332201105</v>
      </c>
    </row>
    <row r="5942" spans="1:4">
      <c r="A5942">
        <v>1.0501149999999999</v>
      </c>
      <c r="B5942">
        <v>3.4036749999999998</v>
      </c>
      <c r="C5942">
        <f>LOG10(1.050115)</f>
        <v>2.1236862051459329E-2</v>
      </c>
      <c r="D5942">
        <f>LOG10(3.403675)</f>
        <v>0.53194808477181732</v>
      </c>
    </row>
    <row r="5943" spans="1:4">
      <c r="A5943">
        <v>1.0572589999999999</v>
      </c>
      <c r="B5943">
        <v>3.35399</v>
      </c>
      <c r="C5943">
        <f>LOG10(1.057259)</f>
        <v>2.4181390800447303E-2</v>
      </c>
      <c r="D5943">
        <f>LOG10(3.35399)</f>
        <v>0.52556176341279404</v>
      </c>
    </row>
    <row r="5944" spans="1:4">
      <c r="A5944">
        <v>1.0476259999999999</v>
      </c>
      <c r="B5944">
        <v>3.355953</v>
      </c>
      <c r="C5944">
        <f>LOG10(1.047626)</f>
        <v>2.0206268214830712E-2</v>
      </c>
      <c r="D5944">
        <f>LOG10(3.355953)</f>
        <v>0.52581586992079188</v>
      </c>
    </row>
    <row r="5945" spans="1:4">
      <c r="A5945">
        <v>1.0407329999999999</v>
      </c>
      <c r="B5945">
        <v>3.4337770000000001</v>
      </c>
      <c r="C5945">
        <f>LOG10(1.040733)</f>
        <v>1.7339325572275056E-2</v>
      </c>
      <c r="D5945">
        <f>LOG10(3.433777)</f>
        <v>0.53577208732629877</v>
      </c>
    </row>
    <row r="5946" spans="1:4">
      <c r="A5946">
        <v>1.0359640000000001</v>
      </c>
      <c r="B5946">
        <v>3.4418540000000002</v>
      </c>
      <c r="C5946">
        <f>LOG10(1.035964)</f>
        <v>1.534466383296092E-2</v>
      </c>
      <c r="D5946">
        <f>LOG10(3.441854)</f>
        <v>0.53679244404524007</v>
      </c>
    </row>
    <row r="5947" spans="1:4">
      <c r="A5947">
        <v>1.043833</v>
      </c>
      <c r="B5947">
        <v>3.380897</v>
      </c>
      <c r="C5947">
        <f>LOG10(1.043833)</f>
        <v>1.863102263187421E-2</v>
      </c>
      <c r="D5947">
        <f>LOG10(3.380897)</f>
        <v>0.52903194006094179</v>
      </c>
    </row>
    <row r="5948" spans="1:4">
      <c r="A5948">
        <v>1.043207</v>
      </c>
      <c r="B5948">
        <v>3.3305859999999998</v>
      </c>
      <c r="C5948">
        <f>LOG10(1.043207)</f>
        <v>1.8370492547329042E-2</v>
      </c>
      <c r="D5948">
        <f>LOG10(3.330586)</f>
        <v>0.52252065217790578</v>
      </c>
    </row>
    <row r="5949" spans="1:4">
      <c r="A5949">
        <v>1.036219</v>
      </c>
      <c r="B5949">
        <v>3.3313869999999999</v>
      </c>
      <c r="C5949">
        <f>LOG10(1.036219)</f>
        <v>1.5451551200962978E-2</v>
      </c>
      <c r="D5949">
        <f>LOG10(3.331387)</f>
        <v>0.52262508666951391</v>
      </c>
    </row>
    <row r="5950" spans="1:4">
      <c r="A5950">
        <v>1.0367729999999999</v>
      </c>
      <c r="B5950">
        <v>3.3447689999999999</v>
      </c>
      <c r="C5950">
        <f>LOG10(1.036773)</f>
        <v>1.5683678627120241E-2</v>
      </c>
      <c r="D5950">
        <f>LOG10(3.344769)</f>
        <v>0.52436612943134164</v>
      </c>
    </row>
    <row r="5951" spans="1:4">
      <c r="A5951">
        <v>1.0527070000000001</v>
      </c>
      <c r="B5951">
        <v>3.3236810000000001</v>
      </c>
      <c r="C5951">
        <f>LOG10(1.052707)</f>
        <v>2.2307510796060196E-2</v>
      </c>
      <c r="D5951">
        <f>LOG10(3.323681)</f>
        <v>0.52161933442979236</v>
      </c>
    </row>
    <row r="5952" spans="1:4">
      <c r="A5952">
        <v>1.044432</v>
      </c>
      <c r="B5952">
        <v>3.2824450000000001</v>
      </c>
      <c r="C5952">
        <f>LOG10(1.044432)</f>
        <v>1.8880169556995972E-2</v>
      </c>
      <c r="D5952">
        <f>LOG10(3.282445)</f>
        <v>0.51619745786993443</v>
      </c>
    </row>
    <row r="5953" spans="1:4">
      <c r="A5953">
        <v>1.0551060000000001</v>
      </c>
      <c r="B5953">
        <v>3.2287270000000001</v>
      </c>
      <c r="C5953">
        <f>LOG10(1.055106)</f>
        <v>2.3296092716713471E-2</v>
      </c>
      <c r="D5953">
        <f>LOG10(3.228727)</f>
        <v>0.50903132547369678</v>
      </c>
    </row>
    <row r="5954" spans="1:4">
      <c r="A5954">
        <v>1.081494</v>
      </c>
      <c r="B5954">
        <v>3.4000729999999999</v>
      </c>
      <c r="C5954">
        <f>LOG10(1.081494)</f>
        <v>3.4024114367694959E-2</v>
      </c>
      <c r="D5954">
        <f>LOG10(3.400073)</f>
        <v>0.53148824150014851</v>
      </c>
    </row>
    <row r="5955" spans="1:4">
      <c r="A5955">
        <v>1.0747990000000001</v>
      </c>
      <c r="B5955">
        <v>3.3301210000000001</v>
      </c>
      <c r="C5955">
        <f>LOG10(1.074799)</f>
        <v>3.1327253690900191E-2</v>
      </c>
      <c r="D5955">
        <f>LOG10(3.330121)</f>
        <v>0.52246001388998442</v>
      </c>
    </row>
    <row r="5956" spans="1:4">
      <c r="A5956">
        <v>1.0378620000000001</v>
      </c>
      <c r="B5956">
        <v>3.3872930000000001</v>
      </c>
      <c r="C5956">
        <f>LOG10(1.037862)</f>
        <v>1.6139611101247061E-2</v>
      </c>
      <c r="D5956">
        <f>LOG10(3.387293)</f>
        <v>0.52985276463387343</v>
      </c>
    </row>
    <row r="5957" spans="1:4">
      <c r="A5957">
        <v>1.0463439999999999</v>
      </c>
      <c r="B5957">
        <v>3.3580040000000002</v>
      </c>
      <c r="C5957">
        <f>LOG10(1.046344)</f>
        <v>1.9674488298820212E-2</v>
      </c>
      <c r="D5957">
        <f>LOG10(3.358004)</f>
        <v>0.52608120912689393</v>
      </c>
    </row>
    <row r="5958" spans="1:4">
      <c r="A5958">
        <v>1.0456970000000001</v>
      </c>
      <c r="B5958">
        <v>3.3964850000000002</v>
      </c>
      <c r="C5958">
        <f>LOG10(1.045697)</f>
        <v>1.940586207328272E-2</v>
      </c>
      <c r="D5958">
        <f>LOG10(3.396485)</f>
        <v>0.5310297009430528</v>
      </c>
    </row>
    <row r="5959" spans="1:4">
      <c r="A5959">
        <v>1.041272</v>
      </c>
      <c r="B5959">
        <v>3.4694500000000001</v>
      </c>
      <c r="C5959">
        <f>LOG10(1.041272)</f>
        <v>1.7564190287754078E-2</v>
      </c>
      <c r="D5959">
        <f>LOG10(3.46945)</f>
        <v>0.54026063303380456</v>
      </c>
    </row>
    <row r="5960" spans="1:4">
      <c r="A5960">
        <v>1.0409269999999999</v>
      </c>
      <c r="B5960">
        <v>3.3962840000000001</v>
      </c>
      <c r="C5960">
        <f>LOG10(1.040927)</f>
        <v>1.7420273594270161E-2</v>
      </c>
      <c r="D5960">
        <f>LOG10(3.396284)</f>
        <v>0.53100399914430529</v>
      </c>
    </row>
    <row r="5961" spans="1:4">
      <c r="A5961">
        <v>1.0376270000000001</v>
      </c>
      <c r="B5961">
        <v>3.4725540000000001</v>
      </c>
      <c r="C5961">
        <f>LOG10(1.037627)</f>
        <v>1.6041263961191491E-2</v>
      </c>
      <c r="D5961">
        <f>LOG10(3.472554)</f>
        <v>0.54064900796463589</v>
      </c>
    </row>
    <row r="5962" spans="1:4">
      <c r="A5962">
        <v>1.0380389999999999</v>
      </c>
      <c r="B5962">
        <v>3.3700770000000002</v>
      </c>
      <c r="C5962">
        <f>LOG10(1.038039)</f>
        <v>1.6213670628635986E-2</v>
      </c>
      <c r="D5962">
        <f>LOG10(3.370077)</f>
        <v>0.52763982380696917</v>
      </c>
    </row>
    <row r="5963" spans="1:4">
      <c r="A5963">
        <v>1.0473730000000001</v>
      </c>
      <c r="B5963">
        <v>3.36591</v>
      </c>
      <c r="C5963">
        <f>LOG10(1.047373)</f>
        <v>2.0101374127095496E-2</v>
      </c>
      <c r="D5963">
        <f>LOG10(3.36591)</f>
        <v>0.52710249933263709</v>
      </c>
    </row>
    <row r="5964" spans="1:4">
      <c r="A5964">
        <v>1.061037</v>
      </c>
      <c r="B5964">
        <v>3.3538869999999998</v>
      </c>
      <c r="C5964">
        <f>LOG10(1.061037)</f>
        <v>2.5730528685180016E-2</v>
      </c>
      <c r="D5964">
        <f>LOG10(3.353887)</f>
        <v>0.52554842615820818</v>
      </c>
    </row>
    <row r="5965" spans="1:4">
      <c r="A5965">
        <v>1.0479940000000001</v>
      </c>
      <c r="B5965">
        <v>3.4263319999999999</v>
      </c>
      <c r="C5965">
        <f>LOG10(1.047994)</f>
        <v>2.0358796221800726E-2</v>
      </c>
      <c r="D5965">
        <f>LOG10(3.426332)</f>
        <v>0.5348294423370834</v>
      </c>
    </row>
    <row r="5966" spans="1:4">
      <c r="A5966">
        <v>1.0682430000000001</v>
      </c>
      <c r="B5966">
        <v>3.5080939999999998</v>
      </c>
      <c r="C5966">
        <f>LOG10(1.068243)</f>
        <v>2.8670055646656308E-2</v>
      </c>
      <c r="D5966">
        <f>LOG10(3.508094)</f>
        <v>0.54507122184746781</v>
      </c>
    </row>
    <row r="5967" spans="1:4">
      <c r="A5967">
        <v>1.0994409999999999</v>
      </c>
      <c r="B5967">
        <v>3.427254</v>
      </c>
      <c r="C5967">
        <f>LOG10(1.099441)</f>
        <v>4.1171928501773494E-2</v>
      </c>
      <c r="D5967">
        <f>LOG10(3.427254)</f>
        <v>0.53494629197309307</v>
      </c>
    </row>
    <row r="5968" spans="1:4">
      <c r="A5968">
        <v>1.086789</v>
      </c>
      <c r="B5968">
        <v>3.4230179999999999</v>
      </c>
      <c r="C5968">
        <f>LOG10(1.086789)</f>
        <v>3.614523403047093E-2</v>
      </c>
      <c r="D5968">
        <f>LOG10(3.423018)</f>
        <v>0.53440918288900785</v>
      </c>
    </row>
    <row r="5969" spans="1:4">
      <c r="A5969">
        <v>1.087208</v>
      </c>
      <c r="B5969">
        <v>3.4629310000000002</v>
      </c>
      <c r="C5969">
        <f>LOG10(1.087208)</f>
        <v>3.6312639404232322E-2</v>
      </c>
      <c r="D5969">
        <f>LOG10(3.462931)</f>
        <v>0.53944383818018748</v>
      </c>
    </row>
    <row r="5970" spans="1:4">
      <c r="A5970">
        <v>1.087035</v>
      </c>
      <c r="B5970">
        <v>3.5627970000000002</v>
      </c>
      <c r="C5970">
        <f>LOG10(1.087035)</f>
        <v>3.624352758413879E-2</v>
      </c>
      <c r="D5970">
        <f>LOG10(3.562797)</f>
        <v>0.5517910779526416</v>
      </c>
    </row>
    <row r="5971" spans="1:4">
      <c r="A5971">
        <v>1.0903020000000001</v>
      </c>
      <c r="B5971">
        <v>3.283547</v>
      </c>
      <c r="C5971">
        <f>LOG10(1.090302)</f>
        <v>3.754680873644331E-2</v>
      </c>
      <c r="D5971">
        <f>LOG10(3.283547)</f>
        <v>0.51634323706782292</v>
      </c>
    </row>
    <row r="5972" spans="1:4">
      <c r="A5972">
        <v>1.0741940000000001</v>
      </c>
      <c r="B5972">
        <v>3.2069920000000001</v>
      </c>
      <c r="C5972">
        <f>LOG10(1.074194)</f>
        <v>3.1082722258277518E-2</v>
      </c>
      <c r="D5972">
        <f>LOG10(3.206992)</f>
        <v>0.50609787656074834</v>
      </c>
    </row>
    <row r="5973" spans="1:4">
      <c r="A5973">
        <v>1.0990930000000001</v>
      </c>
      <c r="B5973">
        <v>3.20323</v>
      </c>
      <c r="C5973">
        <f>LOG10(1.099093)</f>
        <v>4.1034441903008624E-2</v>
      </c>
      <c r="D5973">
        <f>LOG10(3.20323)</f>
        <v>0.50558812322350222</v>
      </c>
    </row>
    <row r="5974" spans="1:4">
      <c r="A5974">
        <v>1.108128</v>
      </c>
      <c r="B5974">
        <v>3.2952889999999999</v>
      </c>
      <c r="C5974">
        <f>LOG10(1.108128)</f>
        <v>4.4589928698344022E-2</v>
      </c>
      <c r="D5974">
        <f>LOG10(3.295289)</f>
        <v>0.51789350864213402</v>
      </c>
    </row>
    <row r="5975" spans="1:4">
      <c r="A5975">
        <v>1.0893919999999999</v>
      </c>
      <c r="B5975">
        <v>3.083774</v>
      </c>
      <c r="C5975">
        <f>LOG10(1.089392)</f>
        <v>3.7184181687423282E-2</v>
      </c>
      <c r="D5975">
        <f>LOG10(3.083774)</f>
        <v>0.48908254248222888</v>
      </c>
    </row>
    <row r="5976" spans="1:4">
      <c r="A5976">
        <v>1.092535</v>
      </c>
      <c r="B5976">
        <v>3.0791430000000002</v>
      </c>
      <c r="C5976">
        <f>LOG10(1.092535)</f>
        <v>3.8435358743959362E-2</v>
      </c>
      <c r="D5976">
        <f>LOG10(3.079143)</f>
        <v>0.48842985865597044</v>
      </c>
    </row>
    <row r="5977" spans="1:4">
      <c r="A5977">
        <v>1.094751</v>
      </c>
      <c r="B5977">
        <v>3.0750790000000001</v>
      </c>
      <c r="C5977">
        <f>LOG10(1.094751)</f>
        <v>3.9315350570519436E-2</v>
      </c>
      <c r="D5977">
        <f>LOG10(3.075079)</f>
        <v>0.48785627745236476</v>
      </c>
    </row>
    <row r="5978" spans="1:4">
      <c r="A5978">
        <v>1.0736049999999999</v>
      </c>
      <c r="B5978">
        <v>3.0089489999999999</v>
      </c>
      <c r="C5978">
        <f>LOG10(1.073605)</f>
        <v>3.0844525428636096E-2</v>
      </c>
      <c r="D5978">
        <f>LOG10(3.008949)</f>
        <v>0.47841482675427704</v>
      </c>
    </row>
    <row r="5979" spans="1:4">
      <c r="A5979">
        <v>1.068292</v>
      </c>
      <c r="B5979">
        <v>3.0483799999999999</v>
      </c>
      <c r="C5979">
        <f>LOG10(1.068292)</f>
        <v>2.868997615309966E-2</v>
      </c>
      <c r="D5979">
        <f>LOG10(3.04838)</f>
        <v>0.48406910361787664</v>
      </c>
    </row>
    <row r="5980" spans="1:4">
      <c r="A5980">
        <v>1.093016</v>
      </c>
      <c r="B5980">
        <v>3.3120910000000001</v>
      </c>
      <c r="C5980">
        <f>LOG10(1.093016)</f>
        <v>3.8626519370426673E-2</v>
      </c>
      <c r="D5980">
        <f>LOG10(3.312091)</f>
        <v>0.52010226055696374</v>
      </c>
    </row>
    <row r="5981" spans="1:4">
      <c r="A5981">
        <v>1.09511</v>
      </c>
      <c r="B5981">
        <v>3.186185</v>
      </c>
      <c r="C5981">
        <f>LOG10(1.09511)</f>
        <v>3.9457744741108344E-2</v>
      </c>
      <c r="D5981">
        <f>LOG10(3.186185)</f>
        <v>0.5032709887113711</v>
      </c>
    </row>
    <row r="5982" spans="1:4">
      <c r="A5982">
        <v>1.097934</v>
      </c>
      <c r="B5982">
        <v>3.2290049999999999</v>
      </c>
      <c r="C5982">
        <f>LOG10(1.097934)</f>
        <v>4.0576234196669156E-2</v>
      </c>
      <c r="D5982">
        <f>LOG10(3.229005)</f>
        <v>0.50906871750732219</v>
      </c>
    </row>
    <row r="5983" spans="1:4">
      <c r="A5983">
        <v>1.0999669999999999</v>
      </c>
      <c r="B5983">
        <v>3.2939790000000002</v>
      </c>
      <c r="C5983">
        <f>LOG10(1.099967)</f>
        <v>4.1379656128331485E-2</v>
      </c>
      <c r="D5983">
        <f>LOG10(3.293979)</f>
        <v>0.51772082609870473</v>
      </c>
    </row>
    <row r="5984" spans="1:4">
      <c r="A5984">
        <v>1.0970329999999999</v>
      </c>
      <c r="B5984">
        <v>3.2638959999999999</v>
      </c>
      <c r="C5984">
        <f>LOG10(1.097033)</f>
        <v>4.0219691843027837E-2</v>
      </c>
      <c r="D5984">
        <f>LOG10(3.263896)</f>
        <v>0.51373631204698911</v>
      </c>
    </row>
    <row r="5985" spans="1:4">
      <c r="A5985">
        <v>1.0785830000000001</v>
      </c>
      <c r="B5985">
        <v>3.1932049999999998</v>
      </c>
      <c r="C5985">
        <f>LOG10(1.078583)</f>
        <v>3.2853570908220595E-2</v>
      </c>
      <c r="D5985">
        <f>LOG10(3.193205)</f>
        <v>0.50422680062867331</v>
      </c>
    </row>
    <row r="5986" spans="1:4">
      <c r="A5986">
        <v>1.079383</v>
      </c>
      <c r="B5986">
        <v>3.0263749999999998</v>
      </c>
      <c r="C5986">
        <f>LOG10(1.079383)</f>
        <v>3.3175573758533278E-2</v>
      </c>
      <c r="D5986">
        <f>LOG10(3.026375)</f>
        <v>0.48092274071962937</v>
      </c>
    </row>
    <row r="5987" spans="1:4">
      <c r="A5987">
        <v>1.0938859999999999</v>
      </c>
      <c r="B5987">
        <v>3.064962</v>
      </c>
      <c r="C5987">
        <f>LOG10(1.093886)</f>
        <v>3.8972064090023913E-2</v>
      </c>
      <c r="D5987">
        <f>LOG10(3.064962)</f>
        <v>0.4864250944196486</v>
      </c>
    </row>
    <row r="5988" spans="1:4">
      <c r="A5988">
        <v>1.1214569999999999</v>
      </c>
      <c r="B5988">
        <v>3.0967769999999999</v>
      </c>
      <c r="C5988">
        <f>LOG10(1.121457)</f>
        <v>4.9782626094877422E-2</v>
      </c>
      <c r="D5988">
        <f>LOG10(3.096777)</f>
        <v>0.49090993278449158</v>
      </c>
    </row>
    <row r="5989" spans="1:4">
      <c r="A5989">
        <v>1.1329199999999999</v>
      </c>
      <c r="B5989">
        <v>3.1957840000000002</v>
      </c>
      <c r="C5989">
        <f>LOG10(1.13292)</f>
        <v>5.4199243680507533E-2</v>
      </c>
      <c r="D5989">
        <f>LOG10(3.195784)</f>
        <v>0.50457741808306666</v>
      </c>
    </row>
    <row r="5990" spans="1:4">
      <c r="A5990">
        <v>1.0999289999999999</v>
      </c>
      <c r="B5990">
        <v>3.2186249999999998</v>
      </c>
      <c r="C5990">
        <f>LOG10(1.099929)</f>
        <v>4.1364652518784524E-2</v>
      </c>
      <c r="D5990">
        <f>LOG10(3.218625)</f>
        <v>0.50767038025264388</v>
      </c>
    </row>
    <row r="5991" spans="1:4">
      <c r="A5991">
        <v>1.0868439999999999</v>
      </c>
      <c r="B5991">
        <v>3.0198489999999998</v>
      </c>
      <c r="C5991">
        <f>LOG10(1.086844)</f>
        <v>3.6167212162482858E-2</v>
      </c>
      <c r="D5991">
        <f>LOG10(3.019849)</f>
        <v>0.47998522769016921</v>
      </c>
    </row>
    <row r="5992" spans="1:4">
      <c r="A5992">
        <v>1.116735</v>
      </c>
      <c r="B5992">
        <v>3.1104219999999998</v>
      </c>
      <c r="C5992">
        <f>LOG10(1.116735)</f>
        <v>4.7950127733552297E-2</v>
      </c>
      <c r="D5992">
        <f>LOG10(3.110422)</f>
        <v>0.49281931501984705</v>
      </c>
    </row>
    <row r="5993" spans="1:4">
      <c r="A5993">
        <v>1.0868180000000001</v>
      </c>
      <c r="B5993">
        <v>3.0804939999999998</v>
      </c>
      <c r="C5993">
        <f>LOG10(1.086818)</f>
        <v>3.6156822638693083E-2</v>
      </c>
      <c r="D5993">
        <f>LOG10(3.080494)</f>
        <v>0.48862036723771307</v>
      </c>
    </row>
    <row r="5994" spans="1:4">
      <c r="A5994">
        <v>1.09893</v>
      </c>
      <c r="B5994">
        <v>3.1244869999999998</v>
      </c>
      <c r="C5994">
        <f>LOG10(1.09893)</f>
        <v>4.0970029473584496E-2</v>
      </c>
      <c r="D5994">
        <f>LOG10(3.124487)</f>
        <v>0.4947787220455106</v>
      </c>
    </row>
    <row r="5995" spans="1:4">
      <c r="A5995">
        <v>1.103035</v>
      </c>
      <c r="B5995">
        <v>3.4016600000000001</v>
      </c>
      <c r="C5995">
        <f>LOG10(1.103035)</f>
        <v>4.2589293098129283E-2</v>
      </c>
      <c r="D5995">
        <f>LOG10(3.40166)</f>
        <v>0.53169090319101098</v>
      </c>
    </row>
    <row r="5996" spans="1:4">
      <c r="A5996">
        <v>1.057048</v>
      </c>
      <c r="B5996">
        <v>3.39561</v>
      </c>
      <c r="C5996">
        <f>LOG10(1.057048)</f>
        <v>2.4094708841785877E-2</v>
      </c>
      <c r="D5996">
        <f>LOG10(3.39561)</f>
        <v>0.5309178038998672</v>
      </c>
    </row>
    <row r="5997" spans="1:4">
      <c r="A5997">
        <v>1.0635190000000001</v>
      </c>
      <c r="B5997">
        <v>3.1793200000000001</v>
      </c>
      <c r="C5997">
        <f>LOG10(1.063519)</f>
        <v>2.67452530741474E-2</v>
      </c>
      <c r="D5997">
        <f>LOG10(3.17932)</f>
        <v>0.50233424205131416</v>
      </c>
    </row>
    <row r="5998" spans="1:4">
      <c r="A5998">
        <v>1.0776289999999999</v>
      </c>
      <c r="B5998">
        <v>3.2128049999999999</v>
      </c>
      <c r="C5998">
        <f>LOG10(1.077629)</f>
        <v>3.2469270141161799E-2</v>
      </c>
      <c r="D5998">
        <f>LOG10(3.212805)</f>
        <v>0.50688436700998218</v>
      </c>
    </row>
    <row r="5999" spans="1:4">
      <c r="A5999">
        <v>1.091691</v>
      </c>
      <c r="B5999">
        <v>3.1939000000000002</v>
      </c>
      <c r="C5999">
        <f>LOG10(1.091691)</f>
        <v>3.8099729957405834E-2</v>
      </c>
      <c r="D5999">
        <f>LOG10(3.1939)</f>
        <v>0.50432131439229999</v>
      </c>
    </row>
    <row r="6000" spans="1:4">
      <c r="A6000">
        <v>1.084444</v>
      </c>
      <c r="B6000">
        <v>3.079542</v>
      </c>
      <c r="C6000">
        <f>LOG10(1.084444)</f>
        <v>3.5207130237788688E-2</v>
      </c>
      <c r="D6000">
        <f>LOG10(3.079542)</f>
        <v>0.48848613154491405</v>
      </c>
    </row>
    <row r="6001" spans="1:4">
      <c r="A6001">
        <v>1.0883929999999999</v>
      </c>
      <c r="B6001">
        <v>3.0402330000000002</v>
      </c>
      <c r="C6001">
        <f>LOG10(1.088393)</f>
        <v>3.6785739951573991E-2</v>
      </c>
      <c r="D6001">
        <f>LOG10(3.040233)</f>
        <v>0.48290686871948324</v>
      </c>
    </row>
    <row r="6002" spans="1:4">
      <c r="A6002">
        <v>1.038405</v>
      </c>
      <c r="B6002">
        <v>3.3496489999999999</v>
      </c>
      <c r="C6002">
        <f>LOG10(1.038405)</f>
        <v>1.6366770622686166E-2</v>
      </c>
      <c r="D6002">
        <f>LOG10(3.349649)</f>
        <v>0.52499930096233671</v>
      </c>
    </row>
    <row r="6003" spans="1:4">
      <c r="A6003">
        <v>1.0850869999999999</v>
      </c>
      <c r="B6003">
        <v>3.1533389999999999</v>
      </c>
      <c r="C6003">
        <f>LOG10(1.085087)</f>
        <v>3.5464560401303483E-2</v>
      </c>
      <c r="D6003">
        <f>LOG10(3.153339)</f>
        <v>0.49877066212605831</v>
      </c>
    </row>
    <row r="6004" spans="1:4">
      <c r="A6004">
        <v>1.106441</v>
      </c>
      <c r="B6004">
        <v>3.317631</v>
      </c>
      <c r="C6004">
        <f>LOG10(1.106441)</f>
        <v>4.3928260506754226E-2</v>
      </c>
      <c r="D6004">
        <f>LOG10(3.317631)</f>
        <v>0.52082808042988205</v>
      </c>
    </row>
    <row r="6005" spans="1:4">
      <c r="A6005">
        <v>1.089601</v>
      </c>
      <c r="B6005">
        <v>3.1878880000000001</v>
      </c>
      <c r="C6005">
        <f>LOG10(1.089601)</f>
        <v>3.7267493150100015E-2</v>
      </c>
      <c r="D6005">
        <f>LOG10(3.187888)</f>
        <v>0.50350305493348047</v>
      </c>
    </row>
    <row r="6006" spans="1:4">
      <c r="A6006">
        <v>1.1002240000000001</v>
      </c>
      <c r="B6006">
        <v>3.239824</v>
      </c>
      <c r="C6006">
        <f>LOG10(1.100224)</f>
        <v>4.1481114303877915E-2</v>
      </c>
      <c r="D6006">
        <f>LOG10(3.239824)</f>
        <v>0.51052141826064767</v>
      </c>
    </row>
    <row r="6007" spans="1:4">
      <c r="A6007">
        <v>1.0798479999999999</v>
      </c>
      <c r="B6007">
        <v>3.1805940000000001</v>
      </c>
      <c r="C6007">
        <f>LOG10(1.079848)</f>
        <v>3.336262825822036E-2</v>
      </c>
      <c r="D6007">
        <f>LOG10(3.180594)</f>
        <v>0.50250823534032574</v>
      </c>
    </row>
    <row r="6008" spans="1:4">
      <c r="A6008">
        <v>1.1092500000000001</v>
      </c>
      <c r="B6008">
        <v>3.3430840000000002</v>
      </c>
      <c r="C6008">
        <f>LOG10(1.10925)</f>
        <v>4.5029437388592525E-2</v>
      </c>
      <c r="D6008">
        <f>LOG10(3.343084)</f>
        <v>0.524147289029948</v>
      </c>
    </row>
    <row r="6009" spans="1:4">
      <c r="A6009">
        <v>1.09189</v>
      </c>
      <c r="B6009">
        <v>3.3225009999999999</v>
      </c>
      <c r="C6009">
        <f>LOG10(1.09189)</f>
        <v>3.8178888552519129E-2</v>
      </c>
      <c r="D6009">
        <f>LOG10(3.322501)</f>
        <v>0.52146512032791226</v>
      </c>
    </row>
    <row r="6010" spans="1:4">
      <c r="A6010">
        <v>1.07619</v>
      </c>
      <c r="B6010">
        <v>3.2607930000000001</v>
      </c>
      <c r="C6010">
        <f>LOG10(1.07619)</f>
        <v>3.1888952247739168E-2</v>
      </c>
      <c r="D6010">
        <f>LOG10(3.260793)</f>
        <v>0.51332323001995472</v>
      </c>
    </row>
    <row r="6011" spans="1:4">
      <c r="A6011">
        <v>1.0742160000000001</v>
      </c>
      <c r="B6011">
        <v>3.2346729999999999</v>
      </c>
      <c r="C6011">
        <f>LOG10(1.074216)</f>
        <v>3.109161672311634E-2</v>
      </c>
      <c r="D6011">
        <f>LOG10(3.234673)</f>
        <v>0.50983038346728338</v>
      </c>
    </row>
    <row r="6012" spans="1:4">
      <c r="A6012">
        <v>1.0728569999999999</v>
      </c>
      <c r="B6012">
        <v>3.2025290000000002</v>
      </c>
      <c r="C6012">
        <f>LOG10(1.072857)</f>
        <v>3.0541839161081868E-2</v>
      </c>
      <c r="D6012">
        <f>LOG10(3.202529)</f>
        <v>0.50549307112022157</v>
      </c>
    </row>
    <row r="6013" spans="1:4">
      <c r="A6013">
        <v>1.093126</v>
      </c>
      <c r="B6013">
        <v>3.4322900000000001</v>
      </c>
      <c r="C6013">
        <f>LOG10(1.093126)</f>
        <v>3.8670224118837068E-2</v>
      </c>
      <c r="D6013">
        <f>LOG10(3.43229)</f>
        <v>0.53558397500386246</v>
      </c>
    </row>
    <row r="6014" spans="1:4">
      <c r="A6014">
        <v>1.0920650000000001</v>
      </c>
      <c r="B6014">
        <v>3.421888</v>
      </c>
      <c r="C6014">
        <f>LOG10(1.092065)</f>
        <v>3.8248488461396141E-2</v>
      </c>
      <c r="D6014">
        <f>LOG10(3.421888)</f>
        <v>0.53426579077551239</v>
      </c>
    </row>
    <row r="6015" spans="1:4">
      <c r="A6015">
        <v>1.058071</v>
      </c>
      <c r="B6015">
        <v>3.606897</v>
      </c>
      <c r="C6015">
        <f>LOG10(1.058071)</f>
        <v>2.4514811247022102E-2</v>
      </c>
      <c r="D6015">
        <f>LOG10(3.606897)</f>
        <v>0.55713374060770959</v>
      </c>
    </row>
    <row r="6016" spans="1:4">
      <c r="A6016">
        <v>1.064927</v>
      </c>
      <c r="B6016">
        <v>3.2552919999999999</v>
      </c>
      <c r="C6016">
        <f>LOG10(1.064927)</f>
        <v>2.731983821252142E-2</v>
      </c>
      <c r="D6016">
        <f>LOG10(3.255292)</f>
        <v>0.51258995090756931</v>
      </c>
    </row>
    <row r="6017" spans="1:4">
      <c r="A6017">
        <v>1.110201</v>
      </c>
      <c r="B6017">
        <v>3.3117079999999999</v>
      </c>
      <c r="C6017">
        <f>LOG10(1.110201)</f>
        <v>4.5401614181471719E-2</v>
      </c>
      <c r="D6017">
        <f>LOG10(3.311708)</f>
        <v>0.52005203717707127</v>
      </c>
    </row>
    <row r="6018" spans="1:4">
      <c r="A6018">
        <v>1.0982959999999999</v>
      </c>
      <c r="B6018">
        <v>3.1758760000000001</v>
      </c>
      <c r="C6018">
        <f>LOG10(1.098296)</f>
        <v>4.0719401901210768E-2</v>
      </c>
      <c r="D6018">
        <f>LOG10(3.175876)</f>
        <v>0.50186353734225631</v>
      </c>
    </row>
    <row r="6019" spans="1:4">
      <c r="A6019">
        <v>1.1107880000000001</v>
      </c>
      <c r="B6019">
        <v>3.2730329999999999</v>
      </c>
      <c r="C6019">
        <f>LOG10(1.110788)</f>
        <v>4.56311793587987E-2</v>
      </c>
      <c r="D6019">
        <f>LOG10(3.273033)</f>
        <v>0.51495038405705829</v>
      </c>
    </row>
    <row r="6020" spans="1:4">
      <c r="A6020">
        <v>1.116152</v>
      </c>
      <c r="B6020">
        <v>3.4010509999999998</v>
      </c>
      <c r="C6020">
        <f>LOG10(1.116152)</f>
        <v>4.7723341793463853E-2</v>
      </c>
      <c r="D6020">
        <f>LOG10(3.401051)</f>
        <v>0.53161314438568008</v>
      </c>
    </row>
    <row r="6021" spans="1:4">
      <c r="A6021">
        <v>1.104053</v>
      </c>
      <c r="B6021">
        <v>3.3218589999999999</v>
      </c>
      <c r="C6021">
        <f>LOG10(1.104053)</f>
        <v>4.2989922174930598E-2</v>
      </c>
      <c r="D6021">
        <f>LOG10(3.321859)</f>
        <v>0.52138119439426345</v>
      </c>
    </row>
    <row r="6022" spans="1:4">
      <c r="A6022">
        <v>1.126897</v>
      </c>
      <c r="B6022">
        <v>3.702118</v>
      </c>
      <c r="C6022">
        <f>LOG10(1.126897)</f>
        <v>5.1884222722350257E-2</v>
      </c>
      <c r="D6022">
        <f>LOG10(3.702118)</f>
        <v>0.56845025718623854</v>
      </c>
    </row>
    <row r="6023" spans="1:4">
      <c r="A6023">
        <v>1.1240570000000001</v>
      </c>
      <c r="B6023">
        <v>3.5080019999999998</v>
      </c>
      <c r="C6023">
        <f>LOG10(1.124057)</f>
        <v>5.0788334505115745E-2</v>
      </c>
      <c r="D6023">
        <f>LOG10(3.508002)</f>
        <v>0.54505983229625954</v>
      </c>
    </row>
    <row r="6024" spans="1:4">
      <c r="A6024">
        <v>1.1080399999999999</v>
      </c>
      <c r="B6024">
        <v>3.326524</v>
      </c>
      <c r="C6024">
        <f>LOG10(1.10804)</f>
        <v>4.4555438610564026E-2</v>
      </c>
      <c r="D6024">
        <f>LOG10(3.326524)</f>
        <v>0.52199066111438908</v>
      </c>
    </row>
    <row r="6025" spans="1:4">
      <c r="A6025">
        <v>1.0511569999999999</v>
      </c>
      <c r="B6025">
        <v>3.5955360000000001</v>
      </c>
      <c r="C6025">
        <f>LOG10(1.051157)</f>
        <v>2.1667586762241193E-2</v>
      </c>
      <c r="D6025">
        <f>LOG10(3.595536)</f>
        <v>0.5557636414478605</v>
      </c>
    </row>
    <row r="6026" spans="1:4">
      <c r="A6026">
        <v>1.029193</v>
      </c>
      <c r="B6026">
        <v>3.4706260000000002</v>
      </c>
      <c r="C6026">
        <f>LOG10(1.029193)</f>
        <v>1.2496823718146038E-2</v>
      </c>
      <c r="D6026">
        <f>LOG10(3.470626)</f>
        <v>0.54040781595099641</v>
      </c>
    </row>
    <row r="6027" spans="1:4">
      <c r="A6027">
        <v>1.015949</v>
      </c>
      <c r="B6027">
        <v>3.5717150000000002</v>
      </c>
      <c r="C6027">
        <f>LOG10(1.015949)</f>
        <v>6.8719071855961591E-3</v>
      </c>
      <c r="D6027">
        <f>LOG10(3.571715)</f>
        <v>0.55287679767860443</v>
      </c>
    </row>
    <row r="6028" spans="1:4">
      <c r="A6028">
        <v>1.0126580000000001</v>
      </c>
      <c r="B6028">
        <v>3.4659219999999999</v>
      </c>
      <c r="C6028">
        <f>LOG10(1.012658)</f>
        <v>5.462797985232761E-3</v>
      </c>
      <c r="D6028">
        <f>LOG10(3.465922)</f>
        <v>0.5398187847625604</v>
      </c>
    </row>
    <row r="6029" spans="1:4">
      <c r="A6029">
        <v>1.0222960000000001</v>
      </c>
      <c r="B6029">
        <v>3.533347</v>
      </c>
      <c r="C6029">
        <f>LOG10(1.022296)</f>
        <v>9.576661507321017E-3</v>
      </c>
      <c r="D6029">
        <f>LOG10(3.533347)</f>
        <v>0.54818629036013822</v>
      </c>
    </row>
    <row r="6030" spans="1:4">
      <c r="A6030">
        <v>1.019231</v>
      </c>
      <c r="B6030">
        <v>3.1543109999999999</v>
      </c>
      <c r="C6030">
        <f>LOG10(1.019231)</f>
        <v>8.2726242968048438E-3</v>
      </c>
      <c r="D6030">
        <f>LOG10(3.154311)</f>
        <v>0.4989045104656939</v>
      </c>
    </row>
    <row r="6031" spans="1:4">
      <c r="A6031">
        <v>1.013838</v>
      </c>
      <c r="B6031">
        <v>3.1150410000000002</v>
      </c>
      <c r="C6031">
        <f>LOG10(1.013838)</f>
        <v>5.9685651286807296E-3</v>
      </c>
      <c r="D6031">
        <f>LOG10(3.115041)</f>
        <v>0.49346376719312623</v>
      </c>
    </row>
    <row r="6032" spans="1:4">
      <c r="A6032">
        <v>1.0186839999999999</v>
      </c>
      <c r="B6032">
        <v>3.3323390000000002</v>
      </c>
      <c r="C6032">
        <f>LOG10(1.018684)</f>
        <v>8.0394849486906447E-3</v>
      </c>
      <c r="D6032">
        <f>LOG10(3.332339)</f>
        <v>0.52274917591015335</v>
      </c>
    </row>
    <row r="6033" spans="1:4">
      <c r="A6033">
        <v>1.022025</v>
      </c>
      <c r="B6033">
        <v>3.5195690000000002</v>
      </c>
      <c r="C6033">
        <f>LOG10(1.022025)</f>
        <v>9.4615193106843444E-3</v>
      </c>
      <c r="D6033">
        <f>LOG10(3.519569)</f>
        <v>0.54648948382411122</v>
      </c>
    </row>
    <row r="6034" spans="1:4">
      <c r="A6034">
        <v>1.022041</v>
      </c>
      <c r="B6034">
        <v>3.613003</v>
      </c>
      <c r="C6034">
        <f>LOG10(1.022041)</f>
        <v>9.4683182219823161E-3</v>
      </c>
      <c r="D6034">
        <f>LOG10(3.613003)</f>
        <v>0.55786832217773852</v>
      </c>
    </row>
    <row r="6035" spans="1:4">
      <c r="A6035">
        <v>1.0181089999999999</v>
      </c>
      <c r="B6035">
        <v>3.478602</v>
      </c>
      <c r="C6035">
        <f>LOG10(1.018109)</f>
        <v>7.7942765905233431E-3</v>
      </c>
      <c r="D6035">
        <f>LOG10(3.478602)</f>
        <v>0.54140474231712454</v>
      </c>
    </row>
    <row r="6036" spans="1:4">
      <c r="A6036">
        <v>1.0204519999999999</v>
      </c>
      <c r="B6036">
        <v>3.3124210000000001</v>
      </c>
      <c r="C6036">
        <f>LOG10(1.020452)</f>
        <v>8.7925811977005389E-3</v>
      </c>
      <c r="D6036">
        <f>LOG10(3.312421)</f>
        <v>0.52014552930767222</v>
      </c>
    </row>
    <row r="6037" spans="1:4">
      <c r="A6037">
        <v>1.010853</v>
      </c>
      <c r="B6037">
        <v>3.4953729999999998</v>
      </c>
      <c r="C6037">
        <f>LOG10(1.010853)</f>
        <v>4.6880043243637086E-3</v>
      </c>
      <c r="D6037">
        <f>LOG10(3.495373)</f>
        <v>0.5434935272056387</v>
      </c>
    </row>
    <row r="6038" spans="1:4">
      <c r="A6038">
        <v>1.0201480000000001</v>
      </c>
      <c r="B6038">
        <v>3.5398200000000002</v>
      </c>
      <c r="C6038">
        <f>LOG10(1.020148)</f>
        <v>8.6631824684294985E-3</v>
      </c>
      <c r="D6038">
        <f>LOG10(3.53982)</f>
        <v>0.54898117869407614</v>
      </c>
    </row>
    <row r="6039" spans="1:4">
      <c r="A6039">
        <v>1.015566</v>
      </c>
      <c r="B6039">
        <v>3.4125040000000002</v>
      </c>
      <c r="C6039">
        <f>LOG10(1.015566)</f>
        <v>6.7081527574578978E-3</v>
      </c>
      <c r="D6039">
        <f>LOG10(3.412504)</f>
        <v>0.53307316911164304</v>
      </c>
    </row>
    <row r="6040" spans="1:4">
      <c r="A6040">
        <v>1.0178750000000001</v>
      </c>
      <c r="B6040">
        <v>3.654906</v>
      </c>
      <c r="C6040">
        <f>LOG10(1.017875)</f>
        <v>7.6944478008935998E-3</v>
      </c>
      <c r="D6040">
        <f>LOG10(3.654906)</f>
        <v>0.56287621188040082</v>
      </c>
    </row>
    <row r="6041" spans="1:4">
      <c r="A6041">
        <v>1.008508</v>
      </c>
      <c r="B6041">
        <v>3.425929</v>
      </c>
      <c r="C6041">
        <f>LOG10(1.008508)</f>
        <v>3.6793476078571122E-3</v>
      </c>
      <c r="D6041">
        <f>LOG10(3.425929)</f>
        <v>0.53477835827113529</v>
      </c>
    </row>
    <row r="6042" spans="1:4">
      <c r="A6042">
        <v>1.017449</v>
      </c>
      <c r="B6042">
        <v>3.5408490000000001</v>
      </c>
      <c r="C6042">
        <f>LOG10(1.017449)</f>
        <v>7.5126492744747838E-3</v>
      </c>
      <c r="D6042">
        <f>LOG10(3.540849)</f>
        <v>0.54910740660418589</v>
      </c>
    </row>
    <row r="6043" spans="1:4">
      <c r="A6043">
        <v>1.0178469999999999</v>
      </c>
      <c r="B6043">
        <v>3.6914410000000002</v>
      </c>
      <c r="C6043">
        <f>LOG10(1.017847)</f>
        <v>7.6825009383120505E-3</v>
      </c>
      <c r="D6043">
        <f>LOG10(3.691441)</f>
        <v>0.56719593152072156</v>
      </c>
    </row>
    <row r="6044" spans="1:4">
      <c r="A6044">
        <v>1.016688</v>
      </c>
      <c r="B6044">
        <v>3.747433</v>
      </c>
      <c r="C6044">
        <f>LOG10(1.016688)</f>
        <v>7.1876975960505716E-3</v>
      </c>
      <c r="D6044">
        <f>LOG10(3.747433)</f>
        <v>0.57373387687978239</v>
      </c>
    </row>
    <row r="6045" spans="1:4">
      <c r="A6045">
        <v>1.0093829999999999</v>
      </c>
      <c r="B6045">
        <v>3.485169</v>
      </c>
      <c r="C6045">
        <f>LOG10(1.009383)</f>
        <v>4.0559860838526845E-3</v>
      </c>
      <c r="D6045">
        <f>LOG10(3.485169)</f>
        <v>0.54222384240185861</v>
      </c>
    </row>
    <row r="6046" spans="1:4">
      <c r="A6046">
        <v>1.0274650000000001</v>
      </c>
      <c r="B6046">
        <v>3.5482339999999999</v>
      </c>
      <c r="C6046">
        <f>LOG10(1.027465)</f>
        <v>1.1767036810142371E-2</v>
      </c>
      <c r="D6046">
        <f>LOG10(3.548234)</f>
        <v>0.55001225308688628</v>
      </c>
    </row>
    <row r="6047" spans="1:4">
      <c r="A6047">
        <v>1.014489</v>
      </c>
      <c r="B6047">
        <v>3.5957159999999999</v>
      </c>
      <c r="C6047">
        <f>LOG10(1.014489)</f>
        <v>6.2473423844457083E-3</v>
      </c>
      <c r="D6047">
        <f>LOG10(3.595716)</f>
        <v>0.55578538258744481</v>
      </c>
    </row>
    <row r="6048" spans="1:4">
      <c r="A6048">
        <v>1.0152620000000001</v>
      </c>
      <c r="B6048">
        <v>3.4578509999999998</v>
      </c>
      <c r="C6048">
        <f>LOG10(1.015262)</f>
        <v>6.5781313834324603E-3</v>
      </c>
      <c r="D6048">
        <f>LOG10(3.457851)</f>
        <v>0.53880627544109372</v>
      </c>
    </row>
    <row r="6049" spans="1:4">
      <c r="A6049">
        <v>1.0209220000000001</v>
      </c>
      <c r="B6049">
        <v>3.6947070000000002</v>
      </c>
      <c r="C6049">
        <f>LOG10(1.020922)</f>
        <v>8.9925625926838438E-3</v>
      </c>
      <c r="D6049">
        <f>LOG10(3.694707)</f>
        <v>0.56758000339968728</v>
      </c>
    </row>
    <row r="6050" spans="1:4">
      <c r="A6050">
        <v>1.014713</v>
      </c>
      <c r="B6050">
        <v>3.625445</v>
      </c>
      <c r="C6050">
        <f>LOG10(1.014713)</f>
        <v>6.3432243758309668E-3</v>
      </c>
      <c r="D6050">
        <f>LOG10(3.625445)</f>
        <v>0.5593613210265127</v>
      </c>
    </row>
    <row r="6051" spans="1:4">
      <c r="A6051">
        <v>1.01712</v>
      </c>
      <c r="B6051">
        <v>3.6115689999999998</v>
      </c>
      <c r="C6051">
        <f>LOG10(1.01712)</f>
        <v>7.3721940863818057E-3</v>
      </c>
      <c r="D6051">
        <f>LOG10(3.611569)</f>
        <v>0.55769591658880446</v>
      </c>
    </row>
    <row r="6052" spans="1:4">
      <c r="A6052">
        <v>1.012888</v>
      </c>
      <c r="B6052">
        <v>3.728472</v>
      </c>
      <c r="C6052">
        <f>LOG10(1.012888)</f>
        <v>5.5614259416129457E-3</v>
      </c>
      <c r="D6052">
        <f>LOG10(3.728472)</f>
        <v>0.5715308859834215</v>
      </c>
    </row>
    <row r="6053" spans="1:4">
      <c r="A6053">
        <v>1.030872</v>
      </c>
      <c r="B6053">
        <v>3.5879850000000002</v>
      </c>
      <c r="C6053">
        <f>LOG10(1.030872)</f>
        <v>1.3204743707633056E-2</v>
      </c>
      <c r="D6053">
        <f>LOG10(3.587985)</f>
        <v>0.55485061875587682</v>
      </c>
    </row>
    <row r="6054" spans="1:4">
      <c r="A6054">
        <v>1.0121169999999999</v>
      </c>
      <c r="B6054">
        <v>3.4869129999999999</v>
      </c>
      <c r="C6054">
        <f>LOG10(1.012117)</f>
        <v>5.2307195367129345E-3</v>
      </c>
      <c r="D6054">
        <f>LOG10(3.486913)</f>
        <v>0.54244111167443354</v>
      </c>
    </row>
    <row r="6055" spans="1:4">
      <c r="A6055">
        <v>1.0107159999999999</v>
      </c>
      <c r="B6055">
        <v>3.3899059999999999</v>
      </c>
      <c r="C6055">
        <f>LOG10(1.010716)</f>
        <v>4.6291407939951148E-3</v>
      </c>
      <c r="D6055">
        <f>LOG10(3.389906)</f>
        <v>0.53018765565225578</v>
      </c>
    </row>
    <row r="6056" spans="1:4">
      <c r="A6056">
        <v>1.010505</v>
      </c>
      <c r="B6056">
        <v>3.5387040000000001</v>
      </c>
      <c r="C6056">
        <f>LOG10(1.010505)</f>
        <v>4.5384667548727768E-3</v>
      </c>
      <c r="D6056">
        <f>LOG10(3.538704)</f>
        <v>0.54884423696842266</v>
      </c>
    </row>
    <row r="6057" spans="1:4">
      <c r="A6057">
        <v>1.0352110000000001</v>
      </c>
      <c r="B6057">
        <v>3.4418920000000002</v>
      </c>
      <c r="C6057">
        <f>LOG10(1.035211)</f>
        <v>1.5028878098504386E-2</v>
      </c>
      <c r="D6057">
        <f>LOG10(3.441892)</f>
        <v>0.53679723887361186</v>
      </c>
    </row>
    <row r="6058" spans="1:4">
      <c r="A6058">
        <v>1.012249</v>
      </c>
      <c r="B6058">
        <v>3.6534909999999998</v>
      </c>
      <c r="C6058">
        <f>LOG10(1.012249)</f>
        <v>5.2873564014819388E-3</v>
      </c>
      <c r="D6058">
        <f>LOG10(3.653491)</f>
        <v>0.56270804184268342</v>
      </c>
    </row>
    <row r="6059" spans="1:4">
      <c r="A6059">
        <v>1.0079100000000001</v>
      </c>
      <c r="B6059">
        <v>3.5270130000000002</v>
      </c>
      <c r="C6059">
        <f>LOG10(1.00791)</f>
        <v>3.4217540852918885E-3</v>
      </c>
      <c r="D6059">
        <f>LOG10(3.527013)</f>
        <v>0.54740706040972387</v>
      </c>
    </row>
    <row r="6060" spans="1:4">
      <c r="A6060">
        <v>1.0115879999999999</v>
      </c>
      <c r="B6060">
        <v>3.3891779999999998</v>
      </c>
      <c r="C6060">
        <f>LOG10(1.011588)</f>
        <v>5.003668868597138E-3</v>
      </c>
      <c r="D6060">
        <f>LOG10(3.389178)</f>
        <v>0.53009437863015629</v>
      </c>
    </row>
    <row r="6061" spans="1:4">
      <c r="A6061">
        <v>1.0262370000000001</v>
      </c>
      <c r="B6061">
        <v>3.476359</v>
      </c>
      <c r="C6061">
        <f>LOG10(1.026237)</f>
        <v>1.1247668676560066E-2</v>
      </c>
      <c r="D6061">
        <f>LOG10(3.476359)</f>
        <v>0.54112461923471433</v>
      </c>
    </row>
    <row r="6062" spans="1:4">
      <c r="A6062">
        <v>1.007274</v>
      </c>
      <c r="B6062">
        <v>3.4205390000000002</v>
      </c>
      <c r="C6062">
        <f>LOG10(1.007274)</f>
        <v>3.1476239813795341E-3</v>
      </c>
      <c r="D6062">
        <f>LOG10(3.420539)</f>
        <v>0.53409454648933197</v>
      </c>
    </row>
    <row r="6063" spans="1:4">
      <c r="A6063">
        <v>1.01437</v>
      </c>
      <c r="B6063">
        <v>3.3311999999999999</v>
      </c>
      <c r="C6063">
        <f>LOG10(1.01437)</f>
        <v>6.1963964651819805E-3</v>
      </c>
      <c r="D6063">
        <f>LOG10(3.3312)</f>
        <v>0.5226007078304421</v>
      </c>
    </row>
    <row r="6064" spans="1:4">
      <c r="A6064">
        <v>1.0187120000000001</v>
      </c>
      <c r="B6064">
        <v>3.6106639999999999</v>
      </c>
      <c r="C6064">
        <f>LOG10(1.018712)</f>
        <v>8.0514219952874926E-3</v>
      </c>
      <c r="D6064">
        <f>LOG10(3.610664)</f>
        <v>0.55758707587204015</v>
      </c>
    </row>
    <row r="6065" spans="1:4">
      <c r="A6065">
        <v>1.0163199999999999</v>
      </c>
      <c r="B6065">
        <v>3.487876</v>
      </c>
      <c r="C6065">
        <f>LOG10(1.01632)</f>
        <v>7.0304720749645808E-3</v>
      </c>
      <c r="D6065">
        <f>LOG10(3.487876)</f>
        <v>0.54256103661803545</v>
      </c>
    </row>
    <row r="6066" spans="1:4">
      <c r="A6066">
        <v>1.008589</v>
      </c>
      <c r="B6066">
        <v>3.2915549999999998</v>
      </c>
      <c r="C6066">
        <f>LOG10(1.008589)</f>
        <v>3.7142272919308788E-3</v>
      </c>
      <c r="D6066">
        <f>LOG10(3.291555)</f>
        <v>0.51740111630093411</v>
      </c>
    </row>
    <row r="6067" spans="1:4">
      <c r="A6067">
        <v>1.0099769999999999</v>
      </c>
      <c r="B6067">
        <v>3.2076850000000001</v>
      </c>
      <c r="C6067">
        <f>LOG10(1.009977)</f>
        <v>4.3114837956929712E-3</v>
      </c>
      <c r="D6067">
        <f>LOG10(3.207685)</f>
        <v>0.50619171326589496</v>
      </c>
    </row>
    <row r="6068" spans="1:4">
      <c r="A6068">
        <v>1.03593</v>
      </c>
      <c r="B6068">
        <v>3.2012849999999999</v>
      </c>
      <c r="C6068">
        <f>LOG10(1.03593)</f>
        <v>1.5330410196060504E-2</v>
      </c>
      <c r="D6068">
        <f>LOG10(3.201285)</f>
        <v>0.50532433969164359</v>
      </c>
    </row>
    <row r="6069" spans="1:4">
      <c r="A6069">
        <v>1.0102949999999999</v>
      </c>
      <c r="B6069">
        <v>3.0431249999999999</v>
      </c>
      <c r="C6069">
        <f>LOG10(1.010295)</f>
        <v>4.4482036496392013E-3</v>
      </c>
      <c r="D6069">
        <f>LOG10(3.043125)</f>
        <v>0.48331979188996949</v>
      </c>
    </row>
    <row r="6070" spans="1:4">
      <c r="A6070">
        <v>1.0158119999999999</v>
      </c>
      <c r="B6070">
        <v>3.349869</v>
      </c>
      <c r="C6070">
        <f>LOG10(1.015812)</f>
        <v>6.8133389345952367E-3</v>
      </c>
      <c r="D6070">
        <f>LOG10(3.349869)</f>
        <v>0.52502782384593905</v>
      </c>
    </row>
    <row r="6071" spans="1:4">
      <c r="A6071">
        <v>1.0269010000000001</v>
      </c>
      <c r="B6071">
        <v>2.9926270000000001</v>
      </c>
      <c r="C6071">
        <f>LOG10(1.026901)</f>
        <v>1.1528576775321646E-2</v>
      </c>
      <c r="D6071">
        <f>LOG10(2.992627)</f>
        <v>0.47605258989844929</v>
      </c>
    </row>
    <row r="6072" spans="1:4">
      <c r="A6072">
        <v>1.024559</v>
      </c>
      <c r="B6072">
        <v>3.1898770000000001</v>
      </c>
      <c r="C6072">
        <f>LOG10(1.024559)</f>
        <v>1.0536972631452451E-2</v>
      </c>
      <c r="D6072">
        <f>LOG10(3.189877)</f>
        <v>0.50377393721042552</v>
      </c>
    </row>
    <row r="6073" spans="1:4">
      <c r="A6073">
        <v>1.017274</v>
      </c>
      <c r="B6073">
        <v>3.2545730000000002</v>
      </c>
      <c r="C6073">
        <f>LOG10(1.017274)</f>
        <v>7.4379447230243081E-3</v>
      </c>
      <c r="D6073">
        <f>LOG10(3.254573)</f>
        <v>0.51249401720272048</v>
      </c>
    </row>
    <row r="6074" spans="1:4">
      <c r="A6074">
        <v>1.0824830000000001</v>
      </c>
      <c r="B6074">
        <v>3.3351869999999999</v>
      </c>
      <c r="C6074">
        <f>LOG10(1.082483)</f>
        <v>3.442108464280192E-2</v>
      </c>
      <c r="D6074">
        <f>LOG10(3.335187)</f>
        <v>0.52312018931443072</v>
      </c>
    </row>
    <row r="6075" spans="1:4">
      <c r="A6075">
        <v>1.0306869999999999</v>
      </c>
      <c r="B6075">
        <v>3.3976280000000001</v>
      </c>
      <c r="C6075">
        <f>LOG10(1.030687)</f>
        <v>1.312679834747813E-2</v>
      </c>
      <c r="D6075">
        <f>LOG10(3.397628)</f>
        <v>0.53117582703706934</v>
      </c>
    </row>
    <row r="6076" spans="1:4">
      <c r="A6076">
        <v>1.036016</v>
      </c>
      <c r="B6076">
        <v>3.3833890000000002</v>
      </c>
      <c r="C6076">
        <f>LOG10(1.036016)</f>
        <v>1.5366462608107095E-2</v>
      </c>
      <c r="D6076">
        <f>LOG10(3.383389)</f>
        <v>0.5293519330056119</v>
      </c>
    </row>
    <row r="6077" spans="1:4">
      <c r="A6077">
        <v>1.0259229999999999</v>
      </c>
      <c r="B6077">
        <v>3.4569619999999999</v>
      </c>
      <c r="C6077">
        <f>LOG10(1.025923)</f>
        <v>1.1114766302103979E-2</v>
      </c>
      <c r="D6077">
        <f>LOG10(3.456962)</f>
        <v>0.53869460566881233</v>
      </c>
    </row>
    <row r="6078" spans="1:4">
      <c r="A6078">
        <v>1.0358560000000001</v>
      </c>
      <c r="B6078">
        <v>3.5358700000000001</v>
      </c>
      <c r="C6078">
        <f>LOG10(1.035856)</f>
        <v>1.5299385957384823E-2</v>
      </c>
      <c r="D6078">
        <f>LOG10(3.53587)</f>
        <v>0.54849628933862915</v>
      </c>
    </row>
    <row r="6079" spans="1:4">
      <c r="A6079">
        <v>1.0170300000000001</v>
      </c>
      <c r="B6079">
        <v>3.3962300000000001</v>
      </c>
      <c r="C6079">
        <f>LOG10(1.01703)</f>
        <v>7.3337637804586787E-3</v>
      </c>
      <c r="D6079">
        <f>LOG10(3.39623)</f>
        <v>0.53099709392422823</v>
      </c>
    </row>
    <row r="6080" spans="1:4">
      <c r="A6080">
        <v>1.020613</v>
      </c>
      <c r="B6080">
        <v>3.3700770000000002</v>
      </c>
      <c r="C6080">
        <f>LOG10(1.020613)</f>
        <v>8.8610958326891132E-3</v>
      </c>
      <c r="D6080">
        <f>LOG10(3.370077)</f>
        <v>0.52763982380696917</v>
      </c>
    </row>
    <row r="6081" spans="1:4">
      <c r="A6081">
        <v>1.015525</v>
      </c>
      <c r="B6081">
        <v>3.4390580000000002</v>
      </c>
      <c r="C6081">
        <f>LOG10(1.015525)</f>
        <v>6.6906192508248289E-3</v>
      </c>
      <c r="D6081">
        <f>LOG10(3.439058)</f>
        <v>0.53643950029643661</v>
      </c>
    </row>
    <row r="6082" spans="1:4">
      <c r="A6082">
        <v>1.013841</v>
      </c>
      <c r="B6082">
        <v>3.5010949999999998</v>
      </c>
      <c r="C6082">
        <f>LOG10(1.013841)</f>
        <v>5.9698502270081281E-3</v>
      </c>
      <c r="D6082">
        <f>LOG10(3.501095)</f>
        <v>0.54420389523119117</v>
      </c>
    </row>
    <row r="6083" spans="1:4">
      <c r="A6083">
        <v>1.014891</v>
      </c>
      <c r="B6083">
        <v>3.3577240000000002</v>
      </c>
      <c r="C6083">
        <f>LOG10(1.014891)</f>
        <v>6.4194012240998723E-3</v>
      </c>
      <c r="D6083">
        <f>LOG10(3.357724)</f>
        <v>0.52604499489814505</v>
      </c>
    </row>
    <row r="6084" spans="1:4">
      <c r="A6084">
        <v>1.021123</v>
      </c>
      <c r="B6084">
        <v>3.4030429999999998</v>
      </c>
      <c r="C6084">
        <f>LOG10(1.021123)</f>
        <v>9.0780584472261519E-3</v>
      </c>
      <c r="D6084">
        <f>LOG10(3.403043)</f>
        <v>0.53186743676690462</v>
      </c>
    </row>
    <row r="6085" spans="1:4">
      <c r="A6085">
        <v>1.0202819999999999</v>
      </c>
      <c r="B6085">
        <v>3.4901179999999998</v>
      </c>
      <c r="C6085">
        <f>LOG10(1.020282)</f>
        <v>8.7202248179917338E-3</v>
      </c>
      <c r="D6085">
        <f>LOG10(3.490118)</f>
        <v>0.54284011059314408</v>
      </c>
    </row>
    <row r="6086" spans="1:4">
      <c r="A6086">
        <v>1.031466</v>
      </c>
      <c r="B6086">
        <v>3.390609</v>
      </c>
      <c r="C6086">
        <f>LOG10(1.031466)</f>
        <v>1.3454916986100528E-2</v>
      </c>
      <c r="D6086">
        <f>LOG10(3.390609)</f>
        <v>0.53027771047017802</v>
      </c>
    </row>
    <row r="6087" spans="1:4">
      <c r="A6087">
        <v>1.021277</v>
      </c>
      <c r="B6087">
        <v>3.3318669999999999</v>
      </c>
      <c r="C6087">
        <f>LOG10(1.021277)</f>
        <v>9.143551348068147E-3</v>
      </c>
      <c r="D6087">
        <f>LOG10(3.331867)</f>
        <v>0.5226876571048219</v>
      </c>
    </row>
    <row r="6088" spans="1:4">
      <c r="A6088">
        <v>1.0211589999999999</v>
      </c>
      <c r="B6088">
        <v>3.3843169999999998</v>
      </c>
      <c r="C6088">
        <f>LOG10(1.021159)</f>
        <v>9.0933693605575183E-3</v>
      </c>
      <c r="D6088">
        <f>LOG10(3.384317)</f>
        <v>0.52947103548486618</v>
      </c>
    </row>
    <row r="6089" spans="1:4">
      <c r="A6089">
        <v>1.011973</v>
      </c>
      <c r="B6089">
        <v>3.4154840000000002</v>
      </c>
      <c r="C6089">
        <f>LOG10(1.011973)</f>
        <v>5.1689254410951079E-3</v>
      </c>
      <c r="D6089">
        <f>LOG10(3.415484)</f>
        <v>0.53345225520208273</v>
      </c>
    </row>
    <row r="6090" spans="1:4">
      <c r="A6090">
        <v>1.0111490000000001</v>
      </c>
      <c r="B6090">
        <v>3.4161739999999998</v>
      </c>
      <c r="C6090">
        <f>LOG10(1.011149)</f>
        <v>4.8151566887646088E-3</v>
      </c>
      <c r="D6090">
        <f>LOG10(3.416174)</f>
        <v>0.53353998301091976</v>
      </c>
    </row>
    <row r="6091" spans="1:4">
      <c r="A6091">
        <v>1.024135</v>
      </c>
      <c r="B6091">
        <v>3.4165960000000002</v>
      </c>
      <c r="C6091">
        <f>LOG10(1.024135)</f>
        <v>1.0357208486142251E-2</v>
      </c>
      <c r="D6091">
        <f>LOG10(3.416596)</f>
        <v>0.53359362809822586</v>
      </c>
    </row>
    <row r="6092" spans="1:4">
      <c r="A6092">
        <v>1.0220549999999999</v>
      </c>
      <c r="B6092">
        <v>3.3458269999999999</v>
      </c>
      <c r="C6092">
        <f>LOG10(1.022055)</f>
        <v>9.4742671820573065E-3</v>
      </c>
      <c r="D6092">
        <f>LOG10(3.345827)</f>
        <v>0.52450348148956893</v>
      </c>
    </row>
    <row r="6093" spans="1:4">
      <c r="A6093">
        <v>1.0127139999999999</v>
      </c>
      <c r="B6093">
        <v>3.3401190000000001</v>
      </c>
      <c r="C6093">
        <f>LOG10(1.012714)</f>
        <v>5.4868138114540256E-3</v>
      </c>
      <c r="D6093">
        <f>LOG10(3.340119)</f>
        <v>0.52376193990219411</v>
      </c>
    </row>
    <row r="6094" spans="1:4">
      <c r="A6094">
        <v>1.0194270000000001</v>
      </c>
      <c r="B6094">
        <v>3.334552</v>
      </c>
      <c r="C6094">
        <f>LOG10(1.019427)</f>
        <v>8.3561318971138131E-3</v>
      </c>
      <c r="D6094">
        <f>LOG10(3.334552)</f>
        <v>0.52303749432536384</v>
      </c>
    </row>
    <row r="6095" spans="1:4">
      <c r="A6095">
        <v>1.0191349999999999</v>
      </c>
      <c r="B6095">
        <v>3.3121740000000002</v>
      </c>
      <c r="C6095">
        <f>LOG10(1.019135)</f>
        <v>8.2317167558690375E-3</v>
      </c>
      <c r="D6095">
        <f>LOG10(3.312174)</f>
        <v>0.52011314370913231</v>
      </c>
    </row>
    <row r="6096" spans="1:4">
      <c r="A6096">
        <v>1.017992</v>
      </c>
      <c r="B6096">
        <v>3.2721040000000001</v>
      </c>
      <c r="C6096">
        <f>LOG10(1.017992)</f>
        <v>7.7443650640926067E-3</v>
      </c>
      <c r="D6096">
        <f>LOG10(3.272104)</f>
        <v>0.51482709876099875</v>
      </c>
    </row>
    <row r="6097" spans="1:4">
      <c r="A6097">
        <v>1.0261260000000001</v>
      </c>
      <c r="B6097">
        <v>3.2772350000000001</v>
      </c>
      <c r="C6097">
        <f>LOG10(1.026126)</f>
        <v>1.1200691911203984E-2</v>
      </c>
      <c r="D6097">
        <f>LOG10(3.277235)</f>
        <v>0.51550758436192756</v>
      </c>
    </row>
    <row r="6098" spans="1:4">
      <c r="A6098">
        <v>1.028905</v>
      </c>
      <c r="B6098">
        <v>3.3971369999999999</v>
      </c>
      <c r="C6098">
        <f>LOG10(1.028905)</f>
        <v>1.2375277696912282E-2</v>
      </c>
      <c r="D6098">
        <f>LOG10(3.397137)</f>
        <v>0.53111306148418091</v>
      </c>
    </row>
    <row r="6099" spans="1:4">
      <c r="A6099">
        <v>1.0300689999999999</v>
      </c>
      <c r="B6099">
        <v>3.3378410000000001</v>
      </c>
      <c r="C6099">
        <f>LOG10(1.030069)</f>
        <v>1.2866317244560437E-2</v>
      </c>
      <c r="D6099">
        <f>LOG10(3.337841)</f>
        <v>0.52346564496537229</v>
      </c>
    </row>
    <row r="6100" spans="1:4">
      <c r="A6100">
        <v>1.01952</v>
      </c>
      <c r="B6100">
        <v>3.4092280000000001</v>
      </c>
      <c r="C6100">
        <f>LOG10(1.01952)</f>
        <v>8.3957497850186656E-3</v>
      </c>
      <c r="D6100">
        <f>LOG10(3.409228)</f>
        <v>0.53265604664711741</v>
      </c>
    </row>
    <row r="6101" spans="1:4">
      <c r="A6101">
        <v>1.0203340000000001</v>
      </c>
      <c r="B6101">
        <v>3.3566159999999998</v>
      </c>
      <c r="C6101">
        <f>LOG10(1.020334)</f>
        <v>8.7423586374501018E-3</v>
      </c>
      <c r="D6101">
        <f>LOG10(3.356616)</f>
        <v>0.52590166039607433</v>
      </c>
    </row>
    <row r="6102" spans="1:4">
      <c r="A6102">
        <v>1.0255019999999999</v>
      </c>
      <c r="B6102">
        <v>3.4110749999999999</v>
      </c>
      <c r="C6102">
        <f>LOG10(1.025502)</f>
        <v>1.0936511694260059E-2</v>
      </c>
      <c r="D6102">
        <f>LOG10(3.411075)</f>
        <v>0.53289126843350554</v>
      </c>
    </row>
    <row r="6103" spans="1:4">
      <c r="A6103">
        <v>1.0279830000000001</v>
      </c>
      <c r="B6103">
        <v>3.4366029999999999</v>
      </c>
      <c r="C6103">
        <f>LOG10(1.027983)</f>
        <v>1.1985932687234314E-2</v>
      </c>
      <c r="D6103">
        <f>LOG10(3.436603)</f>
        <v>0.53612936487865437</v>
      </c>
    </row>
    <row r="6104" spans="1:4">
      <c r="A6104">
        <v>1.0203720000000001</v>
      </c>
      <c r="B6104">
        <v>3.416318</v>
      </c>
      <c r="C6104">
        <f>LOG10(1.020372)</f>
        <v>8.7585326383245281E-3</v>
      </c>
      <c r="D6104">
        <f>LOG10(3.416318)</f>
        <v>0.53355828918834469</v>
      </c>
    </row>
    <row r="6105" spans="1:4">
      <c r="A6105">
        <v>1.012281</v>
      </c>
      <c r="B6105">
        <v>3.4789910000000002</v>
      </c>
      <c r="C6105">
        <f>LOG10(1.012281)</f>
        <v>5.3010854382678357E-3</v>
      </c>
      <c r="D6105">
        <f>LOG10(3.478991)</f>
        <v>0.54145330524790725</v>
      </c>
    </row>
    <row r="6106" spans="1:4">
      <c r="A6106">
        <v>1.0182089999999999</v>
      </c>
      <c r="B6106">
        <v>3.4273210000000001</v>
      </c>
      <c r="C6106">
        <f>LOG10(1.018209)</f>
        <v>7.8369314688136998E-3</v>
      </c>
      <c r="D6106">
        <f>LOG10(3.427321)</f>
        <v>0.53495478199042845</v>
      </c>
    </row>
    <row r="6107" spans="1:4">
      <c r="A6107">
        <v>1.0197430000000001</v>
      </c>
      <c r="B6107">
        <v>3.4395009999999999</v>
      </c>
      <c r="C6107">
        <f>LOG10(1.019743)</f>
        <v>8.4907327958912218E-3</v>
      </c>
      <c r="D6107">
        <f>LOG10(3.439501)</f>
        <v>0.53649544005235039</v>
      </c>
    </row>
    <row r="6108" spans="1:4">
      <c r="A6108">
        <v>1.0143530000000001</v>
      </c>
      <c r="B6108">
        <v>3.3929710000000002</v>
      </c>
      <c r="C6108">
        <f>LOG10(1.014353)</f>
        <v>6.189117988827644E-3</v>
      </c>
      <c r="D6108">
        <f>LOG10(3.392971)</f>
        <v>0.53058014771060602</v>
      </c>
    </row>
    <row r="6109" spans="1:4">
      <c r="A6109">
        <v>1.0156130000000001</v>
      </c>
      <c r="B6109">
        <v>3.5345309999999999</v>
      </c>
      <c r="C6109">
        <f>LOG10(1.015613)</f>
        <v>6.7282512723137056E-3</v>
      </c>
      <c r="D6109">
        <f>LOG10(3.534531)</f>
        <v>0.54833179504241569</v>
      </c>
    </row>
    <row r="6110" spans="1:4">
      <c r="A6110">
        <v>1.04277</v>
      </c>
      <c r="B6110">
        <v>3.5335390000000002</v>
      </c>
      <c r="C6110">
        <f>LOG10(1.04277)</f>
        <v>1.8188528229056911E-2</v>
      </c>
      <c r="D6110">
        <f>LOG10(3.533539)</f>
        <v>0.5482098890259568</v>
      </c>
    </row>
    <row r="6111" spans="1:4">
      <c r="A6111">
        <v>1.047356</v>
      </c>
      <c r="B6111">
        <v>3.4413499999999999</v>
      </c>
      <c r="C6111">
        <f>LOG10(1.047356)</f>
        <v>2.0094324999315641E-2</v>
      </c>
      <c r="D6111">
        <f>LOG10(3.44135)</f>
        <v>0.53672884447176517</v>
      </c>
    </row>
    <row r="6112" spans="1:4">
      <c r="A6112">
        <v>1.0377419999999999</v>
      </c>
      <c r="B6112">
        <v>3.4340579999999998</v>
      </c>
      <c r="C6112">
        <f>LOG10(1.037742)</f>
        <v>1.6089394067664058E-2</v>
      </c>
      <c r="D6112">
        <f>LOG10(3.434058)</f>
        <v>0.53580762596387033</v>
      </c>
    </row>
    <row r="6113" spans="1:4">
      <c r="A6113">
        <v>1.0332950000000001</v>
      </c>
      <c r="B6113">
        <v>3.4601389999999999</v>
      </c>
      <c r="C6113">
        <f>LOG10(1.033295)</f>
        <v>1.4224327891442554E-2</v>
      </c>
      <c r="D6113">
        <f>LOG10(3.460139)</f>
        <v>0.53909354553278943</v>
      </c>
    </row>
    <row r="6114" spans="1:4">
      <c r="A6114">
        <v>1.027382</v>
      </c>
      <c r="B6114">
        <v>3.5883020000000001</v>
      </c>
      <c r="C6114">
        <f>LOG10(1.027382)</f>
        <v>1.1731952502631791E-2</v>
      </c>
      <c r="D6114">
        <f>LOG10(3.588302)</f>
        <v>0.55488898716306367</v>
      </c>
    </row>
    <row r="6115" spans="1:4">
      <c r="A6115">
        <v>1.0251809999999999</v>
      </c>
      <c r="B6115">
        <v>3.2776519999999998</v>
      </c>
      <c r="C6115">
        <f>LOG10(1.025181)</f>
        <v>1.0800548671374926E-2</v>
      </c>
      <c r="D6115">
        <f>LOG10(3.277652)</f>
        <v>0.51556284108845774</v>
      </c>
    </row>
    <row r="6116" spans="1:4">
      <c r="A6116">
        <v>1.0185249999999999</v>
      </c>
      <c r="B6116">
        <v>3.2292179999999999</v>
      </c>
      <c r="C6116">
        <f>LOG10(1.018525)</f>
        <v>7.9716933546393337E-3</v>
      </c>
      <c r="D6116">
        <f>LOG10(3.229218)</f>
        <v>0.50909736462114241</v>
      </c>
    </row>
    <row r="6117" spans="1:4">
      <c r="A6117">
        <v>1.0185120000000001</v>
      </c>
      <c r="B6117">
        <v>3.1911</v>
      </c>
      <c r="C6117">
        <f>LOG10(1.018512)</f>
        <v>7.9661501776968052E-3</v>
      </c>
      <c r="D6117">
        <f>LOG10(3.1911)</f>
        <v>0.50394041396088918</v>
      </c>
    </row>
    <row r="6118" spans="1:4">
      <c r="A6118">
        <v>1.0307789999999999</v>
      </c>
      <c r="B6118">
        <v>3.3222200000000002</v>
      </c>
      <c r="C6118">
        <f>LOG10(1.030779)</f>
        <v>1.316556211303295E-2</v>
      </c>
      <c r="D6118">
        <f>LOG10(3.32222)</f>
        <v>0.52142838838702643</v>
      </c>
    </row>
    <row r="6119" spans="1:4">
      <c r="A6119">
        <v>1.0154529999999999</v>
      </c>
      <c r="B6119">
        <v>3.098522</v>
      </c>
      <c r="C6119">
        <f>LOG10(1.015453)</f>
        <v>6.6598269894510816E-3</v>
      </c>
      <c r="D6119">
        <f>LOG10(3.098522)</f>
        <v>0.49115458405667795</v>
      </c>
    </row>
    <row r="6120" spans="1:4">
      <c r="A6120">
        <v>1.0208250000000001</v>
      </c>
      <c r="B6120">
        <v>3.0696340000000002</v>
      </c>
      <c r="C6120">
        <f>LOG10(1.020825)</f>
        <v>8.9512973773791891E-3</v>
      </c>
      <c r="D6120">
        <f>LOG10(3.069634)</f>
        <v>0.48708659656640296</v>
      </c>
    </row>
    <row r="6121" spans="1:4">
      <c r="A6121">
        <v>1.016176</v>
      </c>
      <c r="B6121">
        <v>3.0586359999999999</v>
      </c>
      <c r="C6121">
        <f>LOG10(1.016176)</f>
        <v>6.9689335474607894E-3</v>
      </c>
      <c r="D6121">
        <f>LOG10(3.058636)</f>
        <v>0.48552779584784761</v>
      </c>
    </row>
    <row r="6122" spans="1:4">
      <c r="A6122">
        <v>1.0141659999999999</v>
      </c>
      <c r="B6122">
        <v>3.0534300000000001</v>
      </c>
      <c r="C6122">
        <f>LOG10(1.014166)</f>
        <v>6.1090466970664808E-3</v>
      </c>
      <c r="D6122">
        <f>LOG10(3.05343)</f>
        <v>0.4847879682283317</v>
      </c>
    </row>
    <row r="6123" spans="1:4">
      <c r="A6123">
        <v>1.011509</v>
      </c>
      <c r="B6123">
        <v>3.0693549999999998</v>
      </c>
      <c r="C6123">
        <f>LOG10(1.011509)</f>
        <v>4.9697513015326128E-3</v>
      </c>
      <c r="D6123">
        <f>LOG10(3.069355)</f>
        <v>0.4870471216103362</v>
      </c>
    </row>
    <row r="6124" spans="1:4">
      <c r="A6124">
        <v>1.0134300000000001</v>
      </c>
      <c r="B6124">
        <v>3.2964440000000002</v>
      </c>
      <c r="C6124">
        <f>LOG10(1.01343)</f>
        <v>5.7937563209564018E-3</v>
      </c>
      <c r="D6124">
        <f>LOG10(3.296444)</f>
        <v>0.51804570234650027</v>
      </c>
    </row>
    <row r="6125" spans="1:4">
      <c r="A6125">
        <v>1.0175909999999999</v>
      </c>
      <c r="B6125">
        <v>3.2025730000000001</v>
      </c>
      <c r="C6125">
        <f>LOG10(1.017591)</f>
        <v>7.5732572394585588E-3</v>
      </c>
      <c r="D6125">
        <f>LOG10(3.202573)</f>
        <v>0.50549903791269546</v>
      </c>
    </row>
    <row r="6126" spans="1:4">
      <c r="A6126">
        <v>1.036295</v>
      </c>
      <c r="B6126">
        <v>3.2618079999999998</v>
      </c>
      <c r="C6126">
        <f>LOG10(1.036295)</f>
        <v>1.5483402740339238E-2</v>
      </c>
      <c r="D6126">
        <f>LOG10(3.261808)</f>
        <v>0.51345839355446787</v>
      </c>
    </row>
    <row r="6127" spans="1:4">
      <c r="A6127">
        <v>1.0258050000000001</v>
      </c>
      <c r="B6127">
        <v>3.27121</v>
      </c>
      <c r="C6127">
        <f>LOG10(1.025805)</f>
        <v>1.1064811582062125E-2</v>
      </c>
      <c r="D6127">
        <f>LOG10(3.27121)</f>
        <v>0.51470842517472815</v>
      </c>
    </row>
    <row r="6128" spans="1:4">
      <c r="A6128">
        <v>1.018008</v>
      </c>
      <c r="B6128">
        <v>3.2551019999999999</v>
      </c>
      <c r="C6128">
        <f>LOG10(1.018008)</f>
        <v>7.7511909105666757E-3</v>
      </c>
      <c r="D6128">
        <f>LOG10(3.255102)</f>
        <v>0.51256460191898745</v>
      </c>
    </row>
    <row r="6129" spans="1:4">
      <c r="A6129">
        <v>1.019798</v>
      </c>
      <c r="B6129">
        <v>3.1349320000000001</v>
      </c>
      <c r="C6129">
        <f>LOG10(1.019798)</f>
        <v>8.5141559058070637E-3</v>
      </c>
      <c r="D6129">
        <f>LOG10(3.134932)</f>
        <v>0.49622812496097524</v>
      </c>
    </row>
    <row r="6130" spans="1:4">
      <c r="A6130">
        <v>1.030484</v>
      </c>
      <c r="B6130">
        <v>3.0459480000000001</v>
      </c>
      <c r="C6130">
        <f>LOG10(1.030484)</f>
        <v>1.3041253014158972E-2</v>
      </c>
      <c r="D6130">
        <f>LOG10(3.045948)</f>
        <v>0.48372248484840613</v>
      </c>
    </row>
    <row r="6131" spans="1:4">
      <c r="A6131">
        <v>1.025957</v>
      </c>
      <c r="B6131">
        <v>3.105121</v>
      </c>
      <c r="C6131">
        <f>LOG10(1.025957)</f>
        <v>1.1129158968718109E-2</v>
      </c>
      <c r="D6131">
        <f>LOG10(3.105121)</f>
        <v>0.49207852838004601</v>
      </c>
    </row>
    <row r="6132" spans="1:4">
      <c r="A6132">
        <v>1.046519</v>
      </c>
      <c r="B6132">
        <v>3.1954210000000001</v>
      </c>
      <c r="C6132">
        <f>LOG10(1.046519)</f>
        <v>1.9747117548331732E-2</v>
      </c>
      <c r="D6132">
        <f>LOG10(3.195421)</f>
        <v>0.5045280850082865</v>
      </c>
    </row>
    <row r="6133" spans="1:4">
      <c r="A6133">
        <v>1.0291920000000001</v>
      </c>
      <c r="B6133">
        <v>3.1494629999999999</v>
      </c>
      <c r="C6133">
        <f>LOG10(1.029192)</f>
        <v>1.249640174219706E-2</v>
      </c>
      <c r="D6133">
        <f>LOG10(3.149463)</f>
        <v>0.4982365106093018</v>
      </c>
    </row>
    <row r="6134" spans="1:4">
      <c r="A6134">
        <v>1.02416</v>
      </c>
      <c r="B6134">
        <v>3.2651690000000002</v>
      </c>
      <c r="C6134">
        <f>LOG10(1.02416)</f>
        <v>1.0367809851715174E-2</v>
      </c>
      <c r="D6134">
        <f>LOG10(3.265169)</f>
        <v>0.5139056645905673</v>
      </c>
    </row>
    <row r="6135" spans="1:4">
      <c r="A6135">
        <v>1.020643</v>
      </c>
      <c r="B6135">
        <v>3.0180440000000002</v>
      </c>
      <c r="C6135">
        <f>LOG10(1.020643)</f>
        <v>8.8738613402570259E-3</v>
      </c>
      <c r="D6135">
        <f>LOG10(3.018044)</f>
        <v>0.47972556705584291</v>
      </c>
    </row>
    <row r="6136" spans="1:4">
      <c r="A6136">
        <v>1.016913</v>
      </c>
      <c r="B6136">
        <v>3.2665310000000001</v>
      </c>
      <c r="C6136">
        <f>LOG10(1.016913)</f>
        <v>7.2837992982300323E-3</v>
      </c>
      <c r="D6136">
        <f>LOG10(3.266531)</f>
        <v>0.51408678408256026</v>
      </c>
    </row>
    <row r="6137" spans="1:4">
      <c r="A6137">
        <v>1.0175050000000001</v>
      </c>
      <c r="B6137">
        <v>3.1390889999999998</v>
      </c>
      <c r="C6137">
        <f>LOG10(1.017505)</f>
        <v>7.5365520172323555E-3</v>
      </c>
      <c r="D6137">
        <f>LOG10(3.139089)</f>
        <v>0.49680362906765857</v>
      </c>
    </row>
    <row r="6138" spans="1:4">
      <c r="A6138">
        <v>1.0177719999999999</v>
      </c>
      <c r="B6138">
        <v>3.245155</v>
      </c>
      <c r="C6138">
        <f>LOG10(1.017772)</f>
        <v>7.6504987943376594E-3</v>
      </c>
      <c r="D6138">
        <f>LOG10(3.245155)</f>
        <v>0.51123544506152008</v>
      </c>
    </row>
    <row r="6139" spans="1:4">
      <c r="A6139">
        <v>1.0288999999999999</v>
      </c>
      <c r="B6139">
        <v>3.5836109999999999</v>
      </c>
      <c r="C6139">
        <f>LOG10(1.0289)</f>
        <v>1.2373167222489745E-2</v>
      </c>
      <c r="D6139">
        <f>LOG10(3.583611)</f>
        <v>0.55432086100059141</v>
      </c>
    </row>
    <row r="6140" spans="1:4">
      <c r="A6140">
        <v>1.009323</v>
      </c>
      <c r="B6140">
        <v>3.4888659999999998</v>
      </c>
      <c r="C6140">
        <f>LOG10(1.009323)</f>
        <v>4.0301698739421323E-3</v>
      </c>
      <c r="D6140">
        <f>LOG10(3.488866)</f>
        <v>0.54268428943144609</v>
      </c>
    </row>
    <row r="6141" spans="1:4">
      <c r="A6141">
        <v>1.035053</v>
      </c>
      <c r="B6141">
        <v>3.3293940000000002</v>
      </c>
      <c r="C6141">
        <f>LOG10(1.035053)</f>
        <v>1.4962588457884656E-2</v>
      </c>
      <c r="D6141">
        <f>LOG10(3.329394)</f>
        <v>0.52236519254350566</v>
      </c>
    </row>
    <row r="6142" spans="1:4">
      <c r="A6142">
        <v>1.0143880000000001</v>
      </c>
      <c r="B6142">
        <v>3.3514550000000001</v>
      </c>
      <c r="C6142">
        <f>LOG10(1.014388)</f>
        <v>6.2041029542501645E-3</v>
      </c>
      <c r="D6142">
        <f>LOG10(3.351455)</f>
        <v>0.52523339249510725</v>
      </c>
    </row>
    <row r="6143" spans="1:4">
      <c r="A6143">
        <v>1.0095460000000001</v>
      </c>
      <c r="B6143">
        <v>3.3010290000000002</v>
      </c>
      <c r="C6143">
        <f>LOG10(1.009546)</f>
        <v>4.1261123742810241E-3</v>
      </c>
      <c r="D6143">
        <f>LOG10(3.301029)</f>
        <v>0.51864933968464433</v>
      </c>
    </row>
    <row r="6144" spans="1:4">
      <c r="A6144">
        <v>1.0151319999999999</v>
      </c>
      <c r="B6144">
        <v>3.3118690000000002</v>
      </c>
      <c r="C6144">
        <f>LOG10(1.015132)</f>
        <v>6.5225182534442393E-3</v>
      </c>
      <c r="D6144">
        <f>LOG10(3.311869)</f>
        <v>0.52007315006263155</v>
      </c>
    </row>
    <row r="6145" spans="1:4">
      <c r="A6145">
        <v>1.010969</v>
      </c>
      <c r="B6145">
        <v>3.1752310000000001</v>
      </c>
      <c r="C6145">
        <f>LOG10(1.010969)</f>
        <v>4.7378387409998486E-3</v>
      </c>
      <c r="D6145">
        <f>LOG10(3.175231)</f>
        <v>0.50177532596688801</v>
      </c>
    </row>
    <row r="6146" spans="1:4">
      <c r="A6146">
        <v>1.012864</v>
      </c>
      <c r="B6146">
        <v>3.478062</v>
      </c>
      <c r="C6146">
        <f>LOG10(1.012864)</f>
        <v>5.5511353753776157E-3</v>
      </c>
      <c r="D6146">
        <f>LOG10(3.478062)</f>
        <v>0.54133731947747066</v>
      </c>
    </row>
    <row r="6147" spans="1:4">
      <c r="A6147">
        <v>1.014175</v>
      </c>
      <c r="B6147">
        <v>3.3168090000000001</v>
      </c>
      <c r="C6147">
        <f>LOG10(1.014175)</f>
        <v>6.1129007337765006E-3</v>
      </c>
      <c r="D6147">
        <f>LOG10(3.316809)</f>
        <v>0.52072046318835119</v>
      </c>
    </row>
    <row r="6148" spans="1:4">
      <c r="A6148">
        <v>1.0287189999999999</v>
      </c>
      <c r="B6148">
        <v>3.4752040000000002</v>
      </c>
      <c r="C6148">
        <f>LOG10(1.028719)</f>
        <v>1.2296761142037302E-2</v>
      </c>
      <c r="D6148">
        <f>LOG10(3.475204)</f>
        <v>0.54098030345099379</v>
      </c>
    </row>
    <row r="6149" spans="1:4">
      <c r="A6149">
        <v>1.017903</v>
      </c>
      <c r="B6149">
        <v>3.3680059999999998</v>
      </c>
      <c r="C6149">
        <f>LOG10(1.017903)</f>
        <v>7.706394334841821E-3</v>
      </c>
      <c r="D6149">
        <f>LOG10(3.368006)</f>
        <v>0.52737285651067911</v>
      </c>
    </row>
    <row r="6150" spans="1:4">
      <c r="A6150">
        <v>1.038899</v>
      </c>
      <c r="B6150">
        <v>3.6713849999999999</v>
      </c>
      <c r="C6150">
        <f>LOG10(1.038899)</f>
        <v>1.6573328235923813E-2</v>
      </c>
      <c r="D6150">
        <f>LOG10(3.671385)</f>
        <v>0.56482992920797215</v>
      </c>
    </row>
    <row r="6151" spans="1:4">
      <c r="A6151">
        <v>1.017128</v>
      </c>
      <c r="B6151">
        <v>3.402101</v>
      </c>
      <c r="C6151">
        <f>LOG10(1.017128)</f>
        <v>7.3756099490054844E-3</v>
      </c>
      <c r="D6151">
        <f>LOG10(3.402101)</f>
        <v>0.53174720260152453</v>
      </c>
    </row>
    <row r="6152" spans="1:4">
      <c r="A6152">
        <v>1.0285299999999999</v>
      </c>
      <c r="B6152">
        <v>3.5584470000000001</v>
      </c>
      <c r="C6152">
        <f>LOG10(1.02853)</f>
        <v>1.2216963648092096E-2</v>
      </c>
      <c r="D6152">
        <f>LOG10(3.558447)</f>
        <v>0.55126050176925201</v>
      </c>
    </row>
    <row r="6153" spans="1:4">
      <c r="A6153">
        <v>1.0213460000000001</v>
      </c>
      <c r="B6153">
        <v>3.4335749999999998</v>
      </c>
      <c r="C6153">
        <f>LOG10(1.021346)</f>
        <v>9.1728923662225143E-3</v>
      </c>
      <c r="D6153">
        <f>LOG10(3.433575)</f>
        <v>0.53574653818148443</v>
      </c>
    </row>
    <row r="6154" spans="1:4">
      <c r="A6154">
        <v>1.01454</v>
      </c>
      <c r="B6154">
        <v>3.435559</v>
      </c>
      <c r="C6154">
        <f>LOG10(1.01454)</f>
        <v>6.2691745204888506E-3</v>
      </c>
      <c r="D6154">
        <f>LOG10(3.435559)</f>
        <v>0.53599741122488576</v>
      </c>
    </row>
    <row r="6155" spans="1:4">
      <c r="A6155">
        <v>1.015333</v>
      </c>
      <c r="B6155">
        <v>3.3587910000000001</v>
      </c>
      <c r="C6155">
        <f>LOG10(1.015333)</f>
        <v>6.6085017017161827E-3</v>
      </c>
      <c r="D6155">
        <f>LOG10(3.358791)</f>
        <v>0.52618298080782855</v>
      </c>
    </row>
    <row r="6156" spans="1:4">
      <c r="A6156">
        <v>1.0175620000000001</v>
      </c>
      <c r="B6156">
        <v>3.426847</v>
      </c>
      <c r="C6156">
        <f>LOG10(1.017562)</f>
        <v>7.5608802437476964E-3</v>
      </c>
      <c r="D6156">
        <f>LOG10(3.426847)</f>
        <v>0.53489471471902506</v>
      </c>
    </row>
    <row r="6157" spans="1:4">
      <c r="A6157">
        <v>1.018108</v>
      </c>
      <c r="B6157">
        <v>3.5590229999999998</v>
      </c>
      <c r="C6157">
        <f>LOG10(1.018108)</f>
        <v>7.7938500205832354E-3</v>
      </c>
      <c r="D6157">
        <f>LOG10(3.559023)</f>
        <v>0.55133079461829027</v>
      </c>
    </row>
    <row r="6158" spans="1:4">
      <c r="A6158">
        <v>1.0212490000000001</v>
      </c>
      <c r="B6158">
        <v>3.6386280000000002</v>
      </c>
      <c r="C6158">
        <f>LOG10(1.021249)</f>
        <v>9.1316442825091111E-3</v>
      </c>
      <c r="D6158">
        <f>LOG10(3.638628)</f>
        <v>0.56093765717856503</v>
      </c>
    </row>
    <row r="6159" spans="1:4">
      <c r="A6159">
        <v>1.0122819999999999</v>
      </c>
      <c r="B6159">
        <v>3.9013420000000001</v>
      </c>
      <c r="C6159">
        <f>LOG10(1.012282)</f>
        <v>5.3015144636741748E-3</v>
      </c>
      <c r="D6159">
        <f>LOG10(3.901342)</f>
        <v>0.59121402316553351</v>
      </c>
    </row>
    <row r="6160" spans="1:4">
      <c r="A6160">
        <v>1.0131479999999999</v>
      </c>
      <c r="B6160">
        <v>3.5060440000000002</v>
      </c>
      <c r="C6160">
        <f>LOG10(1.013148)</f>
        <v>5.6728914495453491E-3</v>
      </c>
      <c r="D6160">
        <f>LOG10(3.506044)</f>
        <v>0.54481736208216203</v>
      </c>
    </row>
    <row r="6161" spans="1:4">
      <c r="A6161">
        <v>1.0235080000000001</v>
      </c>
      <c r="B6161">
        <v>3.3807160000000001</v>
      </c>
      <c r="C6161">
        <f>LOG10(1.023508)</f>
        <v>1.0091241568409178E-2</v>
      </c>
      <c r="D6161">
        <f>LOG10(3.380716)</f>
        <v>0.52900868901086151</v>
      </c>
    </row>
    <row r="6162" spans="1:4">
      <c r="A6162">
        <v>1.0247489999999999</v>
      </c>
      <c r="B6162">
        <v>3.3975499999999998</v>
      </c>
      <c r="C6162">
        <f>LOG10(1.024749)</f>
        <v>1.0617503183031826E-2</v>
      </c>
      <c r="D6162">
        <f>LOG10(3.39755)</f>
        <v>0.53116585674060612</v>
      </c>
    </row>
    <row r="6163" spans="1:4">
      <c r="A6163">
        <v>1.028932</v>
      </c>
      <c r="B6163">
        <v>3.4776889999999998</v>
      </c>
      <c r="C6163">
        <f>LOG10(1.028932)</f>
        <v>1.2386674081574487E-2</v>
      </c>
      <c r="D6163">
        <f>LOG10(3.477689)</f>
        <v>0.54129074166239211</v>
      </c>
    </row>
    <row r="6164" spans="1:4">
      <c r="A6164">
        <v>1.0181180000000001</v>
      </c>
      <c r="B6164">
        <v>3.5199199999999999</v>
      </c>
      <c r="C6164">
        <f>LOG10(1.018118)</f>
        <v>7.7981157011305776E-3</v>
      </c>
      <c r="D6164">
        <f>LOG10(3.51992)</f>
        <v>0.54653279303683233</v>
      </c>
    </row>
    <row r="6165" spans="1:4">
      <c r="A6165">
        <v>1.015207</v>
      </c>
      <c r="B6165">
        <v>3.4546329999999998</v>
      </c>
      <c r="C6165">
        <f>LOG10(1.015207)</f>
        <v>6.5546036206243791E-3</v>
      </c>
      <c r="D6165">
        <f>LOG10(3.454633)</f>
        <v>0.53840191725560627</v>
      </c>
    </row>
    <row r="6166" spans="1:4">
      <c r="A6166">
        <v>1.02369</v>
      </c>
      <c r="B6166">
        <v>4.0664550000000004</v>
      </c>
      <c r="C6166">
        <f>LOG10(1.02369)</f>
        <v>1.0168460866117154E-2</v>
      </c>
      <c r="D6166">
        <f>LOG10(4.066455)</f>
        <v>0.60921597069498412</v>
      </c>
    </row>
    <row r="6167" spans="1:4">
      <c r="A6167">
        <v>1.0259</v>
      </c>
      <c r="B6167">
        <v>3.6837580000000001</v>
      </c>
      <c r="C6167">
        <f>LOG10(1.0259)</f>
        <v>1.1105029815980038E-2</v>
      </c>
      <c r="D6167">
        <f>LOG10(3.683758)</f>
        <v>0.5662910920142985</v>
      </c>
    </row>
    <row r="6168" spans="1:4">
      <c r="A6168">
        <v>1.0955520000000001</v>
      </c>
      <c r="B6168">
        <v>3.7054830000000001</v>
      </c>
      <c r="C6168">
        <f>LOG10(1.095552)</f>
        <v>3.9632996024607202E-2</v>
      </c>
      <c r="D6168">
        <f>LOG10(3.705483)</f>
        <v>0.56884482515287893</v>
      </c>
    </row>
    <row r="6169" spans="1:4">
      <c r="A6169">
        <v>1.091415</v>
      </c>
      <c r="B6169">
        <v>3.805984</v>
      </c>
      <c r="C6169">
        <f>LOG10(1.091415)</f>
        <v>3.7989918269247872E-2</v>
      </c>
      <c r="D6169">
        <f>LOG10(3.805984)</f>
        <v>0.58046695822154393</v>
      </c>
    </row>
    <row r="6170" spans="1:4">
      <c r="A6170">
        <v>1.105002</v>
      </c>
      <c r="B6170">
        <v>3.745422</v>
      </c>
      <c r="C6170">
        <f>LOG10(1.105002)</f>
        <v>4.3363064073779066E-2</v>
      </c>
      <c r="D6170">
        <f>LOG10(3.745422)</f>
        <v>0.57350075713461779</v>
      </c>
    </row>
    <row r="6171" spans="1:4">
      <c r="A6171">
        <v>1.1029</v>
      </c>
      <c r="B6171">
        <v>3.6258859999999999</v>
      </c>
      <c r="C6171">
        <f>LOG10(1.1029)</f>
        <v>4.2536136722143472E-2</v>
      </c>
      <c r="D6171">
        <f>LOG10(3.625886)</f>
        <v>0.55941414549880752</v>
      </c>
    </row>
    <row r="6172" spans="1:4">
      <c r="A6172">
        <v>1.119429</v>
      </c>
      <c r="B6172">
        <v>3.6003280000000002</v>
      </c>
      <c r="C6172">
        <f>LOG10(1.119429)</f>
        <v>4.8996553577354163E-2</v>
      </c>
      <c r="D6172">
        <f>LOG10(3.600328)</f>
        <v>0.55634206801760222</v>
      </c>
    </row>
    <row r="6173" spans="1:4">
      <c r="A6173">
        <v>1.1070519999999999</v>
      </c>
      <c r="B6173">
        <v>3.2440739999999999</v>
      </c>
      <c r="C6173">
        <f>LOG10(1.107052)</f>
        <v>4.4168020863062006E-2</v>
      </c>
      <c r="D6173">
        <f>LOG10(3.244074)</f>
        <v>0.51109075226695855</v>
      </c>
    </row>
    <row r="6174" spans="1:4">
      <c r="A6174">
        <v>1.102797</v>
      </c>
      <c r="B6174">
        <v>3.4003329999999998</v>
      </c>
      <c r="C6174">
        <f>LOG10(1.102797)</f>
        <v>4.2495575999915047E-2</v>
      </c>
      <c r="D6174">
        <f>LOG10(3.400333)</f>
        <v>0.53152145027190412</v>
      </c>
    </row>
    <row r="6175" spans="1:4">
      <c r="A6175">
        <v>1.1137319999999999</v>
      </c>
      <c r="B6175">
        <v>3.4106559999999999</v>
      </c>
      <c r="C6175">
        <f>LOG10(1.113732)</f>
        <v>4.6780698087494556E-2</v>
      </c>
      <c r="D6175">
        <f>LOG10(3.410656)</f>
        <v>0.532837918517437</v>
      </c>
    </row>
    <row r="6176" spans="1:4">
      <c r="A6176">
        <v>1.120018</v>
      </c>
      <c r="B6176">
        <v>3.788027</v>
      </c>
      <c r="C6176">
        <f>LOG10(1.120018)</f>
        <v>4.9225002346839929E-2</v>
      </c>
      <c r="D6176">
        <f>LOG10(3.788027)</f>
        <v>0.57841306587221297</v>
      </c>
    </row>
    <row r="6177" spans="1:4">
      <c r="A6177">
        <v>1.1356679999999999</v>
      </c>
      <c r="B6177">
        <v>3.7244440000000001</v>
      </c>
      <c r="C6177">
        <f>LOG10(1.135668)</f>
        <v>5.5251388732837137E-2</v>
      </c>
      <c r="D6177">
        <f>LOG10(3.724444)</f>
        <v>0.57106144869379372</v>
      </c>
    </row>
    <row r="6178" spans="1:4">
      <c r="A6178">
        <v>1.1080049999999999</v>
      </c>
      <c r="B6178">
        <v>3.6815509999999998</v>
      </c>
      <c r="C6178">
        <f>LOG10(1.108005)</f>
        <v>4.4541720200632927E-2</v>
      </c>
      <c r="D6178">
        <f>LOG10(3.681551)</f>
        <v>0.56603082107379954</v>
      </c>
    </row>
    <row r="6179" spans="1:4">
      <c r="A6179">
        <v>1.1066279999999999</v>
      </c>
      <c r="B6179">
        <v>3.532565</v>
      </c>
      <c r="C6179">
        <f>LOG10(1.106628)</f>
        <v>4.4001654574728759E-2</v>
      </c>
      <c r="D6179">
        <f>LOG10(3.532565)</f>
        <v>0.54809016171142733</v>
      </c>
    </row>
    <row r="6180" spans="1:4">
      <c r="A6180">
        <v>1.066147</v>
      </c>
      <c r="B6180">
        <v>3.5540850000000002</v>
      </c>
      <c r="C6180">
        <f>LOG10(1.066147)</f>
        <v>2.7817089200337177E-2</v>
      </c>
      <c r="D6180">
        <f>LOG10(3.554085)</f>
        <v>0.55072781024179984</v>
      </c>
    </row>
    <row r="6181" spans="1:4">
      <c r="A6181">
        <v>1.0662450000000001</v>
      </c>
      <c r="B6181">
        <v>3.878352</v>
      </c>
      <c r="C6181">
        <f>LOG10(1.066245)</f>
        <v>2.7857007619892821E-2</v>
      </c>
      <c r="D6181">
        <f>LOG10(3.878352)</f>
        <v>0.58864722318520568</v>
      </c>
    </row>
    <row r="6182" spans="1:4">
      <c r="A6182">
        <v>1.100066</v>
      </c>
      <c r="B6182">
        <v>4.0051560000000004</v>
      </c>
      <c r="C6182">
        <f>LOG10(1.100066)</f>
        <v>4.1418742045440431E-2</v>
      </c>
      <c r="D6182">
        <f>LOG10(4.005156)</f>
        <v>0.60261943643017823</v>
      </c>
    </row>
    <row r="6183" spans="1:4">
      <c r="A6183">
        <v>1.1069230000000001</v>
      </c>
      <c r="B6183">
        <v>3.9521220000000001</v>
      </c>
      <c r="C6183">
        <f>LOG10(1.106923)</f>
        <v>4.4117411449469852E-2</v>
      </c>
      <c r="D6183">
        <f>LOG10(3.952122)</f>
        <v>0.59683034257272372</v>
      </c>
    </row>
    <row r="6184" spans="1:4">
      <c r="A6184">
        <v>1.0971660000000001</v>
      </c>
      <c r="B6184">
        <v>4.5551640000000004</v>
      </c>
      <c r="C6184">
        <f>LOG10(1.097166)</f>
        <v>4.0272340819865346E-2</v>
      </c>
      <c r="D6184">
        <f>LOG10(4.555164)</f>
        <v>0.65850401753577215</v>
      </c>
    </row>
    <row r="6185" spans="1:4">
      <c r="A6185">
        <v>1.1026069999999999</v>
      </c>
      <c r="B6185">
        <v>3.5025879999999998</v>
      </c>
      <c r="C6185">
        <f>LOG10(1.102607)</f>
        <v>4.2420745309696091E-2</v>
      </c>
      <c r="D6185">
        <f>LOG10(3.502588)</f>
        <v>0.54438905543084704</v>
      </c>
    </row>
    <row r="6186" spans="1:4">
      <c r="A6186">
        <v>1.0909990000000001</v>
      </c>
      <c r="B6186">
        <v>3.7880449999999999</v>
      </c>
      <c r="C6186">
        <f>LOG10(1.090999)</f>
        <v>3.7824352518056895E-2</v>
      </c>
      <c r="D6186">
        <f>LOG10(3.788045)</f>
        <v>0.57841512955393992</v>
      </c>
    </row>
    <row r="6187" spans="1:4">
      <c r="A6187">
        <v>1.1297410000000001</v>
      </c>
      <c r="B6187">
        <v>4.0569430000000004</v>
      </c>
      <c r="C6187">
        <f>LOG10(1.129741)</f>
        <v>5.2978890241428329E-2</v>
      </c>
      <c r="D6187">
        <f>LOG10(4.056943)</f>
        <v>0.60819890591498194</v>
      </c>
    </row>
    <row r="6188" spans="1:4">
      <c r="A6188">
        <v>1.0982050000000001</v>
      </c>
      <c r="B6188">
        <v>3.7583489999999999</v>
      </c>
      <c r="C6188">
        <f>LOG10(1.098205)</f>
        <v>4.0683416670267793E-2</v>
      </c>
      <c r="D6188">
        <f>LOG10(3.758349)</f>
        <v>0.5749971061893695</v>
      </c>
    </row>
    <row r="6189" spans="1:4">
      <c r="A6189">
        <v>1.123909</v>
      </c>
      <c r="B6189">
        <v>3.878698</v>
      </c>
      <c r="C6189">
        <f>LOG10(1.123909)</f>
        <v>5.0731148957456604E-2</v>
      </c>
      <c r="D6189">
        <f>LOG10(3.878698)</f>
        <v>0.58868596623593705</v>
      </c>
    </row>
    <row r="6190" spans="1:4">
      <c r="A6190">
        <v>1.094004</v>
      </c>
      <c r="B6190">
        <v>3.9363239999999999</v>
      </c>
      <c r="C6190">
        <f>LOG10(1.094004)</f>
        <v>3.9018909908519632E-2</v>
      </c>
      <c r="D6190">
        <f>LOG10(3.936324)</f>
        <v>0.59509083813861763</v>
      </c>
    </row>
    <row r="6191" spans="1:4">
      <c r="A6191">
        <v>1.0974699999999999</v>
      </c>
      <c r="B6191">
        <v>3.6086239999999998</v>
      </c>
      <c r="C6191">
        <f>LOG10(1.09747)</f>
        <v>4.0392657376545314E-2</v>
      </c>
      <c r="D6191">
        <f>LOG10(3.608624)</f>
        <v>0.55734163317279783</v>
      </c>
    </row>
    <row r="6192" spans="1:4">
      <c r="A6192">
        <v>1.093688</v>
      </c>
      <c r="B6192">
        <v>3.6755330000000002</v>
      </c>
      <c r="C6192">
        <f>LOG10(1.093688)</f>
        <v>3.8893447039673498E-2</v>
      </c>
      <c r="D6192">
        <f>LOG10(3.675533)</f>
        <v>0.56532032632478957</v>
      </c>
    </row>
    <row r="6193" spans="1:4">
      <c r="A6193">
        <v>1.111988</v>
      </c>
      <c r="B6193">
        <v>3.6016149999999998</v>
      </c>
      <c r="C6193">
        <f>LOG10(1.111988)</f>
        <v>4.6100100589651222E-2</v>
      </c>
      <c r="D6193">
        <f>LOG10(3.601615)</f>
        <v>0.55649728640912766</v>
      </c>
    </row>
    <row r="6194" spans="1:4">
      <c r="A6194">
        <v>1.0994299999999999</v>
      </c>
      <c r="B6194">
        <v>4.0942980000000002</v>
      </c>
      <c r="C6194">
        <f>LOG10(1.09943)</f>
        <v>4.1167583327089786E-2</v>
      </c>
      <c r="D6194">
        <f>LOG10(4.094298)</f>
        <v>0.61217944923162593</v>
      </c>
    </row>
    <row r="6195" spans="1:4">
      <c r="A6195">
        <v>1.1149960000000001</v>
      </c>
      <c r="B6195">
        <v>3.821558</v>
      </c>
      <c r="C6195">
        <f>LOG10(1.114996)</f>
        <v>4.7273309374274909E-2</v>
      </c>
      <c r="D6195">
        <f>LOG10(3.821558)</f>
        <v>0.58224045528270973</v>
      </c>
    </row>
    <row r="6196" spans="1:4">
      <c r="A6196">
        <v>1.1236699999999999</v>
      </c>
      <c r="B6196">
        <v>3.56115</v>
      </c>
      <c r="C6196">
        <f>LOG10(1.12367)</f>
        <v>5.0638786124767611E-2</v>
      </c>
      <c r="D6196">
        <f>LOG10(3.56115)</f>
        <v>0.5515902670750652</v>
      </c>
    </row>
    <row r="6197" spans="1:4">
      <c r="A6197">
        <v>1.0942179999999999</v>
      </c>
      <c r="B6197">
        <v>3.7999800000000001</v>
      </c>
      <c r="C6197">
        <f>LOG10(1.094218)</f>
        <v>3.9103854689646556E-2</v>
      </c>
      <c r="D6197">
        <f>LOG10(3.79998)</f>
        <v>0.57978131085036388</v>
      </c>
    </row>
    <row r="6198" spans="1:4">
      <c r="A6198">
        <v>1.078616</v>
      </c>
      <c r="B6198">
        <v>3.6900849999999998</v>
      </c>
      <c r="C6198">
        <f>LOG10(1.078616)</f>
        <v>3.2866858247871597E-2</v>
      </c>
      <c r="D6198">
        <f>LOG10(3.690085)</f>
        <v>0.56703637011727037</v>
      </c>
    </row>
    <row r="6199" spans="1:4">
      <c r="A6199">
        <v>1.107156</v>
      </c>
      <c r="B6199">
        <v>3.8515450000000002</v>
      </c>
      <c r="C6199">
        <f>LOG10(1.107156)</f>
        <v>4.4208817957238522E-2</v>
      </c>
      <c r="D6199">
        <f>LOG10(3.851545)</f>
        <v>0.58563497635989004</v>
      </c>
    </row>
    <row r="6200" spans="1:4">
      <c r="A6200">
        <v>1.1045229999999999</v>
      </c>
      <c r="B6200">
        <v>3.8399160000000001</v>
      </c>
      <c r="C6200">
        <f>LOG10(1.104523)</f>
        <v>4.3174763819117445E-2</v>
      </c>
      <c r="D6200">
        <f>LOG10(3.839916)</f>
        <v>0.58432172407182936</v>
      </c>
    </row>
    <row r="6201" spans="1:4">
      <c r="A6201">
        <v>1.058848</v>
      </c>
      <c r="B6201">
        <v>3.7047810000000001</v>
      </c>
      <c r="C6201">
        <f>LOG10(1.058848)</f>
        <v>2.4833620637076708E-2</v>
      </c>
      <c r="D6201">
        <f>LOG10(3.704781)</f>
        <v>0.5687625407087058</v>
      </c>
    </row>
    <row r="6202" spans="1:4">
      <c r="A6202">
        <v>1.0885959999999999</v>
      </c>
      <c r="B6202">
        <v>3.9352779999999998</v>
      </c>
      <c r="C6202">
        <f>LOG10(1.088596)</f>
        <v>3.6866734187265465E-2</v>
      </c>
      <c r="D6202">
        <f>LOG10(3.935278)</f>
        <v>0.59497541766112272</v>
      </c>
    </row>
    <row r="6203" spans="1:4">
      <c r="A6203">
        <v>1.0947739999999999</v>
      </c>
      <c r="B6203">
        <v>3.443975</v>
      </c>
      <c r="C6203">
        <f>LOG10(1.094774)</f>
        <v>3.9324474716700995E-2</v>
      </c>
      <c r="D6203">
        <f>LOG10(3.443975)</f>
        <v>0.53705999022602635</v>
      </c>
    </row>
    <row r="6204" spans="1:4">
      <c r="A6204">
        <v>1.0902480000000001</v>
      </c>
      <c r="B6204">
        <v>3.4854129999999999</v>
      </c>
      <c r="C6204">
        <f>LOG10(1.090248)</f>
        <v>3.752529865685094E-2</v>
      </c>
      <c r="D6204">
        <f>LOG10(3.485413)</f>
        <v>0.54225424670773359</v>
      </c>
    </row>
    <row r="6205" spans="1:4">
      <c r="A6205">
        <v>1.096233</v>
      </c>
      <c r="B6205">
        <v>3.8938079999999999</v>
      </c>
      <c r="C6205">
        <f>LOG10(1.096233)</f>
        <v>3.9902871538577113E-2</v>
      </c>
      <c r="D6205">
        <f>LOG10(3.893808)</f>
        <v>0.59037453306066967</v>
      </c>
    </row>
    <row r="6206" spans="1:4">
      <c r="A6206">
        <v>1.0822799999999999</v>
      </c>
      <c r="B6206">
        <v>3.517366</v>
      </c>
      <c r="C6206">
        <f>LOG10(1.08228)</f>
        <v>3.4339632973418382E-2</v>
      </c>
      <c r="D6206">
        <f>LOG10(3.517366)</f>
        <v>0.54621756123994947</v>
      </c>
    </row>
    <row r="6207" spans="1:4">
      <c r="A6207">
        <v>1.0729109999999999</v>
      </c>
      <c r="B6207">
        <v>3.659154</v>
      </c>
      <c r="C6207">
        <f>LOG10(1.072911)</f>
        <v>3.0563697910049814E-2</v>
      </c>
      <c r="D6207">
        <f>LOG10(3.659154)</f>
        <v>0.56338068768906757</v>
      </c>
    </row>
    <row r="6208" spans="1:4">
      <c r="A6208">
        <v>1.0968059999999999</v>
      </c>
      <c r="B6208">
        <v>3.3965960000000002</v>
      </c>
      <c r="C6208">
        <f>LOG10(1.096806)</f>
        <v>4.0129817565340321E-2</v>
      </c>
      <c r="D6208">
        <f>LOG10(3.396596)</f>
        <v>0.53104389382180561</v>
      </c>
    </row>
    <row r="6209" spans="1:4">
      <c r="A6209">
        <v>1.1169519999999999</v>
      </c>
      <c r="B6209">
        <v>3.390498</v>
      </c>
      <c r="C6209">
        <f>LOG10(1.116952)</f>
        <v>4.8034510104824055E-2</v>
      </c>
      <c r="D6209">
        <f>LOG10(3.390498)</f>
        <v>0.53026349252980465</v>
      </c>
    </row>
    <row r="6210" spans="1:4">
      <c r="A6210">
        <v>1.0914159999999999</v>
      </c>
      <c r="B6210">
        <v>3.2410929999999998</v>
      </c>
      <c r="C6210">
        <f>LOG10(1.091416)</f>
        <v>3.7990316187805802E-2</v>
      </c>
      <c r="D6210">
        <f>LOG10(3.241093)</f>
        <v>0.51069149286724369</v>
      </c>
    </row>
    <row r="6211" spans="1:4">
      <c r="A6211">
        <v>1.0961369999999999</v>
      </c>
      <c r="B6211">
        <v>3.2177090000000002</v>
      </c>
      <c r="C6211">
        <f>LOG10(1.096137)</f>
        <v>3.9864837565945305E-2</v>
      </c>
      <c r="D6211">
        <f>LOG10(3.217709)</f>
        <v>0.5075467652419533</v>
      </c>
    </row>
    <row r="6212" spans="1:4">
      <c r="A6212">
        <v>1.099675</v>
      </c>
      <c r="B6212">
        <v>3.204698</v>
      </c>
      <c r="C6212">
        <f>LOG10(1.099675)</f>
        <v>4.126435192022794E-2</v>
      </c>
      <c r="D6212">
        <f>LOG10(3.204698)</f>
        <v>0.5057871093265256</v>
      </c>
    </row>
    <row r="6213" spans="1:4">
      <c r="A6213">
        <v>1.1854</v>
      </c>
      <c r="B6213">
        <v>3.245336</v>
      </c>
      <c r="C6213">
        <f>LOG10(1.1854)</f>
        <v>7.3864922902999341E-2</v>
      </c>
      <c r="D6213">
        <f>LOG10(3.245336)</f>
        <v>0.51125966735879924</v>
      </c>
    </row>
    <row r="6214" spans="1:4">
      <c r="A6214">
        <v>1.138161</v>
      </c>
      <c r="B6214">
        <v>3.1373340000000001</v>
      </c>
      <c r="C6214">
        <f>LOG10(1.138161)</f>
        <v>5.620370007833398E-2</v>
      </c>
      <c r="D6214">
        <f>LOG10(3.137334)</f>
        <v>0.49656075606958172</v>
      </c>
    </row>
    <row r="6215" spans="1:4">
      <c r="A6215">
        <v>1.0706249999999999</v>
      </c>
      <c r="B6215">
        <v>3.0371649999999999</v>
      </c>
      <c r="C6215">
        <f>LOG10(1.070625)</f>
        <v>2.9637380309585681E-2</v>
      </c>
      <c r="D6215">
        <f>LOG10(3.037165)</f>
        <v>0.48246838646649748</v>
      </c>
    </row>
    <row r="6216" spans="1:4">
      <c r="A6216">
        <v>1.07148</v>
      </c>
      <c r="B6216">
        <v>3.0293670000000001</v>
      </c>
      <c r="C6216">
        <f>LOG10(1.07148)</f>
        <v>2.9984069012283333E-2</v>
      </c>
      <c r="D6216">
        <f>LOG10(3.029367)</f>
        <v>0.48135189017665325</v>
      </c>
    </row>
    <row r="6217" spans="1:4">
      <c r="A6217">
        <v>1.069015</v>
      </c>
      <c r="B6217">
        <v>3.2110660000000002</v>
      </c>
      <c r="C6217">
        <f>LOG10(1.069015)</f>
        <v>2.8983799101691469E-2</v>
      </c>
      <c r="D6217">
        <f>LOG10(3.211066)</f>
        <v>0.50664923211313306</v>
      </c>
    </row>
    <row r="6218" spans="1:4">
      <c r="A6218">
        <v>1.041606</v>
      </c>
      <c r="B6218">
        <v>3.276815</v>
      </c>
      <c r="C6218">
        <f>LOG10(1.041606)</f>
        <v>1.7703472913235749E-2</v>
      </c>
      <c r="D6218">
        <f>LOG10(3.276815)</f>
        <v>0.51545192299753484</v>
      </c>
    </row>
    <row r="6219" spans="1:4">
      <c r="A6219">
        <v>1.063315</v>
      </c>
      <c r="B6219">
        <v>3.2322929999999999</v>
      </c>
      <c r="C6219">
        <f>LOG10(1.063315)</f>
        <v>2.6661940437072758E-2</v>
      </c>
      <c r="D6219">
        <f>LOG10(3.232293)</f>
        <v>0.50951072169278366</v>
      </c>
    </row>
    <row r="6220" spans="1:4">
      <c r="A6220">
        <v>1.0698559999999999</v>
      </c>
      <c r="B6220">
        <v>3.1714479999999998</v>
      </c>
      <c r="C6220">
        <f>LOG10(1.069856)</f>
        <v>2.9325326644122292E-2</v>
      </c>
      <c r="D6220">
        <f>LOG10(3.171448)</f>
        <v>0.50125759497100442</v>
      </c>
    </row>
    <row r="6221" spans="1:4">
      <c r="A6221">
        <v>1.069097</v>
      </c>
      <c r="B6221">
        <v>3.2378960000000001</v>
      </c>
      <c r="C6221">
        <f>LOG10(1.069097)</f>
        <v>2.9017110871639433E-2</v>
      </c>
      <c r="D6221">
        <f>LOG10(3.237896)</f>
        <v>0.51026289526618829</v>
      </c>
    </row>
    <row r="6222" spans="1:4">
      <c r="A6222">
        <v>1.0583910000000001</v>
      </c>
      <c r="B6222">
        <v>3.227557</v>
      </c>
      <c r="C6222">
        <f>LOG10(1.058391)</f>
        <v>2.4646138183454763E-2</v>
      </c>
      <c r="D6222">
        <f>LOG10(3.227557)</f>
        <v>0.50887392082749816</v>
      </c>
    </row>
    <row r="6223" spans="1:4">
      <c r="A6223">
        <v>1.0535600000000001</v>
      </c>
      <c r="B6223">
        <v>3.517776</v>
      </c>
      <c r="C6223">
        <f>LOG10(1.05356)</f>
        <v>2.2659273619402336E-2</v>
      </c>
      <c r="D6223">
        <f>LOG10(3.517776)</f>
        <v>0.54626818160774926</v>
      </c>
    </row>
    <row r="6224" spans="1:4">
      <c r="A6224">
        <v>1.0340830000000001</v>
      </c>
      <c r="B6224">
        <v>3.3783500000000002</v>
      </c>
      <c r="C6224">
        <f>LOG10(1.034083)</f>
        <v>1.4555398521305886E-2</v>
      </c>
      <c r="D6224">
        <f>LOG10(3.37835)</f>
        <v>0.52870464085209146</v>
      </c>
    </row>
    <row r="6225" spans="1:4">
      <c r="A6225">
        <v>1.0625869999999999</v>
      </c>
      <c r="B6225">
        <v>3.3847360000000002</v>
      </c>
      <c r="C6225">
        <f>LOG10(1.062587)</f>
        <v>2.6364498320564814E-2</v>
      </c>
      <c r="D6225">
        <f>LOG10(3.384736)</f>
        <v>0.52952480057967333</v>
      </c>
    </row>
    <row r="6226" spans="1:4">
      <c r="A6226">
        <v>1.0520419999999999</v>
      </c>
      <c r="B6226">
        <v>3.3334410000000001</v>
      </c>
      <c r="C6226">
        <f>LOG10(1.052042)</f>
        <v>2.2033078224693432E-2</v>
      </c>
      <c r="D6226">
        <f>LOG10(3.333441)</f>
        <v>0.52289277276556034</v>
      </c>
    </row>
    <row r="6227" spans="1:4">
      <c r="A6227">
        <v>1.051828</v>
      </c>
      <c r="B6227">
        <v>3.2607970000000002</v>
      </c>
      <c r="C6227">
        <f>LOG10(1.051828)</f>
        <v>2.194472769025186E-2</v>
      </c>
      <c r="D6227">
        <f>LOG10(3.260797)</f>
        <v>0.51332376276670133</v>
      </c>
    </row>
    <row r="6228" spans="1:4">
      <c r="A6228">
        <v>1.0428649999999999</v>
      </c>
      <c r="B6228">
        <v>3.3527710000000002</v>
      </c>
      <c r="C6228">
        <f>LOG10(1.042865)</f>
        <v>1.8228092175585738E-2</v>
      </c>
      <c r="D6228">
        <f>LOG10(3.352771)</f>
        <v>0.5254038913850686</v>
      </c>
    </row>
    <row r="6229" spans="1:4">
      <c r="A6229">
        <v>1.079825</v>
      </c>
      <c r="B6229">
        <v>3.3684379999999998</v>
      </c>
      <c r="C6229">
        <f>LOG10(1.079825)</f>
        <v>3.3353377993866354E-2</v>
      </c>
      <c r="D6229">
        <f>LOG10(3.368438)</f>
        <v>0.52742855806967348</v>
      </c>
    </row>
    <row r="6230" spans="1:4">
      <c r="A6230">
        <v>1.06159</v>
      </c>
      <c r="B6230">
        <v>3.3969930000000002</v>
      </c>
      <c r="C6230">
        <f>LOG10(1.06159)</f>
        <v>2.595681889436529E-2</v>
      </c>
      <c r="D6230">
        <f>LOG10(3.396993)</f>
        <v>0.53109465194376793</v>
      </c>
    </row>
    <row r="6231" spans="1:4">
      <c r="A6231">
        <v>1.049906</v>
      </c>
      <c r="B6231">
        <v>3.3435329999999999</v>
      </c>
      <c r="C6231">
        <f>LOG10(1.049906)</f>
        <v>2.1150417633029783E-2</v>
      </c>
      <c r="D6231">
        <f>LOG10(3.343533)</f>
        <v>0.52420561395648935</v>
      </c>
    </row>
    <row r="6232" spans="1:4">
      <c r="A6232">
        <v>1.0687</v>
      </c>
      <c r="B6232">
        <v>3.3203990000000001</v>
      </c>
      <c r="C6232">
        <f>LOG10(1.0687)</f>
        <v>2.8855809390444003E-2</v>
      </c>
      <c r="D6232">
        <f>LOG10(3.320399)</f>
        <v>0.5211902743927247</v>
      </c>
    </row>
    <row r="6233" spans="1:4">
      <c r="A6233">
        <v>1.0757270000000001</v>
      </c>
      <c r="B6233">
        <v>3.3246699999999998</v>
      </c>
      <c r="C6233">
        <f>LOG10(1.075727)</f>
        <v>3.1702069251579035E-2</v>
      </c>
      <c r="D6233">
        <f>LOG10(3.32467)</f>
        <v>0.52174854458905451</v>
      </c>
    </row>
    <row r="6234" spans="1:4">
      <c r="A6234">
        <v>1.057512</v>
      </c>
      <c r="B6234">
        <v>3.2535020000000001</v>
      </c>
      <c r="C6234">
        <f>LOG10(1.057512)</f>
        <v>2.4285304183452601E-2</v>
      </c>
      <c r="D6234">
        <f>LOG10(3.253502)</f>
        <v>0.51235107804042834</v>
      </c>
    </row>
    <row r="6235" spans="1:4">
      <c r="A6235">
        <v>1.03888</v>
      </c>
      <c r="B6235">
        <v>3.3434710000000001</v>
      </c>
      <c r="C6235">
        <f>LOG10(1.03888)</f>
        <v>1.6565385528680754E-2</v>
      </c>
      <c r="D6235">
        <f>LOG10(3.343471)</f>
        <v>0.52419756064655298</v>
      </c>
    </row>
    <row r="6236" spans="1:4">
      <c r="A6236">
        <v>1.0433829999999999</v>
      </c>
      <c r="B6236">
        <v>3.3766419999999999</v>
      </c>
      <c r="C6236">
        <f>LOG10(1.043383)</f>
        <v>1.8443756417084213E-2</v>
      </c>
      <c r="D6236">
        <f>LOG10(3.376642)</f>
        <v>0.52848501809283466</v>
      </c>
    </row>
    <row r="6237" spans="1:4">
      <c r="A6237">
        <v>1.04379</v>
      </c>
      <c r="B6237">
        <v>3.3122449999999999</v>
      </c>
      <c r="C6237">
        <f>LOG10(1.04379)</f>
        <v>1.8613131793610321E-2</v>
      </c>
      <c r="D6237">
        <f>LOG10(3.312245)</f>
        <v>0.52012245317709205</v>
      </c>
    </row>
    <row r="6238" spans="1:4">
      <c r="A6238">
        <v>1.0507500000000001</v>
      </c>
      <c r="B6238">
        <v>3.2371150000000002</v>
      </c>
      <c r="C6238">
        <f>LOG10(1.05075)</f>
        <v>2.1499398677474676E-2</v>
      </c>
      <c r="D6238">
        <f>LOG10(3.237115)</f>
        <v>0.51015812818795125</v>
      </c>
    </row>
    <row r="6239" spans="1:4">
      <c r="A6239">
        <v>1.047515</v>
      </c>
      <c r="B6239">
        <v>3.1368740000000002</v>
      </c>
      <c r="C6239">
        <f>LOG10(1.047515)</f>
        <v>2.0160250607866453E-2</v>
      </c>
      <c r="D6239">
        <f>LOG10(3.136874)</f>
        <v>0.49649707457797881</v>
      </c>
    </row>
    <row r="6240" spans="1:4">
      <c r="A6240">
        <v>1.0612239999999999</v>
      </c>
      <c r="B6240">
        <v>3.251528</v>
      </c>
      <c r="C6240">
        <f>LOG10(1.061224)</f>
        <v>2.5807063162632187E-2</v>
      </c>
      <c r="D6240">
        <f>LOG10(3.251528)</f>
        <v>0.51208749821571042</v>
      </c>
    </row>
    <row r="6241" spans="1:4">
      <c r="A6241">
        <v>1.064233</v>
      </c>
      <c r="B6241">
        <v>3.1640450000000002</v>
      </c>
      <c r="C6241">
        <f>LOG10(1.064233)</f>
        <v>2.7036721508173423E-2</v>
      </c>
      <c r="D6241">
        <f>LOG10(3.164045)</f>
        <v>0.50024265153635639</v>
      </c>
    </row>
    <row r="6242" spans="1:4">
      <c r="A6242">
        <v>1.066656</v>
      </c>
      <c r="B6242">
        <v>3.2751600000000001</v>
      </c>
      <c r="C6242">
        <f>LOG10(1.066656)</f>
        <v>2.8024380633709656E-2</v>
      </c>
      <c r="D6242">
        <f>LOG10(3.27516)</f>
        <v>0.5152325212498674</v>
      </c>
    </row>
    <row r="6243" spans="1:4">
      <c r="A6243">
        <v>1.0462089999999999</v>
      </c>
      <c r="B6243">
        <v>3.261056</v>
      </c>
      <c r="C6243">
        <f>LOG10(1.046209)</f>
        <v>1.9618451720403055E-2</v>
      </c>
      <c r="D6243">
        <f>LOG10(3.261056)</f>
        <v>0.51335825672750413</v>
      </c>
    </row>
    <row r="6244" spans="1:4">
      <c r="A6244">
        <v>1.0536890000000001</v>
      </c>
      <c r="B6244">
        <v>3.275992</v>
      </c>
      <c r="C6244">
        <f>LOG10(1.053689)</f>
        <v>2.271244625181125E-2</v>
      </c>
      <c r="D6244">
        <f>LOG10(3.275992)</f>
        <v>0.51534283253890056</v>
      </c>
    </row>
    <row r="6245" spans="1:4">
      <c r="A6245">
        <v>1.0631250000000001</v>
      </c>
      <c r="B6245">
        <v>3.2391920000000001</v>
      </c>
      <c r="C6245">
        <f>LOG10(1.063125)</f>
        <v>2.6584330956644277E-2</v>
      </c>
      <c r="D6245">
        <f>LOG10(3.239192)</f>
        <v>0.51043669116213963</v>
      </c>
    </row>
    <row r="6246" spans="1:4">
      <c r="A6246">
        <v>1.0861700000000001</v>
      </c>
      <c r="B6246">
        <v>3.237228</v>
      </c>
      <c r="C6246">
        <f>LOG10(1.08617)</f>
        <v>3.5897803414826811E-2</v>
      </c>
      <c r="D6246">
        <f>LOG10(3.237228)</f>
        <v>0.51017328811273743</v>
      </c>
    </row>
    <row r="6247" spans="1:4">
      <c r="A6247">
        <v>1.0716410000000001</v>
      </c>
      <c r="B6247">
        <v>3.3501370000000001</v>
      </c>
      <c r="C6247">
        <f>LOG10(1.071641)</f>
        <v>3.0049320961863402E-2</v>
      </c>
      <c r="D6247">
        <f>LOG10(3.350137)</f>
        <v>0.52506256737339629</v>
      </c>
    </row>
    <row r="6248" spans="1:4">
      <c r="A6248">
        <v>1.0597529999999999</v>
      </c>
      <c r="B6248">
        <v>3.3568690000000001</v>
      </c>
      <c r="C6248">
        <f>LOG10(1.059753)</f>
        <v>2.5204654663803411E-2</v>
      </c>
      <c r="D6248">
        <f>LOG10(3.356869)</f>
        <v>0.52593439347106408</v>
      </c>
    </row>
    <row r="6249" spans="1:4">
      <c r="A6249">
        <v>1.0468420000000001</v>
      </c>
      <c r="B6249">
        <v>3.4156119999999999</v>
      </c>
      <c r="C6249">
        <f>LOG10(1.046842)</f>
        <v>1.9881138501973275E-2</v>
      </c>
      <c r="D6249">
        <f>LOG10(3.415612)</f>
        <v>0.53346853068516475</v>
      </c>
    </row>
    <row r="6250" spans="1:4">
      <c r="A6250">
        <v>1.0570740000000001</v>
      </c>
      <c r="B6250">
        <v>3.4842010000000001</v>
      </c>
      <c r="C6250">
        <f>LOG10(1.057074)</f>
        <v>2.4105390965646366E-2</v>
      </c>
      <c r="D6250">
        <f>LOG10(3.484201)</f>
        <v>0.54210320106377907</v>
      </c>
    </row>
    <row r="6251" spans="1:4">
      <c r="A6251">
        <v>1.0602819999999999</v>
      </c>
      <c r="B6251">
        <v>3.3038630000000002</v>
      </c>
      <c r="C6251">
        <f>LOG10(1.060282)</f>
        <v>2.5421388619322926E-2</v>
      </c>
      <c r="D6251">
        <f>LOG10(3.303863)</f>
        <v>0.51902203030161309</v>
      </c>
    </row>
    <row r="6252" spans="1:4">
      <c r="A6252">
        <v>1.0337750000000001</v>
      </c>
      <c r="B6252">
        <v>3.272418</v>
      </c>
      <c r="C6252">
        <f>LOG10(1.033775)</f>
        <v>1.4426025323131381E-2</v>
      </c>
      <c r="D6252">
        <f>LOG10(3.272418)</f>
        <v>0.51486877284122101</v>
      </c>
    </row>
    <row r="6253" spans="1:4">
      <c r="A6253">
        <v>1.041123</v>
      </c>
      <c r="B6253">
        <v>3.340014</v>
      </c>
      <c r="C6253">
        <f>LOG10(1.041123)</f>
        <v>1.7502040812833138E-2</v>
      </c>
      <c r="D6253">
        <f>LOG10(3.340014)</f>
        <v>0.52374828720378119</v>
      </c>
    </row>
    <row r="6254" spans="1:4">
      <c r="A6254">
        <v>1.048017</v>
      </c>
      <c r="B6254">
        <v>3.4540459999999999</v>
      </c>
      <c r="C6254">
        <f>LOG10(1.048017)</f>
        <v>2.0368327443806834E-2</v>
      </c>
      <c r="D6254">
        <f>LOG10(3.454046)</f>
        <v>0.53832811708006167</v>
      </c>
    </row>
    <row r="6255" spans="1:4">
      <c r="A6255">
        <v>1.059086</v>
      </c>
      <c r="B6255">
        <v>3.4331649999999998</v>
      </c>
      <c r="C6255">
        <f>LOG10(1.059086)</f>
        <v>2.4931227160347059E-2</v>
      </c>
      <c r="D6255">
        <f>LOG10(3.433165)</f>
        <v>0.53569467638453505</v>
      </c>
    </row>
    <row r="6256" spans="1:4">
      <c r="A6256">
        <v>1.053652</v>
      </c>
      <c r="B6256">
        <v>3.3736169999999999</v>
      </c>
      <c r="C6256">
        <f>LOG10(1.053652)</f>
        <v>2.2697195852533582E-2</v>
      </c>
      <c r="D6256">
        <f>LOG10(3.373617)</f>
        <v>0.5280957764664912</v>
      </c>
    </row>
    <row r="6257" spans="1:4">
      <c r="A6257">
        <v>1.0513250000000001</v>
      </c>
      <c r="B6257">
        <v>3.3726880000000001</v>
      </c>
      <c r="C6257">
        <f>LOG10(1.051325)</f>
        <v>2.1736991849290788E-2</v>
      </c>
      <c r="D6257">
        <f>LOG10(3.372688)</f>
        <v>0.52797616741346487</v>
      </c>
    </row>
    <row r="6258" spans="1:4">
      <c r="A6258">
        <v>1.0325139999999999</v>
      </c>
      <c r="B6258">
        <v>3.2689900000000001</v>
      </c>
      <c r="C6258">
        <f>LOG10(1.032514)</f>
        <v>1.3895949027252982E-2</v>
      </c>
      <c r="D6258">
        <f>LOG10(3.26899)</f>
        <v>0.51441359205437887</v>
      </c>
    </row>
    <row r="6259" spans="1:4">
      <c r="A6259">
        <v>1.0437419999999999</v>
      </c>
      <c r="B6259">
        <v>3.2812749999999999</v>
      </c>
      <c r="C6259">
        <f>LOG10(1.043742)</f>
        <v>1.8593159754728954E-2</v>
      </c>
      <c r="D6259">
        <f>LOG10(3.281275)</f>
        <v>0.51604262964776504</v>
      </c>
    </row>
    <row r="6260" spans="1:4">
      <c r="A6260">
        <v>1.065507</v>
      </c>
      <c r="B6260">
        <v>3.2560579999999999</v>
      </c>
      <c r="C6260">
        <f>LOG10(1.065507)</f>
        <v>2.7556307219049718E-2</v>
      </c>
      <c r="D6260">
        <f>LOG10(3.256058)</f>
        <v>0.51269213235217681</v>
      </c>
    </row>
    <row r="6261" spans="1:4">
      <c r="A6261">
        <v>1.0567409999999999</v>
      </c>
      <c r="B6261">
        <v>3.279344</v>
      </c>
      <c r="C6261">
        <f>LOG10(1.056741)</f>
        <v>2.3968557738831147E-2</v>
      </c>
      <c r="D6261">
        <f>LOG10(3.279344)</f>
        <v>0.51578697612825053</v>
      </c>
    </row>
    <row r="6262" spans="1:4">
      <c r="A6262">
        <v>1.0577080000000001</v>
      </c>
      <c r="B6262">
        <v>3.179932</v>
      </c>
      <c r="C6262">
        <f>LOG10(1.057708)</f>
        <v>2.4365789162506032E-2</v>
      </c>
      <c r="D6262">
        <f>LOG10(3.179932)</f>
        <v>0.50241783308489651</v>
      </c>
    </row>
    <row r="6263" spans="1:4">
      <c r="A6263">
        <v>1.0589090000000001</v>
      </c>
      <c r="B6263">
        <v>3.187586</v>
      </c>
      <c r="C6263">
        <f>LOG10(1.058909)</f>
        <v>2.4858639525838225E-2</v>
      </c>
      <c r="D6263">
        <f>LOG10(3.187586)</f>
        <v>0.50346191071937729</v>
      </c>
    </row>
    <row r="6264" spans="1:4">
      <c r="A6264">
        <v>1.0717380000000001</v>
      </c>
      <c r="B6264">
        <v>3.0644</v>
      </c>
      <c r="C6264">
        <f>LOG10(1.071738)</f>
        <v>3.0088629516041996E-2</v>
      </c>
      <c r="D6264">
        <f>LOG10(3.0644)</f>
        <v>0.48634545366763765</v>
      </c>
    </row>
    <row r="6265" spans="1:4">
      <c r="A6265">
        <v>1.0572090000000001</v>
      </c>
      <c r="B6265">
        <v>3.0287660000000001</v>
      </c>
      <c r="C6265">
        <f>LOG10(1.057209)</f>
        <v>2.4160851616029131E-2</v>
      </c>
      <c r="D6265">
        <f>LOG10(3.028766)</f>
        <v>0.48126572139017065</v>
      </c>
    </row>
    <row r="6266" spans="1:4">
      <c r="A6266">
        <v>1.0347170000000001</v>
      </c>
      <c r="B6266">
        <v>3.034805</v>
      </c>
      <c r="C6266">
        <f>LOG10(1.034717)</f>
        <v>1.4821584435987252E-2</v>
      </c>
      <c r="D6266">
        <f>LOG10(3.034805)</f>
        <v>0.4821307909154976</v>
      </c>
    </row>
    <row r="6267" spans="1:4">
      <c r="A6267">
        <v>1.053002</v>
      </c>
      <c r="B6267">
        <v>2.9349029999999998</v>
      </c>
      <c r="C6267">
        <f>LOG10(1.053002)</f>
        <v>2.2429196055513995E-2</v>
      </c>
      <c r="D6267">
        <f>LOG10(2.934903)</f>
        <v>0.46759375217276822</v>
      </c>
    </row>
    <row r="6268" spans="1:4">
      <c r="A6268">
        <v>1.028383</v>
      </c>
      <c r="B6268">
        <v>2.8715579999999998</v>
      </c>
      <c r="C6268">
        <f>LOG10(1.028383)</f>
        <v>1.2154888792278145E-2</v>
      </c>
      <c r="D6268">
        <f>LOG10(2.871558)</f>
        <v>0.45811759262678403</v>
      </c>
    </row>
    <row r="6269" spans="1:4">
      <c r="A6269">
        <v>1.0233669999999999</v>
      </c>
      <c r="B6269">
        <v>2.8692510000000002</v>
      </c>
      <c r="C6269">
        <f>LOG10(1.023367)</f>
        <v>1.0031408386563398E-2</v>
      </c>
      <c r="D6269">
        <f>LOG10(2.869251)</f>
        <v>0.45776854167466763</v>
      </c>
    </row>
    <row r="6270" spans="1:4">
      <c r="A6270">
        <v>1.0736870000000001</v>
      </c>
      <c r="B6270">
        <v>2.9468139999999998</v>
      </c>
      <c r="C6270">
        <f>LOG10(1.073687)</f>
        <v>3.087769478569926E-2</v>
      </c>
      <c r="D6270">
        <f>LOG10(2.946814)</f>
        <v>0.46935272447465576</v>
      </c>
    </row>
    <row r="6271" spans="1:4">
      <c r="A6271">
        <v>1.061706</v>
      </c>
      <c r="B6271">
        <v>2.8862760000000001</v>
      </c>
      <c r="C6271">
        <f>LOG10(1.061706)</f>
        <v>2.600427168469777E-2</v>
      </c>
      <c r="D6271">
        <f>LOG10(2.886276)</f>
        <v>0.46033785813161504</v>
      </c>
    </row>
    <row r="6272" spans="1:4">
      <c r="A6272">
        <v>1.03949</v>
      </c>
      <c r="B6272">
        <v>2.9824120000000001</v>
      </c>
      <c r="C6272">
        <f>LOG10(1.03949)</f>
        <v>1.6820315730298241E-2</v>
      </c>
      <c r="D6272">
        <f>LOG10(2.982412)</f>
        <v>0.47456763809988595</v>
      </c>
    </row>
    <row r="6273" spans="1:4">
      <c r="A6273">
        <v>1.0661860000000001</v>
      </c>
      <c r="B6273">
        <v>2.9452210000000001</v>
      </c>
      <c r="C6273">
        <f>LOG10(1.066186)</f>
        <v>2.7832975541538265E-2</v>
      </c>
      <c r="D6273">
        <f>LOG10(2.945221)</f>
        <v>0.4691178884200401</v>
      </c>
    </row>
    <row r="6274" spans="1:4">
      <c r="A6274">
        <v>1.1105510000000001</v>
      </c>
      <c r="B6274">
        <v>3.0510950000000001</v>
      </c>
      <c r="C6274">
        <f>LOG10(1.110551)</f>
        <v>4.5538507513032123E-2</v>
      </c>
      <c r="D6274">
        <f>LOG10(3.051095)</f>
        <v>0.48445573020335836</v>
      </c>
    </row>
    <row r="6275" spans="1:4">
      <c r="A6275">
        <v>1.1237459999999999</v>
      </c>
      <c r="B6275">
        <v>2.9258030000000002</v>
      </c>
      <c r="C6275">
        <f>LOG10(1.123746)</f>
        <v>5.0668158862736207E-2</v>
      </c>
      <c r="D6275">
        <f>LOG10(2.925803)</f>
        <v>0.46624508088252631</v>
      </c>
    </row>
    <row r="6276" spans="1:4">
      <c r="A6276">
        <v>1.113111</v>
      </c>
      <c r="B6276">
        <v>3.023237</v>
      </c>
      <c r="C6276">
        <f>LOG10(1.113111)</f>
        <v>4.6538474562752827E-2</v>
      </c>
      <c r="D6276">
        <f>LOG10(3.023237)</f>
        <v>0.48047219407087266</v>
      </c>
    </row>
    <row r="6277" spans="1:4">
      <c r="A6277">
        <v>1.1152709999999999</v>
      </c>
      <c r="B6277">
        <v>3.0630060000000001</v>
      </c>
      <c r="C6277">
        <f>LOG10(1.115271)</f>
        <v>4.7380409540424148E-2</v>
      </c>
      <c r="D6277">
        <f>LOG10(3.063006)</f>
        <v>0.48614784752950424</v>
      </c>
    </row>
    <row r="6278" spans="1:4">
      <c r="A6278">
        <v>1.1900729999999999</v>
      </c>
      <c r="B6278">
        <v>3.104797</v>
      </c>
      <c r="C6278">
        <f>LOG10(1.190073)</f>
        <v>7.5573602169674028E-2</v>
      </c>
      <c r="D6278">
        <f>LOG10(3.104797)</f>
        <v>0.49203321009653106</v>
      </c>
    </row>
    <row r="6279" spans="1:4">
      <c r="A6279">
        <v>1.1340410000000001</v>
      </c>
      <c r="B6279">
        <v>3.0606080000000002</v>
      </c>
      <c r="C6279">
        <f>LOG10(1.134041)</f>
        <v>5.4628756278117689E-2</v>
      </c>
      <c r="D6279">
        <f>LOG10(3.060608)</f>
        <v>0.48580770910117133</v>
      </c>
    </row>
    <row r="6280" spans="1:4">
      <c r="A6280">
        <v>1.07833</v>
      </c>
      <c r="B6280">
        <v>3.1590739999999999</v>
      </c>
      <c r="C6280">
        <f>LOG10(1.07833)</f>
        <v>3.2751687796175308E-2</v>
      </c>
      <c r="D6280">
        <f>LOG10(3.159074)</f>
        <v>0.49955979919266102</v>
      </c>
    </row>
    <row r="6281" spans="1:4">
      <c r="A6281">
        <v>1.0632219999999999</v>
      </c>
      <c r="B6281">
        <v>2.9860099999999998</v>
      </c>
      <c r="C6281">
        <f>LOG10(1.063222)</f>
        <v>2.6623954371612527E-2</v>
      </c>
      <c r="D6281">
        <f>LOG10(2.98601)</f>
        <v>0.47509125782221051</v>
      </c>
    </row>
    <row r="6282" spans="1:4">
      <c r="A6282">
        <v>1.096211</v>
      </c>
      <c r="B6282">
        <v>2.9789789999999998</v>
      </c>
      <c r="C6282">
        <f>LOG10(1.096211)</f>
        <v>3.9894155714043235E-2</v>
      </c>
      <c r="D6282">
        <f>LOG10(2.978979)</f>
        <v>0.47406744171243675</v>
      </c>
    </row>
    <row r="6283" spans="1:4">
      <c r="A6283">
        <v>1.058578</v>
      </c>
      <c r="B6283">
        <v>3.0289139999999999</v>
      </c>
      <c r="C6283">
        <f>LOG10(1.058578)</f>
        <v>2.4722863981826975E-2</v>
      </c>
      <c r="D6283">
        <f>LOG10(3.028914)</f>
        <v>0.4812869425782606</v>
      </c>
    </row>
    <row r="6284" spans="1:4">
      <c r="A6284">
        <v>1.066004</v>
      </c>
      <c r="B6284">
        <v>2.8857789999999999</v>
      </c>
      <c r="C6284">
        <f>LOG10(1.066004)</f>
        <v>2.7758834310317393E-2</v>
      </c>
      <c r="D6284">
        <f>LOG10(2.885779)</f>
        <v>0.46026306869941475</v>
      </c>
    </row>
    <row r="6285" spans="1:4">
      <c r="A6285">
        <v>1.0755520000000001</v>
      </c>
      <c r="B6285">
        <v>3.1782620000000001</v>
      </c>
      <c r="C6285">
        <f>LOG10(1.075552)</f>
        <v>3.1631412182458088E-2</v>
      </c>
      <c r="D6285">
        <f>LOG10(3.178262)</f>
        <v>0.50218969540886571</v>
      </c>
    </row>
    <row r="6286" spans="1:4">
      <c r="A6286">
        <v>1.090036</v>
      </c>
      <c r="B6286">
        <v>3.0769169999999999</v>
      </c>
      <c r="C6286">
        <f>LOG10(1.090036)</f>
        <v>3.7440841374722832E-2</v>
      </c>
      <c r="D6286">
        <f>LOG10(3.076917)</f>
        <v>0.48811578128867683</v>
      </c>
    </row>
    <row r="6287" spans="1:4">
      <c r="A6287">
        <v>1.0922069999999999</v>
      </c>
      <c r="B6287">
        <v>3.1710569999999998</v>
      </c>
      <c r="C6287">
        <f>LOG10(1.092207)</f>
        <v>3.8304955619805972E-2</v>
      </c>
      <c r="D6287">
        <f>LOG10(3.171057)</f>
        <v>0.5012040485748599</v>
      </c>
    </row>
    <row r="6288" spans="1:4">
      <c r="A6288">
        <v>1.0669649999999999</v>
      </c>
      <c r="B6288">
        <v>3.057588</v>
      </c>
      <c r="C6288">
        <f>LOG10(1.066965)</f>
        <v>2.8150173354953286E-2</v>
      </c>
      <c r="D6288">
        <f>LOG10(3.057588)</f>
        <v>0.48537896525515217</v>
      </c>
    </row>
    <row r="6289" spans="1:4">
      <c r="A6289">
        <v>1.072568</v>
      </c>
      <c r="B6289">
        <v>3.0669919999999999</v>
      </c>
      <c r="C6289">
        <f>LOG10(1.072568)</f>
        <v>3.0424835671303212E-2</v>
      </c>
      <c r="D6289">
        <f>LOG10(3.066992)</f>
        <v>0.48671264316201385</v>
      </c>
    </row>
    <row r="6290" spans="1:4">
      <c r="A6290">
        <v>1.061347</v>
      </c>
      <c r="B6290">
        <v>3.1839840000000001</v>
      </c>
      <c r="C6290">
        <f>LOG10(1.061347)</f>
        <v>2.5857396669811863E-2</v>
      </c>
      <c r="D6290">
        <f>LOG10(3.183984)</f>
        <v>0.50297087667581686</v>
      </c>
    </row>
    <row r="6291" spans="1:4">
      <c r="A6291">
        <v>1.0839840000000001</v>
      </c>
      <c r="B6291">
        <v>3.1237560000000002</v>
      </c>
      <c r="C6291">
        <f>LOG10(1.083984)</f>
        <v>3.502287190440416E-2</v>
      </c>
      <c r="D6291">
        <f>LOG10(3.123756)</f>
        <v>0.4946771033127822</v>
      </c>
    </row>
    <row r="6292" spans="1:4">
      <c r="A6292">
        <v>1.061712</v>
      </c>
      <c r="B6292">
        <v>3.0567120000000001</v>
      </c>
      <c r="C6292">
        <f>LOG10(1.061712)</f>
        <v>2.6006725998348128E-2</v>
      </c>
      <c r="D6292">
        <f>LOG10(3.056712)</f>
        <v>0.48525452191126972</v>
      </c>
    </row>
    <row r="6293" spans="1:4">
      <c r="A6293">
        <v>1.1043540000000001</v>
      </c>
      <c r="B6293">
        <v>3.1138189999999999</v>
      </c>
      <c r="C6293">
        <f>LOG10(1.104354)</f>
        <v>4.3108308541087201E-2</v>
      </c>
      <c r="D6293">
        <f>LOG10(3.113819)</f>
        <v>0.49329336430601867</v>
      </c>
    </row>
    <row r="6294" spans="1:4">
      <c r="A6294">
        <v>1.0946750000000001</v>
      </c>
      <c r="B6294">
        <v>2.9274710000000002</v>
      </c>
      <c r="C6294">
        <f>LOG10(1.094675)</f>
        <v>3.9285199854635099E-2</v>
      </c>
      <c r="D6294">
        <f>LOG10(2.927471)</f>
        <v>0.46649260157450945</v>
      </c>
    </row>
    <row r="6295" spans="1:4">
      <c r="A6295">
        <v>1.090965</v>
      </c>
      <c r="B6295">
        <v>3.092768</v>
      </c>
      <c r="C6295">
        <f>LOG10(1.090965)</f>
        <v>3.7810817911265997E-2</v>
      </c>
      <c r="D6295">
        <f>LOG10(3.092768)</f>
        <v>0.49034734318495726</v>
      </c>
    </row>
    <row r="6296" spans="1:4">
      <c r="A6296">
        <v>1.0909930000000001</v>
      </c>
      <c r="B6296">
        <v>3.0411429999999999</v>
      </c>
      <c r="C6296">
        <f>LOG10(1.090993)</f>
        <v>3.7821964088684649E-2</v>
      </c>
      <c r="D6296">
        <f>LOG10(3.041143)</f>
        <v>0.48303684192998086</v>
      </c>
    </row>
    <row r="6297" spans="1:4">
      <c r="A6297">
        <v>1.0797650000000001</v>
      </c>
      <c r="B6297">
        <v>3.1436470000000001</v>
      </c>
      <c r="C6297">
        <f>LOG10(1.079765)</f>
        <v>3.3329245942022363E-2</v>
      </c>
      <c r="D6297">
        <f>LOG10(3.143647)</f>
        <v>0.49743377319461285</v>
      </c>
    </row>
    <row r="6298" spans="1:4">
      <c r="A6298">
        <v>1.0839650000000001</v>
      </c>
      <c r="B6298">
        <v>3.208256</v>
      </c>
      <c r="C6298">
        <f>LOG10(1.083965)</f>
        <v>3.5015259552677827E-2</v>
      </c>
      <c r="D6298">
        <f>LOG10(3.208256)</f>
        <v>0.50626901514564149</v>
      </c>
    </row>
    <row r="6299" spans="1:4">
      <c r="A6299">
        <v>1.08907</v>
      </c>
      <c r="B6299">
        <v>3.1972290000000001</v>
      </c>
      <c r="C6299">
        <f>LOG10(1.08907)</f>
        <v>3.705579494100196E-2</v>
      </c>
      <c r="D6299">
        <f>LOG10(3.197229)</f>
        <v>0.50477374352055204</v>
      </c>
    </row>
    <row r="6300" spans="1:4">
      <c r="A6300">
        <v>1.1010599999999999</v>
      </c>
      <c r="B6300">
        <v>3.0049440000000001</v>
      </c>
      <c r="C6300">
        <f>LOG10(1.10106)</f>
        <v>4.1810985601108477E-2</v>
      </c>
      <c r="D6300">
        <f>LOG10(3.004944)</f>
        <v>0.47783638292191877</v>
      </c>
    </row>
    <row r="6301" spans="1:4">
      <c r="A6301">
        <v>1.0945149999999999</v>
      </c>
      <c r="B6301">
        <v>3.0917460000000001</v>
      </c>
      <c r="C6301">
        <f>LOG10(1.094515)</f>
        <v>3.9221717820432211E-2</v>
      </c>
      <c r="D6301">
        <f>LOG10(3.091746)</f>
        <v>0.4902038075847322</v>
      </c>
    </row>
    <row r="6302" spans="1:4">
      <c r="A6302">
        <v>1.0939509999999999</v>
      </c>
      <c r="B6302">
        <v>3.2127940000000001</v>
      </c>
      <c r="C6302">
        <f>LOG10(1.093951)</f>
        <v>3.8997869615144849E-2</v>
      </c>
      <c r="D6302">
        <f>LOG10(3.212794)</f>
        <v>0.5068828800702273</v>
      </c>
    </row>
    <row r="6303" spans="1:4">
      <c r="A6303">
        <v>1.0877790000000001</v>
      </c>
      <c r="B6303">
        <v>3.2944049999999998</v>
      </c>
      <c r="C6303">
        <f>LOG10(1.087779)</f>
        <v>3.6540670334866812E-2</v>
      </c>
      <c r="D6303">
        <f>LOG10(3.294405)</f>
        <v>0.5177769884139396</v>
      </c>
    </row>
    <row r="6304" spans="1:4">
      <c r="A6304">
        <v>1.062897</v>
      </c>
      <c r="B6304">
        <v>3.175821</v>
      </c>
      <c r="C6304">
        <f>LOG10(1.062897)</f>
        <v>2.6491181269337562E-2</v>
      </c>
      <c r="D6304">
        <f>LOG10(3.175821)</f>
        <v>0.50185601614075526</v>
      </c>
    </row>
    <row r="6305" spans="1:4">
      <c r="A6305">
        <v>1.1080460000000001</v>
      </c>
      <c r="B6305">
        <v>3.0085320000000002</v>
      </c>
      <c r="C6305">
        <f>LOG10(1.108046)</f>
        <v>4.4557790294471149E-2</v>
      </c>
      <c r="D6305">
        <f>LOG10(3.008532)</f>
        <v>0.47835463518932042</v>
      </c>
    </row>
    <row r="6306" spans="1:4">
      <c r="A6306">
        <v>1.1032679999999999</v>
      </c>
      <c r="B6306">
        <v>3.1275680000000001</v>
      </c>
      <c r="C6306">
        <f>LOG10(1.103268)</f>
        <v>4.2681021763375723E-2</v>
      </c>
      <c r="D6306">
        <f>LOG10(3.127568)</f>
        <v>0.4952067609565759</v>
      </c>
    </row>
    <row r="6307" spans="1:4">
      <c r="A6307">
        <v>1.1368959999999999</v>
      </c>
      <c r="B6307">
        <v>3.2289050000000001</v>
      </c>
      <c r="C6307">
        <f>LOG10(1.136896)</f>
        <v>5.5720738485525466E-2</v>
      </c>
      <c r="D6307">
        <f>LOG10(3.228905)</f>
        <v>0.50905526750625563</v>
      </c>
    </row>
    <row r="6308" spans="1:4">
      <c r="A6308">
        <v>1.124674</v>
      </c>
      <c r="B6308">
        <v>3.122252</v>
      </c>
      <c r="C6308">
        <f>LOG10(1.124674)</f>
        <v>5.1026655319885046E-2</v>
      </c>
      <c r="D6308">
        <f>LOG10(3.122252)</f>
        <v>0.49446795247166686</v>
      </c>
    </row>
    <row r="6309" spans="1:4">
      <c r="A6309">
        <v>1.111796</v>
      </c>
      <c r="B6309">
        <v>3.1111110000000002</v>
      </c>
      <c r="C6309">
        <f>LOG10(1.111796)</f>
        <v>4.6025107208340257E-2</v>
      </c>
      <c r="D6309">
        <f>LOG10(3.111111)</f>
        <v>0.49291550639237686</v>
      </c>
    </row>
    <row r="6310" spans="1:4">
      <c r="A6310">
        <v>1.127397</v>
      </c>
      <c r="B6310">
        <v>3.1688770000000002</v>
      </c>
      <c r="C6310">
        <f>LOG10(1.127397)</f>
        <v>5.2076874829406782E-2</v>
      </c>
      <c r="D6310">
        <f>LOG10(3.168877)</f>
        <v>0.50090538237175364</v>
      </c>
    </row>
    <row r="6311" spans="1:4">
      <c r="A6311">
        <v>1.1015429999999999</v>
      </c>
      <c r="B6311">
        <v>3.0708470000000001</v>
      </c>
      <c r="C6311">
        <f>LOG10(1.101543)</f>
        <v>4.2001455003103795E-2</v>
      </c>
      <c r="D6311">
        <f>LOG10(3.070847)</f>
        <v>0.48725817895983464</v>
      </c>
    </row>
    <row r="6312" spans="1:4">
      <c r="A6312">
        <v>1.0894699999999999</v>
      </c>
      <c r="B6312">
        <v>2.8985940000000001</v>
      </c>
      <c r="C6312">
        <f>LOG10(1.08947)</f>
        <v>3.7215275872922809E-2</v>
      </c>
      <c r="D6312">
        <f>LOG10(2.898594)</f>
        <v>0.46218738889493799</v>
      </c>
    </row>
    <row r="6313" spans="1:4">
      <c r="A6313">
        <v>1.018413</v>
      </c>
      <c r="B6313">
        <v>3.9720070000000001</v>
      </c>
      <c r="C6313">
        <f>LOG10(1.018413)</f>
        <v>7.9239344321565333E-3</v>
      </c>
      <c r="D6313">
        <f>LOG10(3.972007)</f>
        <v>0.5990100051956232</v>
      </c>
    </row>
    <row r="6314" spans="1:4">
      <c r="A6314">
        <v>1.017439</v>
      </c>
      <c r="B6314">
        <v>3.960807</v>
      </c>
      <c r="C6314">
        <f>LOG10(1.017439)</f>
        <v>7.5083807891143158E-3</v>
      </c>
      <c r="D6314">
        <f>LOG10(3.960807)</f>
        <v>0.59778368085995737</v>
      </c>
    </row>
    <row r="6315" spans="1:4">
      <c r="A6315">
        <v>1.022861</v>
      </c>
      <c r="B6315">
        <v>3.9546589999999999</v>
      </c>
      <c r="C6315">
        <f>LOG10(1.022861)</f>
        <v>9.8166199931661209E-3</v>
      </c>
      <c r="D6315">
        <f>LOG10(3.954659)</f>
        <v>0.59710904136010634</v>
      </c>
    </row>
    <row r="6316" spans="1:4">
      <c r="A6316">
        <v>1.0127999999999999</v>
      </c>
      <c r="B6316">
        <v>3.86761</v>
      </c>
      <c r="C6316">
        <f>LOG10(1.0128)</f>
        <v>5.5236926732798496E-3</v>
      </c>
      <c r="D6316">
        <f>LOG10(3.86761)</f>
        <v>0.58744267446284604</v>
      </c>
    </row>
    <row r="6317" spans="1:4">
      <c r="A6317">
        <v>1.022632</v>
      </c>
      <c r="B6317">
        <v>3.6919019999999998</v>
      </c>
      <c r="C6317">
        <f>LOG10(1.022632)</f>
        <v>9.7193784609082619E-3</v>
      </c>
      <c r="D6317">
        <f>LOG10(3.691902)</f>
        <v>0.56725016434084585</v>
      </c>
    </row>
    <row r="6318" spans="1:4">
      <c r="A6318">
        <v>1.0144390000000001</v>
      </c>
      <c r="B6318">
        <v>3.4123060000000001</v>
      </c>
      <c r="C6318">
        <f>LOG10(1.014439)</f>
        <v>6.2259372640082085E-3</v>
      </c>
      <c r="D6318">
        <f>LOG10(3.412306)</f>
        <v>0.53304796978523228</v>
      </c>
    </row>
    <row r="6319" spans="1:4">
      <c r="A6319">
        <v>1.018626</v>
      </c>
      <c r="B6319">
        <v>3.6654559999999998</v>
      </c>
      <c r="C6319">
        <f>LOG10(1.018626)</f>
        <v>8.0147571655283887E-3</v>
      </c>
      <c r="D6319">
        <f>LOG10(3.665456)</f>
        <v>0.56412801061828977</v>
      </c>
    </row>
    <row r="6320" spans="1:4">
      <c r="A6320">
        <v>1.0187539999999999</v>
      </c>
      <c r="B6320">
        <v>3.5529190000000002</v>
      </c>
      <c r="C6320">
        <f>LOG10(1.018754)</f>
        <v>8.0693269500130855E-3</v>
      </c>
      <c r="D6320">
        <f>LOG10(3.552919)</f>
        <v>0.55058530648903914</v>
      </c>
    </row>
    <row r="6321" spans="1:4">
      <c r="A6321">
        <v>1.0286420000000001</v>
      </c>
      <c r="B6321">
        <v>4.1604130000000001</v>
      </c>
      <c r="C6321">
        <f>LOG10(1.028642)</f>
        <v>1.2264252821793928E-2</v>
      </c>
      <c r="D6321">
        <f>LOG10(4.160413)</f>
        <v>0.61913644474167273</v>
      </c>
    </row>
    <row r="6322" spans="1:4">
      <c r="A6322">
        <v>1.022861</v>
      </c>
      <c r="B6322">
        <v>3.9577140000000002</v>
      </c>
      <c r="C6322">
        <f>LOG10(1.022861)</f>
        <v>9.8166199931661209E-3</v>
      </c>
      <c r="D6322">
        <f>LOG10(3.957714)</f>
        <v>0.59744440717467162</v>
      </c>
    </row>
    <row r="6323" spans="1:4">
      <c r="A6323">
        <v>1.018953</v>
      </c>
      <c r="B6323">
        <v>3.8112710000000001</v>
      </c>
      <c r="C6323">
        <f>LOG10(1.018953)</f>
        <v>8.1541522974978055E-3</v>
      </c>
      <c r="D6323">
        <f>LOG10(3.811271)</f>
        <v>0.58106983033086423</v>
      </c>
    </row>
    <row r="6324" spans="1:4">
      <c r="A6324">
        <v>1.016186</v>
      </c>
      <c r="B6324">
        <v>3.778159</v>
      </c>
      <c r="C6324">
        <f>LOG10(1.016186)</f>
        <v>6.9732073380739737E-3</v>
      </c>
      <c r="D6324">
        <f>LOG10(3.778159)</f>
        <v>0.5772802308143995</v>
      </c>
    </row>
    <row r="6325" spans="1:4">
      <c r="A6325">
        <v>1.0140640000000001</v>
      </c>
      <c r="B6325">
        <v>3.879022</v>
      </c>
      <c r="C6325">
        <f>LOG10(1.014064)</f>
        <v>6.0653652238692596E-3</v>
      </c>
      <c r="D6325">
        <f>LOG10(3.879022)</f>
        <v>0.58872224272238372</v>
      </c>
    </row>
    <row r="6326" spans="1:4">
      <c r="A6326">
        <v>1.0175019999999999</v>
      </c>
      <c r="B6326">
        <v>4.1683079999999997</v>
      </c>
      <c r="C6326">
        <f>LOG10(1.017502)</f>
        <v>7.5352715465059191E-3</v>
      </c>
      <c r="D6326">
        <f>LOG10(4.168308)</f>
        <v>0.61995980188416999</v>
      </c>
    </row>
    <row r="6327" spans="1:4">
      <c r="A6327">
        <v>1.0093570000000001</v>
      </c>
      <c r="B6327">
        <v>4.0699290000000001</v>
      </c>
      <c r="C6327">
        <f>LOG10(1.009357)</f>
        <v>4.0447992479748125E-3</v>
      </c>
      <c r="D6327">
        <f>LOG10(4.069929)</f>
        <v>0.60958683301461281</v>
      </c>
    </row>
    <row r="6328" spans="1:4">
      <c r="A6328">
        <v>1.0193220000000001</v>
      </c>
      <c r="B6328">
        <v>4.1582119999999998</v>
      </c>
      <c r="C6328">
        <f>LOG10(1.019322)</f>
        <v>8.3113976795714199E-3</v>
      </c>
      <c r="D6328">
        <f>LOG10(4.158212)</f>
        <v>0.61890662739157576</v>
      </c>
    </row>
    <row r="6329" spans="1:4">
      <c r="A6329">
        <v>1.019771</v>
      </c>
      <c r="B6329">
        <v>4.7444459999999999</v>
      </c>
      <c r="C6329">
        <f>LOG10(1.019771)</f>
        <v>8.5026574460716261E-3</v>
      </c>
      <c r="D6329">
        <f>LOG10(4.744446)</f>
        <v>0.67618550797730903</v>
      </c>
    </row>
    <row r="6330" spans="1:4">
      <c r="A6330">
        <v>1.0215430000000001</v>
      </c>
      <c r="B6330">
        <v>3.6895289999999998</v>
      </c>
      <c r="C6330">
        <f>LOG10(1.021543)</f>
        <v>9.2566521918421539E-3</v>
      </c>
      <c r="D6330">
        <f>LOG10(3.689529)</f>
        <v>0.56697092828456885</v>
      </c>
    </row>
    <row r="6331" spans="1:4">
      <c r="A6331">
        <v>1.0130490000000001</v>
      </c>
      <c r="B6331">
        <v>4.0921900000000004</v>
      </c>
      <c r="C6331">
        <f>LOG10(1.013049)</f>
        <v>5.6304521864899097E-3</v>
      </c>
      <c r="D6331">
        <f>LOG10(4.09219)</f>
        <v>0.61195578976053511</v>
      </c>
    </row>
    <row r="6332" spans="1:4">
      <c r="A6332">
        <v>1.023895</v>
      </c>
      <c r="B6332">
        <v>4.1534599999999999</v>
      </c>
      <c r="C6332">
        <f>LOG10(1.023895)</f>
        <v>1.0255422207490178E-2</v>
      </c>
      <c r="D6332">
        <f>LOG10(4.15346)</f>
        <v>0.61841003233756831</v>
      </c>
    </row>
    <row r="6333" spans="1:4">
      <c r="A6333">
        <v>1.0202739999999999</v>
      </c>
      <c r="B6333">
        <v>4.0234629999999996</v>
      </c>
      <c r="C6333">
        <f>LOG10(1.020274)</f>
        <v>8.7168195148731257E-3</v>
      </c>
      <c r="D6333">
        <f>LOG10(4.023463)</f>
        <v>0.60460001188399615</v>
      </c>
    </row>
    <row r="6334" spans="1:4">
      <c r="A6334">
        <v>1.0220070000000001</v>
      </c>
      <c r="B6334">
        <v>3.9722550000000001</v>
      </c>
      <c r="C6334">
        <f>LOG10(1.022007)</f>
        <v>9.4538704082460304E-3</v>
      </c>
      <c r="D6334">
        <f>LOG10(3.972255)</f>
        <v>0.59903712037172052</v>
      </c>
    </row>
    <row r="6335" spans="1:4">
      <c r="A6335">
        <v>1.0213220000000001</v>
      </c>
      <c r="B6335">
        <v>4.1535960000000003</v>
      </c>
      <c r="C6335">
        <f>LOG10(1.021322)</f>
        <v>9.1626870195228374E-3</v>
      </c>
      <c r="D6335">
        <f>LOG10(4.153596)</f>
        <v>0.61842425254976974</v>
      </c>
    </row>
    <row r="6336" spans="1:4">
      <c r="A6336">
        <v>1.0135339999999999</v>
      </c>
      <c r="B6336">
        <v>3.7131820000000002</v>
      </c>
      <c r="C6336">
        <f>LOG10(1.013534)</f>
        <v>5.8383221111307912E-3</v>
      </c>
      <c r="D6336">
        <f>LOG10(3.713182)</f>
        <v>0.5697462365029109</v>
      </c>
    </row>
    <row r="6337" spans="1:4">
      <c r="A6337">
        <v>1.0182910000000001</v>
      </c>
      <c r="B6337">
        <v>3.8005249999999999</v>
      </c>
      <c r="C6337">
        <f>LOG10(1.018291)</f>
        <v>7.8719053431425701E-3</v>
      </c>
      <c r="D6337">
        <f>LOG10(3.800525)</f>
        <v>0.57984359368368699</v>
      </c>
    </row>
    <row r="6338" spans="1:4">
      <c r="A6338">
        <v>1.0188349999999999</v>
      </c>
      <c r="B6338">
        <v>3.765555</v>
      </c>
      <c r="C6338">
        <f>LOG10(1.018835)</f>
        <v>8.1038558496613379E-3</v>
      </c>
      <c r="D6338">
        <f>LOG10(3.765555)</f>
        <v>0.57582899532391441</v>
      </c>
    </row>
    <row r="6339" spans="1:4">
      <c r="A6339">
        <v>1.013811</v>
      </c>
      <c r="B6339">
        <v>4.327305</v>
      </c>
      <c r="C6339">
        <f>LOG10(1.013811)</f>
        <v>5.9569990726107882E-3</v>
      </c>
      <c r="D6339">
        <f>LOG10(4.327305)</f>
        <v>0.63621750651113707</v>
      </c>
    </row>
    <row r="6340" spans="1:4">
      <c r="A6340">
        <v>1.023156</v>
      </c>
      <c r="B6340">
        <v>3.912439</v>
      </c>
      <c r="C6340">
        <f>LOG10(1.023156)</f>
        <v>9.9418553876415537E-3</v>
      </c>
      <c r="D6340">
        <f>LOG10(3.912439)</f>
        <v>0.59244757939286474</v>
      </c>
    </row>
    <row r="6341" spans="1:4">
      <c r="A6341">
        <v>1.0215190000000001</v>
      </c>
      <c r="B6341">
        <v>3.8285420000000001</v>
      </c>
      <c r="C6341">
        <f>LOG10(1.021519)</f>
        <v>9.2464488132210764E-3</v>
      </c>
      <c r="D6341">
        <f>LOG10(3.828542)</f>
        <v>0.58303341576799794</v>
      </c>
    </row>
    <row r="6342" spans="1:4">
      <c r="A6342">
        <v>1.0119849999999999</v>
      </c>
      <c r="B6342">
        <v>3.8693590000000002</v>
      </c>
      <c r="C6342">
        <f>LOG10(1.011985)</f>
        <v>5.1740752848990377E-3</v>
      </c>
      <c r="D6342">
        <f>LOG10(3.869359)</f>
        <v>0.58763902553050251</v>
      </c>
    </row>
    <row r="6343" spans="1:4">
      <c r="A6343">
        <v>1.0138229999999999</v>
      </c>
      <c r="B6343">
        <v>3.9929640000000002</v>
      </c>
      <c r="C6343">
        <f>LOG10(1.013823)</f>
        <v>5.9621395800030065E-3</v>
      </c>
      <c r="D6343">
        <f>LOG10(3.992964)</f>
        <v>0.60129539467422033</v>
      </c>
    </row>
    <row r="6344" spans="1:4">
      <c r="A6344">
        <v>1.0206770000000001</v>
      </c>
      <c r="B6344">
        <v>3.9998860000000001</v>
      </c>
      <c r="C6344">
        <f>LOG10(1.020677)</f>
        <v>8.8883284619097943E-3</v>
      </c>
      <c r="D6344">
        <f>LOG10(3.999886)</f>
        <v>0.60204761375884697</v>
      </c>
    </row>
    <row r="6345" spans="1:4">
      <c r="A6345">
        <v>1.022335</v>
      </c>
      <c r="B6345">
        <v>4.1378060000000003</v>
      </c>
      <c r="C6345">
        <f>LOG10(1.022335)</f>
        <v>9.5932292741173122E-3</v>
      </c>
      <c r="D6345">
        <f>LOG10(4.137806)</f>
        <v>0.61677012501880435</v>
      </c>
    </row>
    <row r="6346" spans="1:4">
      <c r="A6346">
        <v>1.012575</v>
      </c>
      <c r="B6346">
        <v>3.790025</v>
      </c>
      <c r="C6346">
        <f>LOG10(1.012575)</f>
        <v>5.4272006569074027E-3</v>
      </c>
      <c r="D6346">
        <f>LOG10(3.790025)</f>
        <v>0.57864207469795059</v>
      </c>
    </row>
    <row r="6347" spans="1:4">
      <c r="A6347">
        <v>1.0135240000000001</v>
      </c>
      <c r="B6347">
        <v>4.0665110000000002</v>
      </c>
      <c r="C6347">
        <f>LOG10(1.013524)</f>
        <v>5.8340371377171053E-3</v>
      </c>
      <c r="D6347">
        <f>LOG10(4.066511)</f>
        <v>0.60922195141370028</v>
      </c>
    </row>
    <row r="6348" spans="1:4">
      <c r="A6348">
        <v>1.0227379999999999</v>
      </c>
      <c r="B6348">
        <v>3.5718040000000002</v>
      </c>
      <c r="C6348">
        <f>LOG10(1.022738)</f>
        <v>9.7643925318322815E-3</v>
      </c>
      <c r="D6348">
        <f>LOG10(3.571804)</f>
        <v>0.55288761929436303</v>
      </c>
    </row>
    <row r="6349" spans="1:4">
      <c r="A6349">
        <v>1.0202580000000001</v>
      </c>
      <c r="B6349">
        <v>3.7983560000000001</v>
      </c>
      <c r="C6349">
        <f>LOG10(1.020258)</f>
        <v>8.7100088285320103E-3</v>
      </c>
      <c r="D6349">
        <f>LOG10(3.798356)</f>
        <v>0.57959566645418281</v>
      </c>
    </row>
    <row r="6350" spans="1:4">
      <c r="A6350">
        <v>1.0176289999999999</v>
      </c>
      <c r="B6350">
        <v>4.0391250000000003</v>
      </c>
      <c r="C6350">
        <f>LOG10(1.017629)</f>
        <v>7.5894748378648579E-3</v>
      </c>
      <c r="D6350">
        <f>LOG10(4.039125)</f>
        <v>0.60628729361817202</v>
      </c>
    </row>
    <row r="6351" spans="1:4">
      <c r="A6351">
        <v>1.0145470000000001</v>
      </c>
      <c r="B6351">
        <v>3.6415600000000001</v>
      </c>
      <c r="C6351">
        <f>LOG10(1.014547)</f>
        <v>6.2721710025257209E-3</v>
      </c>
      <c r="D6351">
        <f>LOG10(3.64156)</f>
        <v>0.56128746998279067</v>
      </c>
    </row>
    <row r="6352" spans="1:4">
      <c r="A6352">
        <v>1.017865</v>
      </c>
      <c r="B6352">
        <v>3.6731039999999999</v>
      </c>
      <c r="C6352">
        <f>LOG10(1.017865)</f>
        <v>7.6901811019840175E-3</v>
      </c>
      <c r="D6352">
        <f>LOG10(3.673104)</f>
        <v>0.56503322510181153</v>
      </c>
    </row>
    <row r="6353" spans="1:4">
      <c r="A6353">
        <v>1.023207</v>
      </c>
      <c r="B6353">
        <v>3.4858419999999999</v>
      </c>
      <c r="C6353">
        <f>LOG10(1.023207)</f>
        <v>9.9635025915654537E-3</v>
      </c>
      <c r="D6353">
        <f>LOG10(3.485842)</f>
        <v>0.54230769829800585</v>
      </c>
    </row>
    <row r="6354" spans="1:4">
      <c r="A6354">
        <v>1.031212</v>
      </c>
      <c r="B6354">
        <v>3.5423110000000002</v>
      </c>
      <c r="C6354">
        <f>LOG10(1.031212)</f>
        <v>1.3347958169493197E-2</v>
      </c>
      <c r="D6354">
        <f>LOG10(3.542311)</f>
        <v>0.54928668775597678</v>
      </c>
    </row>
    <row r="6355" spans="1:4">
      <c r="A6355">
        <v>1.0282500000000001</v>
      </c>
      <c r="B6355">
        <v>3.3647049999999998</v>
      </c>
      <c r="C6355">
        <f>LOG10(1.02825)</f>
        <v>1.2098718181212753E-2</v>
      </c>
      <c r="D6355">
        <f>LOG10(3.364705)</f>
        <v>0.52694699352632224</v>
      </c>
    </row>
    <row r="6356" spans="1:4">
      <c r="A6356">
        <v>1.0273570000000001</v>
      </c>
      <c r="B6356">
        <v>3.3024939999999998</v>
      </c>
      <c r="C6356">
        <f>LOG10(1.027357)</f>
        <v>1.1721384384687767E-2</v>
      </c>
      <c r="D6356">
        <f>LOG10(3.302494)</f>
        <v>0.51884203725726619</v>
      </c>
    </row>
    <row r="6357" spans="1:4">
      <c r="A6357">
        <v>1.0233380000000001</v>
      </c>
      <c r="B6357">
        <v>3.3083360000000002</v>
      </c>
      <c r="C6357">
        <f>LOG10(1.023338)</f>
        <v>1.0019101249016987E-2</v>
      </c>
      <c r="D6357">
        <f>LOG10(3.308336)</f>
        <v>0.51960961077639256</v>
      </c>
    </row>
    <row r="6358" spans="1:4">
      <c r="A6358">
        <v>1.0185569999999999</v>
      </c>
      <c r="B6358">
        <v>3.2601360000000001</v>
      </c>
      <c r="C6358">
        <f>LOG10(1.018557)</f>
        <v>7.9853377964654963E-3</v>
      </c>
      <c r="D6358">
        <f>LOG10(3.260136)</f>
        <v>0.5132357174966391</v>
      </c>
    </row>
    <row r="6359" spans="1:4">
      <c r="A6359">
        <v>1.0145850000000001</v>
      </c>
      <c r="B6359">
        <v>3.297221</v>
      </c>
      <c r="C6359">
        <f>LOG10(1.014585)</f>
        <v>6.2884372585546491E-3</v>
      </c>
      <c r="D6359">
        <f>LOG10(3.297221)</f>
        <v>0.51814805720195645</v>
      </c>
    </row>
    <row r="6360" spans="1:4">
      <c r="A6360">
        <v>1.01925</v>
      </c>
      <c r="B6360">
        <v>3.0607350000000002</v>
      </c>
      <c r="C6360">
        <f>LOG10(1.01925)</f>
        <v>8.2807201241943545E-3</v>
      </c>
      <c r="D6360">
        <f>LOG10(3.060735)</f>
        <v>0.48582572978689653</v>
      </c>
    </row>
    <row r="6361" spans="1:4">
      <c r="A6361">
        <v>1.0131460000000001</v>
      </c>
      <c r="B6361">
        <v>3.1096759999999999</v>
      </c>
      <c r="C6361">
        <f>LOG10(1.013146)</f>
        <v>5.6720341317388154E-3</v>
      </c>
      <c r="D6361">
        <f>LOG10(3.109676)</f>
        <v>0.49271514184281573</v>
      </c>
    </row>
    <row r="6362" spans="1:4">
      <c r="A6362">
        <v>1.04697</v>
      </c>
      <c r="B6362">
        <v>3.3035610000000002</v>
      </c>
      <c r="C6362">
        <f>LOG10(1.04697)</f>
        <v>1.9934237532595721E-2</v>
      </c>
      <c r="D6362">
        <f>LOG10(3.303561)</f>
        <v>0.51898233043260933</v>
      </c>
    </row>
    <row r="6363" spans="1:4">
      <c r="A6363">
        <v>1.024303</v>
      </c>
      <c r="B6363">
        <v>3.259585</v>
      </c>
      <c r="C6363">
        <f>LOG10(1.024303)</f>
        <v>1.042844468965274E-2</v>
      </c>
      <c r="D6363">
        <f>LOG10(3.259585)</f>
        <v>0.51316231059468775</v>
      </c>
    </row>
    <row r="6364" spans="1:4">
      <c r="A6364">
        <v>1.0386010000000001</v>
      </c>
      <c r="B6364">
        <v>3.18499</v>
      </c>
      <c r="C6364">
        <f>LOG10(1.038601)</f>
        <v>1.6448736412583497E-2</v>
      </c>
      <c r="D6364">
        <f>LOG10(3.18499)</f>
        <v>0.50310807310727601</v>
      </c>
    </row>
    <row r="6365" spans="1:4">
      <c r="A6365">
        <v>1.0146200000000001</v>
      </c>
      <c r="B6365">
        <v>3.2703950000000002</v>
      </c>
      <c r="C6365">
        <f>LOG10(1.01462)</f>
        <v>6.3034187975003191E-3</v>
      </c>
      <c r="D6365">
        <f>LOG10(3.270395)</f>
        <v>0.51460021014047208</v>
      </c>
    </row>
    <row r="6366" spans="1:4">
      <c r="A6366">
        <v>1.0303279999999999</v>
      </c>
      <c r="B6366">
        <v>3.2788900000000001</v>
      </c>
      <c r="C6366">
        <f>LOG10(1.030328)</f>
        <v>1.2975502291330945E-2</v>
      </c>
      <c r="D6366">
        <f>LOG10(3.27889)</f>
        <v>0.51572684722919049</v>
      </c>
    </row>
    <row r="6367" spans="1:4">
      <c r="A6367">
        <v>1.0302230000000001</v>
      </c>
      <c r="B6367">
        <v>3.340204</v>
      </c>
      <c r="C6367">
        <f>LOG10(1.030223)</f>
        <v>1.2931241391562657E-2</v>
      </c>
      <c r="D6367">
        <f>LOG10(3.340204)</f>
        <v>0.52377299177227998</v>
      </c>
    </row>
    <row r="6368" spans="1:4">
      <c r="A6368">
        <v>1.027285</v>
      </c>
      <c r="B6368">
        <v>3.4708990000000002</v>
      </c>
      <c r="C6368">
        <f>LOG10(1.027285)</f>
        <v>1.1690946768100677E-2</v>
      </c>
      <c r="D6368">
        <f>LOG10(3.470899)</f>
        <v>0.54044197628136204</v>
      </c>
    </row>
    <row r="6369" spans="1:4">
      <c r="A6369">
        <v>1.0151220000000001</v>
      </c>
      <c r="B6369">
        <v>3.425494</v>
      </c>
      <c r="C6369">
        <f>LOG10(1.015122)</f>
        <v>6.5182400253811501E-3</v>
      </c>
      <c r="D6369">
        <f>LOG10(3.425494)</f>
        <v>0.53472321115793509</v>
      </c>
    </row>
    <row r="6370" spans="1:4">
      <c r="A6370">
        <v>1.023333</v>
      </c>
      <c r="B6370">
        <v>3.391543</v>
      </c>
      <c r="C6370">
        <f>LOG10(1.023333)</f>
        <v>1.0016979293500409E-2</v>
      </c>
      <c r="D6370">
        <f>LOG10(3.391543)</f>
        <v>0.5303973276797781</v>
      </c>
    </row>
    <row r="6371" spans="1:4">
      <c r="A6371">
        <v>1.017863</v>
      </c>
      <c r="B6371">
        <v>3.3220589999999999</v>
      </c>
      <c r="C6371">
        <f>LOG10(1.017863)</f>
        <v>7.6893277571719095E-3</v>
      </c>
      <c r="D6371">
        <f>LOG10(3.322059)</f>
        <v>0.52140734128421806</v>
      </c>
    </row>
    <row r="6372" spans="1:4">
      <c r="A6372">
        <v>1.014373</v>
      </c>
      <c r="B6372">
        <v>3.3179569999999998</v>
      </c>
      <c r="C6372">
        <f>LOG10(1.014373)</f>
        <v>6.1976808895232603E-3</v>
      </c>
      <c r="D6372">
        <f>LOG10(3.317957)</f>
        <v>0.52087075336292565</v>
      </c>
    </row>
    <row r="6373" spans="1:4">
      <c r="A6373">
        <v>1.019798</v>
      </c>
      <c r="B6373">
        <v>3.3380320000000001</v>
      </c>
      <c r="C6373">
        <f>LOG10(1.019798)</f>
        <v>8.5141559058070637E-3</v>
      </c>
      <c r="D6373">
        <f>LOG10(3.338032)</f>
        <v>0.52349049572154038</v>
      </c>
    </row>
    <row r="6374" spans="1:4">
      <c r="A6374">
        <v>1.030937</v>
      </c>
      <c r="B6374">
        <v>3.3999130000000002</v>
      </c>
      <c r="C6374">
        <f>LOG10(1.030937)</f>
        <v>1.3232126594537765E-2</v>
      </c>
      <c r="D6374">
        <f>LOG10(3.399913)</f>
        <v>0.53146780407068395</v>
      </c>
    </row>
    <row r="6375" spans="1:4">
      <c r="A6375">
        <v>1.026303</v>
      </c>
      <c r="B6375">
        <v>3.4459909999999998</v>
      </c>
      <c r="C6375">
        <f>LOG10(1.026303)</f>
        <v>1.1275598398578101E-2</v>
      </c>
      <c r="D6375">
        <f>LOG10(3.445991)</f>
        <v>0.53731413885332091</v>
      </c>
    </row>
    <row r="6376" spans="1:4">
      <c r="A6376">
        <v>1.019941</v>
      </c>
      <c r="B6376">
        <v>3.3435950000000001</v>
      </c>
      <c r="C6376">
        <f>LOG10(1.019941)</f>
        <v>8.5750500800263283E-3</v>
      </c>
      <c r="D6376">
        <f>LOG10(3.343595)</f>
        <v>0.5242136671170925</v>
      </c>
    </row>
    <row r="6377" spans="1:4">
      <c r="A6377">
        <v>1.020497</v>
      </c>
      <c r="B6377">
        <v>3.3525710000000002</v>
      </c>
      <c r="C6377">
        <f>LOG10(1.020497)</f>
        <v>8.8117323393398887E-3</v>
      </c>
      <c r="D6377">
        <f>LOG10(3.352571)</f>
        <v>0.52537798401258673</v>
      </c>
    </row>
    <row r="6378" spans="1:4">
      <c r="A6378">
        <v>1.0276989999999999</v>
      </c>
      <c r="B6378">
        <v>3.2678889999999998</v>
      </c>
      <c r="C6378">
        <f>LOG10(1.027699)</f>
        <v>1.1865933938745684E-2</v>
      </c>
      <c r="D6378">
        <f>LOG10(3.267889)</f>
        <v>0.5142672964814925</v>
      </c>
    </row>
    <row r="6379" spans="1:4">
      <c r="A6379">
        <v>1.0234559999999999</v>
      </c>
      <c r="B6379">
        <v>3.3333140000000001</v>
      </c>
      <c r="C6379">
        <f>LOG10(1.023456)</f>
        <v>1.006917638986779E-2</v>
      </c>
      <c r="D6379">
        <f>LOG10(3.333314)</f>
        <v>0.52287622636503772</v>
      </c>
    </row>
    <row r="6380" spans="1:4">
      <c r="A6380">
        <v>1.0121279999999999</v>
      </c>
      <c r="B6380">
        <v>3.3660510000000001</v>
      </c>
      <c r="C6380">
        <f>LOG10(1.012128)</f>
        <v>5.2354395575611775E-3</v>
      </c>
      <c r="D6380">
        <f>LOG10(3.366051)</f>
        <v>0.52712069180937815</v>
      </c>
    </row>
    <row r="6381" spans="1:4">
      <c r="A6381">
        <v>1.0183150000000001</v>
      </c>
      <c r="B6381">
        <v>3.3675329999999999</v>
      </c>
      <c r="C6381">
        <f>LOG10(1.018315)</f>
        <v>7.8821410662683698E-3</v>
      </c>
      <c r="D6381">
        <f>LOG10(3.367533)</f>
        <v>0.52731186026664345</v>
      </c>
    </row>
    <row r="6382" spans="1:4">
      <c r="A6382">
        <v>1.014815</v>
      </c>
      <c r="B6382">
        <v>3.3102239999999998</v>
      </c>
      <c r="C6382">
        <f>LOG10(1.014815)</f>
        <v>6.3868779122112961E-3</v>
      </c>
      <c r="D6382">
        <f>LOG10(3.310224)</f>
        <v>0.51985738310272134</v>
      </c>
    </row>
    <row r="6383" spans="1:4">
      <c r="A6383">
        <v>1.01623</v>
      </c>
      <c r="B6383">
        <v>3.2147290000000002</v>
      </c>
      <c r="C6383">
        <f>LOG10(1.01623)</f>
        <v>6.9920115171462687E-3</v>
      </c>
      <c r="D6383">
        <f>LOG10(3.214729)</f>
        <v>0.50714436800200768</v>
      </c>
    </row>
    <row r="6384" spans="1:4">
      <c r="A6384">
        <v>1.0296510000000001</v>
      </c>
      <c r="B6384">
        <v>3.1476959999999998</v>
      </c>
      <c r="C6384">
        <f>LOG10(1.029651)</f>
        <v>1.269004561936125E-2</v>
      </c>
      <c r="D6384">
        <f>LOG10(3.147696)</f>
        <v>0.49799278216932935</v>
      </c>
    </row>
    <row r="6385" spans="1:4">
      <c r="A6385">
        <v>1.033963</v>
      </c>
      <c r="B6385">
        <v>3.1730610000000001</v>
      </c>
      <c r="C6385">
        <f>LOG10(1.033963)</f>
        <v>1.4504997961659792E-2</v>
      </c>
      <c r="D6385">
        <f>LOG10(3.173061)</f>
        <v>0.50147842120496611</v>
      </c>
    </row>
    <row r="6386" spans="1:4">
      <c r="A6386">
        <v>1.03498</v>
      </c>
      <c r="B6386">
        <v>3.2366739999999998</v>
      </c>
      <c r="C6386">
        <f>LOG10(1.03498)</f>
        <v>1.4931957547950297E-2</v>
      </c>
      <c r="D6386">
        <f>LOG10(3.236674)</f>
        <v>0.51009895917060588</v>
      </c>
    </row>
    <row r="6387" spans="1:4">
      <c r="A6387">
        <v>1.023145</v>
      </c>
      <c r="B6387">
        <v>3.3047620000000002</v>
      </c>
      <c r="C6387">
        <f>LOG10(1.023145)</f>
        <v>9.9371862414104027E-3</v>
      </c>
      <c r="D6387">
        <f>LOG10(3.304762)</f>
        <v>0.51914018823662667</v>
      </c>
    </row>
    <row r="6388" spans="1:4">
      <c r="A6388">
        <v>1.014583</v>
      </c>
      <c r="B6388">
        <v>3.2445590000000002</v>
      </c>
      <c r="C6388">
        <f>LOG10(1.014583)</f>
        <v>6.2875811550049858E-3</v>
      </c>
      <c r="D6388">
        <f>LOG10(3.244559)</f>
        <v>0.5111556759031437</v>
      </c>
    </row>
    <row r="6389" spans="1:4">
      <c r="A6389">
        <v>1.0246139999999999</v>
      </c>
      <c r="B6389">
        <v>3.2779020000000001</v>
      </c>
      <c r="C6389">
        <f>LOG10(1.024614)</f>
        <v>1.0560285642613907E-2</v>
      </c>
      <c r="D6389">
        <f>LOG10(3.277902)</f>
        <v>0.51559596525173323</v>
      </c>
    </row>
    <row r="6390" spans="1:4">
      <c r="A6390">
        <v>1.0202230000000001</v>
      </c>
      <c r="B6390">
        <v>3.2715070000000002</v>
      </c>
      <c r="C6390">
        <f>LOG10(1.020223)</f>
        <v>8.6951100797878576E-3</v>
      </c>
      <c r="D6390">
        <f>LOG10(3.271507)</f>
        <v>0.51474785388950028</v>
      </c>
    </row>
    <row r="6391" spans="1:4">
      <c r="A6391">
        <v>1.041531</v>
      </c>
      <c r="B6391">
        <v>3.285021</v>
      </c>
      <c r="C6391">
        <f>LOG10(1.041531)</f>
        <v>1.7672200763437788E-2</v>
      </c>
      <c r="D6391">
        <f>LOG10(3.285021)</f>
        <v>0.51653815019868199</v>
      </c>
    </row>
    <row r="6392" spans="1:4">
      <c r="A6392">
        <v>1.030116</v>
      </c>
      <c r="B6392">
        <v>3.3656899999999998</v>
      </c>
      <c r="C6392">
        <f>LOG10(1.030116)</f>
        <v>1.2886132786031762E-2</v>
      </c>
      <c r="D6392">
        <f>LOG10(3.36569)</f>
        <v>0.52707411238568458</v>
      </c>
    </row>
    <row r="6393" spans="1:4">
      <c r="A6393">
        <v>1.0321340000000001</v>
      </c>
      <c r="B6393">
        <v>3.391791</v>
      </c>
      <c r="C6393">
        <f>LOG10(1.032134)</f>
        <v>1.3736084580638713E-2</v>
      </c>
      <c r="D6393">
        <f>LOG10(3.391791)</f>
        <v>0.53042908345991813</v>
      </c>
    </row>
    <row r="6394" spans="1:4">
      <c r="A6394">
        <v>1.0171950000000001</v>
      </c>
      <c r="B6394">
        <v>3.4225940000000001</v>
      </c>
      <c r="C6394">
        <f>LOG10(1.017195)</f>
        <v>7.4042167437947644E-3</v>
      </c>
      <c r="D6394">
        <f>LOG10(3.422594)</f>
        <v>0.53435538467182508</v>
      </c>
    </row>
    <row r="6395" spans="1:4">
      <c r="A6395">
        <v>1.0205139999999999</v>
      </c>
      <c r="B6395">
        <v>3.5010119999999998</v>
      </c>
      <c r="C6395">
        <f>LOG10(1.020514)</f>
        <v>8.8189669952947036E-3</v>
      </c>
      <c r="D6395">
        <f>LOG10(3.501012)</f>
        <v>0.54419359934682388</v>
      </c>
    </row>
    <row r="6396" spans="1:4">
      <c r="A6396">
        <v>1.0179670000000001</v>
      </c>
      <c r="B6396">
        <v>3.2848769999999998</v>
      </c>
      <c r="C6396">
        <f>LOG10(1.017967)</f>
        <v>7.7336994641978131E-3</v>
      </c>
      <c r="D6396">
        <f>LOG10(3.284877)</f>
        <v>0.51651911233678394</v>
      </c>
    </row>
    <row r="6397" spans="1:4">
      <c r="A6397">
        <v>1.0085789999999999</v>
      </c>
      <c r="B6397">
        <v>3.2829299999999999</v>
      </c>
      <c r="C6397">
        <f>LOG10(1.008579)</f>
        <v>3.7099213096635649E-3</v>
      </c>
      <c r="D6397">
        <f>LOG10(3.28293)</f>
        <v>0.51626162262034281</v>
      </c>
    </row>
    <row r="6398" spans="1:4">
      <c r="A6398">
        <v>1.0231790000000001</v>
      </c>
      <c r="B6398">
        <v>3.4024890000000001</v>
      </c>
      <c r="C6398">
        <f>LOG10(1.023179)</f>
        <v>9.9516179857344778E-3</v>
      </c>
      <c r="D6398">
        <f>LOG10(3.402489)</f>
        <v>0.53179672983510096</v>
      </c>
    </row>
    <row r="6399" spans="1:4">
      <c r="A6399">
        <v>1.0206</v>
      </c>
      <c r="B6399">
        <v>3.4135360000000001</v>
      </c>
      <c r="C6399">
        <f>LOG10(1.0206)</f>
        <v>8.8555639962126283E-3</v>
      </c>
      <c r="D6399">
        <f>LOG10(3.413536)</f>
        <v>0.53320448738951398</v>
      </c>
    </row>
    <row r="6400" spans="1:4">
      <c r="A6400">
        <v>1.0303199999999999</v>
      </c>
      <c r="B6400">
        <v>3.4712160000000001</v>
      </c>
      <c r="C6400">
        <f>LOG10(1.03032)</f>
        <v>1.2972130191044777E-2</v>
      </c>
      <c r="D6400">
        <f>LOG10(3.471216)</f>
        <v>0.54048163893484991</v>
      </c>
    </row>
    <row r="6401" spans="1:4">
      <c r="A6401">
        <v>1.028135</v>
      </c>
      <c r="B6401">
        <v>3.3369960000000001</v>
      </c>
      <c r="C6401">
        <f>LOG10(1.028135)</f>
        <v>1.2050143750382944E-2</v>
      </c>
      <c r="D6401">
        <f>LOG10(3.336996)</f>
        <v>0.52335568607374128</v>
      </c>
    </row>
    <row r="6402" spans="1:4">
      <c r="A6402">
        <v>1.0255669999999999</v>
      </c>
      <c r="B6402">
        <v>3.3866860000000001</v>
      </c>
      <c r="C6402">
        <f>LOG10(1.025567)</f>
        <v>1.0964037966007284E-2</v>
      </c>
      <c r="D6402">
        <f>LOG10(3.386686)</f>
        <v>0.52977493246131413</v>
      </c>
    </row>
    <row r="6403" spans="1:4">
      <c r="A6403">
        <v>1.015997</v>
      </c>
      <c r="B6403">
        <v>3.292252</v>
      </c>
      <c r="C6403">
        <f>LOG10(1.015997)</f>
        <v>6.8924255804110358E-3</v>
      </c>
      <c r="D6403">
        <f>LOG10(3.292252)</f>
        <v>0.5174930701674485</v>
      </c>
    </row>
    <row r="6404" spans="1:4">
      <c r="A6404">
        <v>1.0195149999999999</v>
      </c>
      <c r="B6404">
        <v>3.2303959999999998</v>
      </c>
      <c r="C6404">
        <f>LOG10(1.019515)</f>
        <v>8.39361988297232E-3</v>
      </c>
      <c r="D6404">
        <f>LOG10(3.230396)</f>
        <v>0.50925576383984295</v>
      </c>
    </row>
    <row r="6405" spans="1:4">
      <c r="A6405">
        <v>1.022443</v>
      </c>
      <c r="B6405">
        <v>3.366473</v>
      </c>
      <c r="C6405">
        <f>LOG10(1.022443)</f>
        <v>9.639105945412842E-3</v>
      </c>
      <c r="D6405">
        <f>LOG10(3.366473)</f>
        <v>0.52717513566181839</v>
      </c>
    </row>
    <row r="6406" spans="1:4">
      <c r="A6406">
        <v>1.009558</v>
      </c>
      <c r="B6406">
        <v>3.3059319999999999</v>
      </c>
      <c r="C6406">
        <f>LOG10(1.009558)</f>
        <v>4.1312745984981598E-3</v>
      </c>
      <c r="D6406">
        <f>LOG10(3.305932)</f>
        <v>0.51929391628670185</v>
      </c>
    </row>
    <row r="6407" spans="1:4">
      <c r="A6407">
        <v>1.0105379999999999</v>
      </c>
      <c r="B6407">
        <v>3.1374339999999998</v>
      </c>
      <c r="C6407">
        <f>LOG10(1.010538)</f>
        <v>4.5526492516371302E-3</v>
      </c>
      <c r="D6407">
        <f>LOG10(3.137434)</f>
        <v>0.49657459863657188</v>
      </c>
    </row>
    <row r="6408" spans="1:4">
      <c r="A6408">
        <v>1.0190969999999999</v>
      </c>
      <c r="B6408">
        <v>3.1734900000000001</v>
      </c>
      <c r="C6408">
        <f>LOG10(1.019097)</f>
        <v>8.2155231230399695E-3</v>
      </c>
      <c r="D6408">
        <f>LOG10(3.17349)</f>
        <v>0.50153713414464629</v>
      </c>
    </row>
    <row r="6409" spans="1:4">
      <c r="A6409">
        <v>1.017768</v>
      </c>
      <c r="B6409">
        <v>3.100136</v>
      </c>
      <c r="C6409">
        <f>LOG10(1.017768)</f>
        <v>7.6487919470857564E-3</v>
      </c>
      <c r="D6409">
        <f>LOG10(3.100136)</f>
        <v>0.49138074633555601</v>
      </c>
    </row>
    <row r="6410" spans="1:4">
      <c r="A6410">
        <v>1.028681</v>
      </c>
      <c r="B6410">
        <v>3.0429710000000001</v>
      </c>
      <c r="C6410">
        <f>LOG10(1.028681)</f>
        <v>1.2280718379021659E-2</v>
      </c>
      <c r="D6410">
        <f>LOG10(3.042971)</f>
        <v>0.48329781348206163</v>
      </c>
    </row>
    <row r="6411" spans="1:4">
      <c r="A6411">
        <v>1.0096240000000001</v>
      </c>
      <c r="B6411">
        <v>3.0306250000000001</v>
      </c>
      <c r="C6411">
        <f>LOG10(1.009624)</f>
        <v>4.159665734924569E-3</v>
      </c>
      <c r="D6411">
        <f>LOG10(3.030625)</f>
        <v>0.48153220145959963</v>
      </c>
    </row>
    <row r="6412" spans="1:4">
      <c r="A6412">
        <v>1.0131460000000001</v>
      </c>
      <c r="B6412">
        <v>2.9641630000000001</v>
      </c>
      <c r="C6412">
        <f>LOG10(1.013146)</f>
        <v>5.6720341317388154E-3</v>
      </c>
      <c r="D6412">
        <f>LOG10(2.964163)</f>
        <v>0.47190208191664801</v>
      </c>
    </row>
    <row r="6413" spans="1:4">
      <c r="A6413">
        <v>1.007655</v>
      </c>
      <c r="B6413">
        <v>2.871337</v>
      </c>
      <c r="C6413">
        <f>LOG10(1.007655)</f>
        <v>3.311864209771876E-3</v>
      </c>
      <c r="D6413">
        <f>LOG10(2.871337)</f>
        <v>0.45808416729668561</v>
      </c>
    </row>
    <row r="6414" spans="1:4">
      <c r="A6414">
        <v>1.0075430000000001</v>
      </c>
      <c r="B6414">
        <v>2.981598</v>
      </c>
      <c r="C6414">
        <f>LOG10(1.007543)</f>
        <v>3.2635900629900722E-3</v>
      </c>
      <c r="D6414">
        <f>LOG10(2.981598)</f>
        <v>0.4744490884292904</v>
      </c>
    </row>
    <row r="6415" spans="1:4">
      <c r="A6415">
        <v>1.0191190000000001</v>
      </c>
      <c r="B6415">
        <v>2.9527100000000002</v>
      </c>
      <c r="C6415">
        <f>LOG10(1.019119)</f>
        <v>8.2248984577467169E-3</v>
      </c>
      <c r="D6415">
        <f>LOG10(2.95271)</f>
        <v>0.47022079488773189</v>
      </c>
    </row>
    <row r="6416" spans="1:4">
      <c r="A6416">
        <v>1.02582</v>
      </c>
      <c r="B6416">
        <v>2.9502980000000001</v>
      </c>
      <c r="C6416">
        <f>LOG10(1.02582)</f>
        <v>1.1071162077136626E-2</v>
      </c>
      <c r="D6416">
        <f>LOG10(2.950298)</f>
        <v>0.46986588486604536</v>
      </c>
    </row>
    <row r="6417" spans="1:4">
      <c r="A6417">
        <v>1.017417</v>
      </c>
      <c r="B6417">
        <v>2.9795090000000002</v>
      </c>
      <c r="C6417">
        <f>LOG10(1.017417)</f>
        <v>7.4989899736441013E-3</v>
      </c>
      <c r="D6417">
        <f>LOG10(2.979509)</f>
        <v>0.47414470160656286</v>
      </c>
    </row>
    <row r="6418" spans="1:4">
      <c r="A6418">
        <v>1.0187539999999999</v>
      </c>
      <c r="B6418">
        <v>3.0164650000000002</v>
      </c>
      <c r="C6418">
        <f>LOG10(1.018754)</f>
        <v>8.0693269500130855E-3</v>
      </c>
      <c r="D6418">
        <f>LOG10(3.016465)</f>
        <v>0.47949829056903159</v>
      </c>
    </row>
    <row r="6419" spans="1:4">
      <c r="A6419">
        <v>1.0263629999999999</v>
      </c>
      <c r="B6419">
        <v>3.075561</v>
      </c>
      <c r="C6419">
        <f>LOG10(1.026363)</f>
        <v>1.1300987496387091E-2</v>
      </c>
      <c r="D6419">
        <f>LOG10(3.075561)</f>
        <v>0.48792434514636274</v>
      </c>
    </row>
    <row r="6420" spans="1:4">
      <c r="A6420">
        <v>1.0141420000000001</v>
      </c>
      <c r="B6420">
        <v>2.9656250000000002</v>
      </c>
      <c r="C6420">
        <f>LOG10(1.014142)</f>
        <v>6.0987690986286916E-3</v>
      </c>
      <c r="D6420">
        <f>LOG10(2.965625)</f>
        <v>0.47211623410738673</v>
      </c>
    </row>
    <row r="6421" spans="1:4">
      <c r="A6421">
        <v>1.0162990000000001</v>
      </c>
      <c r="B6421">
        <v>3.1467179999999999</v>
      </c>
      <c r="C6421">
        <f>LOG10(1.016299)</f>
        <v>7.0214982494515672E-3</v>
      </c>
      <c r="D6421">
        <f>LOG10(3.146718)</f>
        <v>0.49785782440941101</v>
      </c>
    </row>
    <row r="6422" spans="1:4">
      <c r="A6422">
        <v>1.0171220000000001</v>
      </c>
      <c r="B6422">
        <v>3.2503009999999999</v>
      </c>
      <c r="C6422">
        <f>LOG10(1.017122)</f>
        <v>7.3730480545565174E-3</v>
      </c>
      <c r="D6422">
        <f>LOG10(3.250301)</f>
        <v>0.5119235814668629</v>
      </c>
    </row>
    <row r="6423" spans="1:4">
      <c r="A6423">
        <v>1.026764</v>
      </c>
      <c r="B6423">
        <v>3.3202069999999999</v>
      </c>
      <c r="C6423">
        <f>LOG10(1.026764)</f>
        <v>1.1470633202140012E-2</v>
      </c>
      <c r="D6423">
        <f>LOG10(3.320207)</f>
        <v>0.52116516085924636</v>
      </c>
    </row>
    <row r="6424" spans="1:4">
      <c r="A6424">
        <v>1.0160499999999999</v>
      </c>
      <c r="B6424">
        <v>3.1274190000000002</v>
      </c>
      <c r="C6424">
        <f>LOG10(1.01605)</f>
        <v>6.9150801819493173E-3</v>
      </c>
      <c r="D6424">
        <f>LOG10(3.127419)</f>
        <v>0.49518607030515943</v>
      </c>
    </row>
    <row r="6425" spans="1:4">
      <c r="A6425">
        <v>1.021692</v>
      </c>
      <c r="B6425">
        <v>3.2187070000000002</v>
      </c>
      <c r="C6425">
        <f>LOG10(1.021692)</f>
        <v>9.319992804075472E-3</v>
      </c>
      <c r="D6425">
        <f>LOG10(3.218707)</f>
        <v>0.50768144450954977</v>
      </c>
    </row>
    <row r="6426" spans="1:4">
      <c r="A6426">
        <v>1.0192380000000001</v>
      </c>
      <c r="B6426">
        <v>3.1407929999999999</v>
      </c>
      <c r="C6426">
        <f>LOG10(1.019238)</f>
        <v>8.2756069876118912E-3</v>
      </c>
      <c r="D6426">
        <f>LOG10(3.140793)</f>
        <v>0.49703931432904574</v>
      </c>
    </row>
    <row r="6427" spans="1:4">
      <c r="A6427">
        <v>1.0228489999999999</v>
      </c>
      <c r="B6427">
        <v>3.2035990000000001</v>
      </c>
      <c r="C6427">
        <f>LOG10(1.022849)</f>
        <v>9.8115249075645915E-3</v>
      </c>
      <c r="D6427">
        <f>LOG10(3.203599)</f>
        <v>0.50563814942648011</v>
      </c>
    </row>
    <row r="6428" spans="1:4">
      <c r="A6428">
        <v>1.010818</v>
      </c>
      <c r="B6428">
        <v>3.2701440000000002</v>
      </c>
      <c r="C6428">
        <f>LOG10(1.010818)</f>
        <v>4.6729669549122645E-3</v>
      </c>
      <c r="D6428">
        <f>LOG10(3.270144)</f>
        <v>0.51456687713381577</v>
      </c>
    </row>
    <row r="6429" spans="1:4">
      <c r="A6429">
        <v>1.0240210000000001</v>
      </c>
      <c r="B6429">
        <v>3.0658590000000001</v>
      </c>
      <c r="C6429">
        <f>LOG10(1.024021)</f>
        <v>1.0308862978292191E-2</v>
      </c>
      <c r="D6429">
        <f>LOG10(3.065859)</f>
        <v>0.48655217761227387</v>
      </c>
    </row>
    <row r="6430" spans="1:4">
      <c r="A6430">
        <v>1.0173719999999999</v>
      </c>
      <c r="B6430">
        <v>3.2973170000000001</v>
      </c>
      <c r="C6430">
        <f>LOG10(1.017372)</f>
        <v>7.4797808549700142E-3</v>
      </c>
      <c r="D6430">
        <f>LOG10(3.297317)</f>
        <v>0.51816070168751882</v>
      </c>
    </row>
    <row r="6431" spans="1:4">
      <c r="A6431">
        <v>1.040276</v>
      </c>
      <c r="B6431">
        <v>3.2909899999999999</v>
      </c>
      <c r="C6431">
        <f>LOG10(1.040276)</f>
        <v>1.7148579082067381E-2</v>
      </c>
      <c r="D6431">
        <f>LOG10(3.29099)</f>
        <v>0.51732656264945798</v>
      </c>
    </row>
    <row r="6432" spans="1:4">
      <c r="A6432">
        <v>1.0421320000000001</v>
      </c>
      <c r="B6432">
        <v>3.3341090000000002</v>
      </c>
      <c r="C6432">
        <f>LOG10(1.042132)</f>
        <v>1.7922731670654651E-2</v>
      </c>
      <c r="D6432">
        <f>LOG10(3.334109)</f>
        <v>0.52297979384973137</v>
      </c>
    </row>
    <row r="6433" spans="1:4">
      <c r="A6433">
        <v>1.0104420000000001</v>
      </c>
      <c r="B6433">
        <v>3.2166359999999998</v>
      </c>
      <c r="C6433">
        <f>LOG10(1.010442)</f>
        <v>4.5113897930635508E-3</v>
      </c>
      <c r="D6433">
        <f>LOG10(3.216636)</f>
        <v>0.5074019181803171</v>
      </c>
    </row>
    <row r="6434" spans="1:4">
      <c r="A6434">
        <v>1.0287500000000001</v>
      </c>
      <c r="B6434">
        <v>3.2817750000000001</v>
      </c>
      <c r="C6434">
        <f>LOG10(1.02875)</f>
        <v>1.2309848220326276E-2</v>
      </c>
      <c r="D6434">
        <f>LOG10(3.281775)</f>
        <v>0.51610880230876011</v>
      </c>
    </row>
    <row r="6435" spans="1:4">
      <c r="A6435">
        <v>1.020521</v>
      </c>
      <c r="B6435">
        <v>3.3200989999999999</v>
      </c>
      <c r="C6435">
        <f>LOG10(1.020521)</f>
        <v>8.821945936247088E-3</v>
      </c>
      <c r="D6435">
        <f>LOG10(3.320099)</f>
        <v>0.52115103385845762</v>
      </c>
    </row>
    <row r="6436" spans="1:4">
      <c r="A6436">
        <v>1.0130509999999999</v>
      </c>
      <c r="B6436">
        <v>3.3269799999999998</v>
      </c>
      <c r="C6436">
        <f>LOG10(1.013051)</f>
        <v>5.6313095863850145E-3</v>
      </c>
      <c r="D6436">
        <f>LOG10(3.32698)</f>
        <v>0.52205019013370213</v>
      </c>
    </row>
    <row r="6437" spans="1:4">
      <c r="A6437">
        <v>1.0197890000000001</v>
      </c>
      <c r="B6437">
        <v>3.350806</v>
      </c>
      <c r="C6437">
        <f>LOG10(1.019789)</f>
        <v>8.5103231197213285E-3</v>
      </c>
      <c r="D6437">
        <f>LOG10(3.350806)</f>
        <v>0.52514928442481978</v>
      </c>
    </row>
    <row r="6438" spans="1:4">
      <c r="A6438">
        <v>1.0377240000000001</v>
      </c>
      <c r="B6438">
        <v>3.3485399999999998</v>
      </c>
      <c r="C6438">
        <f>LOG10(1.037724)</f>
        <v>1.6081861011787074E-2</v>
      </c>
      <c r="D6438">
        <f>LOG10(3.34854)</f>
        <v>0.52485549116991914</v>
      </c>
    </row>
    <row r="6439" spans="1:4">
      <c r="A6439">
        <v>1.0236240000000001</v>
      </c>
      <c r="B6439">
        <v>3.1394820000000001</v>
      </c>
      <c r="C6439">
        <f>LOG10(1.023624)</f>
        <v>1.0140459850332082E-2</v>
      </c>
      <c r="D6439">
        <f>LOG10(3.139482)</f>
        <v>0.49685799740453362</v>
      </c>
    </row>
    <row r="6440" spans="1:4">
      <c r="A6440">
        <v>1.02352</v>
      </c>
      <c r="B6440">
        <v>3.2494990000000001</v>
      </c>
      <c r="C6440">
        <f>LOG10(1.02352)</f>
        <v>1.0096333373487424E-2</v>
      </c>
      <c r="D6440">
        <f>LOG10(3.249499)</f>
        <v>0.51181640765343672</v>
      </c>
    </row>
    <row r="6441" spans="1:4">
      <c r="A6441">
        <v>1.025293</v>
      </c>
      <c r="B6441">
        <v>3.2284489999999999</v>
      </c>
      <c r="C6441">
        <f>LOG10(1.025293)</f>
        <v>1.0847992318084504E-2</v>
      </c>
      <c r="D6441">
        <f>LOG10(3.228449)</f>
        <v>0.50899393022040229</v>
      </c>
    </row>
    <row r="6442" spans="1:4">
      <c r="A6442">
        <v>1.010005</v>
      </c>
      <c r="B6442">
        <v>3.397062</v>
      </c>
      <c r="C6442">
        <f>LOG10(1.010005)</f>
        <v>4.3235237500035845E-3</v>
      </c>
      <c r="D6442">
        <f>LOG10(3.397062)</f>
        <v>0.53110347327925966</v>
      </c>
    </row>
    <row r="6443" spans="1:4">
      <c r="A6443">
        <v>1.0138860000000001</v>
      </c>
      <c r="B6443">
        <v>3.4395799999999999</v>
      </c>
      <c r="C6443">
        <f>LOG10(1.013886)</f>
        <v>5.9891262456130846E-3</v>
      </c>
      <c r="D6443">
        <f>LOG10(3.43958)</f>
        <v>0.53650541500803761</v>
      </c>
    </row>
    <row r="6444" spans="1:4">
      <c r="A6444">
        <v>1.0127520000000001</v>
      </c>
      <c r="B6444">
        <v>3.3627760000000002</v>
      </c>
      <c r="C6444">
        <f>LOG10(1.012752)</f>
        <v>5.5031095086559029E-3</v>
      </c>
      <c r="D6444">
        <f>LOG10(3.362776)</f>
        <v>0.52669793921355634</v>
      </c>
    </row>
    <row r="6445" spans="1:4">
      <c r="A6445">
        <v>1.0203500000000001</v>
      </c>
      <c r="B6445">
        <v>3.2832859999999999</v>
      </c>
      <c r="C6445">
        <f>LOG10(1.02035)</f>
        <v>8.7491688164985006E-3</v>
      </c>
      <c r="D6445">
        <f>LOG10(3.283286)</f>
        <v>0.51630871483775054</v>
      </c>
    </row>
    <row r="6446" spans="1:4">
      <c r="A6446">
        <v>1.0098229999999999</v>
      </c>
      <c r="B6446">
        <v>3.3145539999999998</v>
      </c>
      <c r="C6446">
        <f>LOG10(1.009823)</f>
        <v>4.2452580799362668E-3</v>
      </c>
      <c r="D6446">
        <f>LOG10(3.314554)</f>
        <v>0.52042509884336197</v>
      </c>
    </row>
    <row r="6447" spans="1:4">
      <c r="A6447">
        <v>1.0143279999999999</v>
      </c>
      <c r="B6447">
        <v>3.4856739999999999</v>
      </c>
      <c r="C6447">
        <f>LOG10(1.014328)</f>
        <v>6.1784141255310466E-3</v>
      </c>
      <c r="D6447">
        <f>LOG10(3.485674)</f>
        <v>0.54228676699038958</v>
      </c>
    </row>
    <row r="6448" spans="1:4">
      <c r="A6448">
        <v>1.013566</v>
      </c>
      <c r="B6448">
        <v>3.661114</v>
      </c>
      <c r="C6448">
        <f>LOG10(1.013566)</f>
        <v>5.852033741955193E-3</v>
      </c>
      <c r="D6448">
        <f>LOG10(3.661114)</f>
        <v>0.56361325218120684</v>
      </c>
    </row>
    <row r="6449" spans="1:4">
      <c r="A6449">
        <v>1.010043</v>
      </c>
      <c r="B6449">
        <v>3.5006949999999999</v>
      </c>
      <c r="C6449">
        <f>LOG10(1.010043)</f>
        <v>4.339863154130875E-3</v>
      </c>
      <c r="D6449">
        <f>LOG10(3.500695)</f>
        <v>0.54415427426485252</v>
      </c>
    </row>
    <row r="6450" spans="1:4">
      <c r="A6450">
        <v>1.012356</v>
      </c>
      <c r="B6450">
        <v>3.2363400000000002</v>
      </c>
      <c r="C6450">
        <f>LOG10(1.012356)</f>
        <v>5.3332611677024584E-3</v>
      </c>
      <c r="D6450">
        <f>LOG10(3.23634)</f>
        <v>0.5100541409894358</v>
      </c>
    </row>
    <row r="6451" spans="1:4">
      <c r="A6451">
        <v>1.017361</v>
      </c>
      <c r="B6451">
        <v>3.4020009999999998</v>
      </c>
      <c r="C6451">
        <f>LOG10(1.017361)</f>
        <v>7.475085163396746E-3</v>
      </c>
      <c r="D6451">
        <f>LOG10(3.402001)</f>
        <v>0.53173443693510924</v>
      </c>
    </row>
    <row r="6452" spans="1:4">
      <c r="A6452">
        <v>1.0220640000000001</v>
      </c>
      <c r="B6452">
        <v>3.3972159999999998</v>
      </c>
      <c r="C6452">
        <f>LOG10(1.022064)</f>
        <v>9.4780914705035451E-3</v>
      </c>
      <c r="D6452">
        <f>LOG10(3.397216)</f>
        <v>0.53112316083111566</v>
      </c>
    </row>
    <row r="6453" spans="1:4">
      <c r="A6453">
        <v>1.0131220000000001</v>
      </c>
      <c r="B6453">
        <v>3.4997470000000002</v>
      </c>
      <c r="C6453">
        <f>LOG10(1.013122)</f>
        <v>5.6617461860512999E-3</v>
      </c>
      <c r="D6453">
        <f>LOG10(3.499747)</f>
        <v>0.54403664992874312</v>
      </c>
    </row>
    <row r="6454" spans="1:4">
      <c r="A6454">
        <v>1.016548</v>
      </c>
      <c r="B6454">
        <v>3.4096980000000001</v>
      </c>
      <c r="C6454">
        <f>LOG10(1.016548)</f>
        <v>7.1278902470143001E-3</v>
      </c>
      <c r="D6454">
        <f>LOG10(3.409698)</f>
        <v>0.53271591484536962</v>
      </c>
    </row>
    <row r="6455" spans="1:4">
      <c r="A6455">
        <v>1.0224519999999999</v>
      </c>
      <c r="B6455">
        <v>3.343397</v>
      </c>
      <c r="C6455">
        <f>LOG10(1.022452)</f>
        <v>9.6429287826119373E-3</v>
      </c>
      <c r="D6455">
        <f>LOG10(3.343397)</f>
        <v>0.52418794843597483</v>
      </c>
    </row>
    <row r="6456" spans="1:4">
      <c r="A6456">
        <v>1.0797620000000001</v>
      </c>
      <c r="B6456">
        <v>3.3792420000000001</v>
      </c>
      <c r="C6456">
        <f>LOG10(1.079762)</f>
        <v>3.33280393042302E-2</v>
      </c>
      <c r="D6456">
        <f>LOG10(3.379242)</f>
        <v>0.5288192943204002</v>
      </c>
    </row>
    <row r="6457" spans="1:4">
      <c r="A6457">
        <v>1.113809</v>
      </c>
      <c r="B6457">
        <v>3.3349829999999998</v>
      </c>
      <c r="C6457">
        <f>LOG10(1.113809)</f>
        <v>4.681072283237684E-2</v>
      </c>
      <c r="D6457">
        <f>LOG10(3.334983)</f>
        <v>0.52309362445196517</v>
      </c>
    </row>
    <row r="6458" spans="1:4">
      <c r="A6458">
        <v>1.1115520000000001</v>
      </c>
      <c r="B6458">
        <v>3.410984</v>
      </c>
      <c r="C6458">
        <f>LOG10(1.111552)</f>
        <v>4.5929784430250843E-2</v>
      </c>
      <c r="D6458">
        <f>LOG10(3.410984)</f>
        <v>0.53287968225465387</v>
      </c>
    </row>
    <row r="6459" spans="1:4">
      <c r="A6459">
        <v>1.1339520000000001</v>
      </c>
      <c r="B6459">
        <v>3.2603759999999999</v>
      </c>
      <c r="C6459">
        <f>LOG10(1.133952)</f>
        <v>5.4594671332609271E-2</v>
      </c>
      <c r="D6459">
        <f>LOG10(3.260376)</f>
        <v>0.5132676875860136</v>
      </c>
    </row>
    <row r="6460" spans="1:4">
      <c r="A6460">
        <v>1.1659919999999999</v>
      </c>
      <c r="B6460">
        <v>3.3576380000000001</v>
      </c>
      <c r="C6460">
        <f>LOG10(1.165992)</f>
        <v>6.6695570690770409E-2</v>
      </c>
      <c r="D6460">
        <f>LOG10(3.357638)</f>
        <v>0.52603387135024227</v>
      </c>
    </row>
    <row r="6461" spans="1:4">
      <c r="A6461">
        <v>1.1337740000000001</v>
      </c>
      <c r="B6461">
        <v>3.4837400000000001</v>
      </c>
      <c r="C6461">
        <f>LOG10(1.133774)</f>
        <v>5.4526493415226356E-2</v>
      </c>
      <c r="D6461">
        <f>LOG10(3.48374)</f>
        <v>0.54204573509027276</v>
      </c>
    </row>
    <row r="6462" spans="1:4">
      <c r="A6462">
        <v>1.0851599999999999</v>
      </c>
      <c r="B6462">
        <v>3.0180030000000002</v>
      </c>
      <c r="C6462">
        <f>LOG10(1.08516)</f>
        <v>3.5493776888819321E-2</v>
      </c>
      <c r="D6462">
        <f>LOG10(3.018003)</f>
        <v>0.47971966714361286</v>
      </c>
    </row>
    <row r="6463" spans="1:4">
      <c r="A6463">
        <v>1.1122609999999999</v>
      </c>
      <c r="B6463">
        <v>3.0611030000000001</v>
      </c>
      <c r="C6463">
        <f>LOG10(1.112261)</f>
        <v>4.6206709511723294E-2</v>
      </c>
      <c r="D6463">
        <f>LOG10(3.061103)</f>
        <v>0.48587794298480635</v>
      </c>
    </row>
    <row r="6464" spans="1:4">
      <c r="A6464">
        <v>1.090703</v>
      </c>
      <c r="B6464">
        <v>3.2720639999999999</v>
      </c>
      <c r="C6464">
        <f>LOG10(1.090703)</f>
        <v>3.770650767267273E-2</v>
      </c>
      <c r="D6464">
        <f>LOG10(3.272064)</f>
        <v>0.51482178967380043</v>
      </c>
    </row>
    <row r="6465" spans="1:4">
      <c r="A6465">
        <v>1.1123639999999999</v>
      </c>
      <c r="B6465">
        <v>3.5293760000000001</v>
      </c>
      <c r="C6465">
        <f>LOG10(1.112364)</f>
        <v>4.624692512709036E-2</v>
      </c>
      <c r="D6465">
        <f>LOG10(3.529376)</f>
        <v>0.54769792813232199</v>
      </c>
    </row>
    <row r="6466" spans="1:4">
      <c r="A6466">
        <v>1.0947819999999999</v>
      </c>
      <c r="B6466">
        <v>3.38991</v>
      </c>
      <c r="C6466">
        <f>LOG10(1.094782)</f>
        <v>3.9327648287831626E-2</v>
      </c>
      <c r="D6466">
        <f>LOG10(3.38991)</f>
        <v>0.53018816810802971</v>
      </c>
    </row>
    <row r="6467" spans="1:4">
      <c r="A6467">
        <v>1.0819920000000001</v>
      </c>
      <c r="B6467">
        <v>3.4623020000000002</v>
      </c>
      <c r="C6467">
        <f>LOG10(1.081992)</f>
        <v>3.4224049708906031E-2</v>
      </c>
      <c r="D6467">
        <f>LOG10(3.462302)</f>
        <v>0.53936494661657708</v>
      </c>
    </row>
    <row r="6468" spans="1:4">
      <c r="A6468">
        <v>1.109057</v>
      </c>
      <c r="B6468">
        <v>3.5425589999999998</v>
      </c>
      <c r="C6468">
        <f>LOG10(1.109057)</f>
        <v>4.4953867293723901E-2</v>
      </c>
      <c r="D6468">
        <f>LOG10(3.542559)</f>
        <v>0.54931709199248524</v>
      </c>
    </row>
    <row r="6469" spans="1:4">
      <c r="A6469">
        <v>1.049636</v>
      </c>
      <c r="B6469">
        <v>4.1983119999999996</v>
      </c>
      <c r="C6469">
        <f>LOG10(1.049636)</f>
        <v>2.1038717547239377E-2</v>
      </c>
      <c r="D6469">
        <f>LOG10(4.198312)</f>
        <v>0.62307471029291639</v>
      </c>
    </row>
    <row r="6470" spans="1:4">
      <c r="A6470">
        <v>1.0577799999999999</v>
      </c>
      <c r="B6470">
        <v>3.92808</v>
      </c>
      <c r="C6470">
        <f>LOG10(1.05778)</f>
        <v>2.4395351327556405E-2</v>
      </c>
      <c r="D6470">
        <f>LOG10(3.92808)</f>
        <v>0.59418032412630539</v>
      </c>
    </row>
    <row r="6471" spans="1:4">
      <c r="A6471">
        <v>1.100606</v>
      </c>
      <c r="B6471">
        <v>3.7906770000000001</v>
      </c>
      <c r="C6471">
        <f>LOG10(1.100606)</f>
        <v>4.1631876056264977E-2</v>
      </c>
      <c r="D6471">
        <f>LOG10(3.790677)</f>
        <v>0.57871678018113648</v>
      </c>
    </row>
    <row r="6472" spans="1:4">
      <c r="A6472">
        <v>1.1328670000000001</v>
      </c>
      <c r="B6472">
        <v>3.5092729999999999</v>
      </c>
      <c r="C6472">
        <f>LOG10(1.132867)</f>
        <v>5.4178926141793607E-2</v>
      </c>
      <c r="D6472">
        <f>LOG10(3.509273)</f>
        <v>0.54521715498705758</v>
      </c>
    </row>
    <row r="6473" spans="1:4">
      <c r="A6473">
        <v>1.1006899999999999</v>
      </c>
      <c r="B6473">
        <v>3.4670019999999999</v>
      </c>
      <c r="C6473">
        <f>LOG10(1.10069)</f>
        <v>4.1665020836882907E-2</v>
      </c>
      <c r="D6473">
        <f>LOG10(3.467002)</f>
        <v>0.53995409218674373</v>
      </c>
    </row>
    <row r="6474" spans="1:4">
      <c r="A6474">
        <v>1.093351</v>
      </c>
      <c r="B6474">
        <v>3.5559210000000001</v>
      </c>
      <c r="C6474">
        <f>LOG10(1.093351)</f>
        <v>3.8759606498595119E-2</v>
      </c>
      <c r="D6474">
        <f>LOG10(3.555921)</f>
        <v>0.55095210391651617</v>
      </c>
    </row>
    <row r="6475" spans="1:4">
      <c r="A6475">
        <v>1.0933919999999999</v>
      </c>
      <c r="B6475">
        <v>3.5037530000000001</v>
      </c>
      <c r="C6475">
        <f>LOG10(1.093392)</f>
        <v>3.8775891973166297E-2</v>
      </c>
      <c r="D6475">
        <f>LOG10(3.503753)</f>
        <v>0.54453348262218138</v>
      </c>
    </row>
    <row r="6476" spans="1:4">
      <c r="A6476">
        <v>1.1162350000000001</v>
      </c>
      <c r="B6476">
        <v>3.6531899999999999</v>
      </c>
      <c r="C6476">
        <f>LOG10(1.116235)</f>
        <v>4.7755635873311657E-2</v>
      </c>
      <c r="D6476">
        <f>LOG10(3.65319)</f>
        <v>0.56267226016858907</v>
      </c>
    </row>
    <row r="6477" spans="1:4">
      <c r="A6477">
        <v>1.1037269999999999</v>
      </c>
      <c r="B6477">
        <v>3.3739469999999998</v>
      </c>
      <c r="C6477">
        <f>LOG10(1.103727)</f>
        <v>4.2861666640294491E-2</v>
      </c>
      <c r="D6477">
        <f>LOG10(3.373947)</f>
        <v>0.52813825614631116</v>
      </c>
    </row>
    <row r="6478" spans="1:4">
      <c r="A6478">
        <v>1.1094999999999999</v>
      </c>
      <c r="B6478">
        <v>3.6199029999999999</v>
      </c>
      <c r="C6478">
        <f>LOG10(1.1095)</f>
        <v>4.5127306568027103E-2</v>
      </c>
      <c r="D6478">
        <f>LOG10(3.619903)</f>
        <v>0.55869693320466918</v>
      </c>
    </row>
    <row r="6479" spans="1:4">
      <c r="A6479">
        <v>1.091386</v>
      </c>
      <c r="B6479">
        <v>3.5550039999999998</v>
      </c>
      <c r="C6479">
        <f>LOG10(1.091386)</f>
        <v>3.7978378472467531E-2</v>
      </c>
      <c r="D6479">
        <f>LOG10(3.555004)</f>
        <v>0.55084009372315512</v>
      </c>
    </row>
    <row r="6480" spans="1:4">
      <c r="A6480">
        <v>1.1093569999999999</v>
      </c>
      <c r="B6480">
        <v>3.7687279999999999</v>
      </c>
      <c r="C6480">
        <f>LOG10(1.109357)</f>
        <v>4.5071328097131366E-2</v>
      </c>
      <c r="D6480">
        <f>LOG10(3.768728)</f>
        <v>0.57619479429179166</v>
      </c>
    </row>
    <row r="6481" spans="1:4">
      <c r="A6481">
        <v>1.0852759999999999</v>
      </c>
      <c r="B6481">
        <v>3.6937000000000002</v>
      </c>
      <c r="C6481">
        <f>LOG10(1.085276)</f>
        <v>3.5540199045426331E-2</v>
      </c>
      <c r="D6481">
        <f>LOG10(3.6937)</f>
        <v>0.56746161941082884</v>
      </c>
    </row>
    <row r="6482" spans="1:4">
      <c r="A6482">
        <v>1.1410359999999999</v>
      </c>
      <c r="B6482">
        <v>3.5982340000000002</v>
      </c>
      <c r="C6482">
        <f>LOG10(1.141036)</f>
        <v>5.7299346744864865E-2</v>
      </c>
      <c r="D6482">
        <f>LOG10(3.598234)</f>
        <v>0.55608940292400266</v>
      </c>
    </row>
    <row r="6483" spans="1:4">
      <c r="A6483">
        <v>1.1442460000000001</v>
      </c>
      <c r="B6483">
        <v>3.2947090000000001</v>
      </c>
      <c r="C6483">
        <f>LOG10(1.144246)</f>
        <v>5.8519402916279294E-2</v>
      </c>
      <c r="D6483">
        <f>LOG10(3.294709)</f>
        <v>0.51781706224559365</v>
      </c>
    </row>
    <row r="6484" spans="1:4">
      <c r="A6484">
        <v>1.1010789999999999</v>
      </c>
      <c r="B6484">
        <v>3.2570960000000002</v>
      </c>
      <c r="C6484">
        <f>LOG10(1.101079)</f>
        <v>4.1818479764879582E-2</v>
      </c>
      <c r="D6484">
        <f>LOG10(3.257096)</f>
        <v>0.51283055919607834</v>
      </c>
    </row>
    <row r="6485" spans="1:4">
      <c r="A6485">
        <v>1.0801829999999999</v>
      </c>
      <c r="B6485">
        <v>3.209225</v>
      </c>
      <c r="C6485">
        <f>LOG10(1.080183)</f>
        <v>3.3497338040259651E-2</v>
      </c>
      <c r="D6485">
        <f>LOG10(3.209225)</f>
        <v>0.50640016671622268</v>
      </c>
    </row>
    <row r="6486" spans="1:4">
      <c r="A6486">
        <v>1.0848169999999999</v>
      </c>
      <c r="B6486">
        <v>3.5687099999999998</v>
      </c>
      <c r="C6486">
        <f>LOG10(1.084817)</f>
        <v>3.5356482338201115E-2</v>
      </c>
      <c r="D6486">
        <f>LOG10(3.56871)</f>
        <v>0.55251125781363408</v>
      </c>
    </row>
    <row r="6487" spans="1:4">
      <c r="A6487">
        <v>1.0695319999999999</v>
      </c>
      <c r="B6487">
        <v>3.6451199999999999</v>
      </c>
      <c r="C6487">
        <f>LOG10(1.069532)</f>
        <v>2.919378303145136E-2</v>
      </c>
      <c r="D6487">
        <f>LOG10(3.64512)</f>
        <v>0.56171183017936555</v>
      </c>
    </row>
    <row r="6488" spans="1:4">
      <c r="A6488">
        <v>1.0721270000000001</v>
      </c>
      <c r="B6488">
        <v>3.5940180000000002</v>
      </c>
      <c r="C6488">
        <f>LOG10(1.072127)</f>
        <v>3.0246233241383272E-2</v>
      </c>
      <c r="D6488">
        <f>LOG10(3.594018)</f>
        <v>0.55558024786508031</v>
      </c>
    </row>
    <row r="6489" spans="1:4">
      <c r="A6489">
        <v>1.0952539999999999</v>
      </c>
      <c r="B6489">
        <v>3.5824889999999998</v>
      </c>
      <c r="C6489">
        <f>LOG10(1.095254)</f>
        <v>3.9514847949053813E-2</v>
      </c>
      <c r="D6489">
        <f>LOG10(3.582489)</f>
        <v>0.55418486557415936</v>
      </c>
    </row>
    <row r="6490" spans="1:4">
      <c r="A6490">
        <v>1.0533600000000001</v>
      </c>
      <c r="B6490">
        <v>3.44624</v>
      </c>
      <c r="C6490">
        <f>LOG10(1.05336)</f>
        <v>2.2576822556579324E-2</v>
      </c>
      <c r="D6490">
        <f>LOG10(3.44624)</f>
        <v>0.53734551891764004</v>
      </c>
    </row>
    <row r="6491" spans="1:4">
      <c r="A6491">
        <v>1.091224</v>
      </c>
      <c r="B6491">
        <v>3.299712</v>
      </c>
      <c r="C6491">
        <f>LOG10(1.091224)</f>
        <v>3.7913909138782148E-2</v>
      </c>
      <c r="D6491">
        <f>LOG10(3.299712)</f>
        <v>0.51847603616000781</v>
      </c>
    </row>
    <row r="6492" spans="1:4">
      <c r="A6492">
        <v>1.088524</v>
      </c>
      <c r="B6492">
        <v>3.3726940000000001</v>
      </c>
      <c r="C6492">
        <f>LOG10(1.088524)</f>
        <v>3.6838008896322959E-2</v>
      </c>
      <c r="D6492">
        <f>LOG10(3.372694)</f>
        <v>0.52797694002112194</v>
      </c>
    </row>
    <row r="6493" spans="1:4">
      <c r="A6493">
        <v>1.0848450000000001</v>
      </c>
      <c r="B6493">
        <v>3.4158430000000002</v>
      </c>
      <c r="C6493">
        <f>LOG10(1.084845)</f>
        <v>3.536769168370657E-2</v>
      </c>
      <c r="D6493">
        <f>LOG10(3.415843)</f>
        <v>0.53349790130250996</v>
      </c>
    </row>
    <row r="6494" spans="1:4">
      <c r="A6494">
        <v>1.079315</v>
      </c>
      <c r="B6494">
        <v>3.1509689999999999</v>
      </c>
      <c r="C6494">
        <f>LOG10(1.079315)</f>
        <v>3.3148212798566508E-2</v>
      </c>
      <c r="D6494">
        <f>LOG10(3.150969)</f>
        <v>0.49844413050019271</v>
      </c>
    </row>
    <row r="6495" spans="1:4">
      <c r="A6495">
        <v>1.0997539999999999</v>
      </c>
      <c r="B6495">
        <v>3.2528419999999998</v>
      </c>
      <c r="C6495">
        <f>LOG10(1.099754)</f>
        <v>4.1295550257691972E-2</v>
      </c>
      <c r="D6495">
        <f>LOG10(3.252842)</f>
        <v>0.51226296884760381</v>
      </c>
    </row>
    <row r="6496" spans="1:4">
      <c r="A6496">
        <v>1.095831</v>
      </c>
      <c r="B6496">
        <v>3.0665629999999999</v>
      </c>
      <c r="C6496">
        <f>LOG10(1.095831)</f>
        <v>3.9743582043669748E-2</v>
      </c>
      <c r="D6496">
        <f>LOG10(3.066563)</f>
        <v>0.48665189133602049</v>
      </c>
    </row>
    <row r="6497" spans="1:4">
      <c r="A6497">
        <v>1.1088100000000001</v>
      </c>
      <c r="B6497">
        <v>2.9418790000000001</v>
      </c>
      <c r="C6497">
        <f>LOG10(1.10881)</f>
        <v>4.4857134047344802E-2</v>
      </c>
      <c r="D6497">
        <f>LOG10(2.941879)</f>
        <v>0.46862480615052449</v>
      </c>
    </row>
    <row r="6498" spans="1:4">
      <c r="A6498">
        <v>1.07819</v>
      </c>
      <c r="B6498">
        <v>3.0244819999999999</v>
      </c>
      <c r="C6498">
        <f>LOG10(1.07819)</f>
        <v>3.2695299515471322E-2</v>
      </c>
      <c r="D6498">
        <f>LOG10(3.024482)</f>
        <v>0.48065100417683415</v>
      </c>
    </row>
    <row r="6499" spans="1:4">
      <c r="A6499">
        <v>1.086387</v>
      </c>
      <c r="B6499">
        <v>3.0153430000000001</v>
      </c>
      <c r="C6499">
        <f>LOG10(1.086387)</f>
        <v>3.5984560082556467E-2</v>
      </c>
      <c r="D6499">
        <f>LOG10(3.015343)</f>
        <v>0.47933672096525259</v>
      </c>
    </row>
    <row r="6500" spans="1:4">
      <c r="A6500">
        <v>1.07389</v>
      </c>
      <c r="B6500">
        <v>3.06792</v>
      </c>
      <c r="C6500">
        <f>LOG10(1.07389)</f>
        <v>3.0959798272641906E-2</v>
      </c>
      <c r="D6500">
        <f>LOG10(3.06792)</f>
        <v>0.48684403063172171</v>
      </c>
    </row>
    <row r="6501" spans="1:4">
      <c r="A6501">
        <v>1.0863560000000001</v>
      </c>
      <c r="B6501">
        <v>3.0404330000000002</v>
      </c>
      <c r="C6501">
        <f>LOG10(1.086356)</f>
        <v>3.597216733390661E-2</v>
      </c>
      <c r="D6501">
        <f>LOG10(3.040433)</f>
        <v>0.48293543759546226</v>
      </c>
    </row>
    <row r="6502" spans="1:4">
      <c r="A6502">
        <v>1.07253</v>
      </c>
      <c r="B6502">
        <v>2.855864</v>
      </c>
      <c r="C6502">
        <f>LOG10(1.07253)</f>
        <v>3.0409448784257453E-2</v>
      </c>
      <c r="D6502">
        <f>LOG10(2.855864)</f>
        <v>0.45573752192210931</v>
      </c>
    </row>
    <row r="6503" spans="1:4">
      <c r="A6503">
        <v>1.0618380000000001</v>
      </c>
      <c r="B6503">
        <v>2.9857459999999998</v>
      </c>
      <c r="C6503">
        <f>LOG10(1.061838)</f>
        <v>2.6058263381300312E-2</v>
      </c>
      <c r="D6503">
        <f>LOG10(2.985746)</f>
        <v>0.47505285915243994</v>
      </c>
    </row>
    <row r="6504" spans="1:4">
      <c r="A6504">
        <v>1.067339</v>
      </c>
      <c r="B6504">
        <v>3.1957949999999999</v>
      </c>
      <c r="C6504">
        <f>LOG10(1.067339)</f>
        <v>2.8302378605840107E-2</v>
      </c>
      <c r="D6504">
        <f>LOG10(3.195795)</f>
        <v>0.50457891293724932</v>
      </c>
    </row>
    <row r="6505" spans="1:4">
      <c r="A6505">
        <v>1.0743929999999999</v>
      </c>
      <c r="B6505">
        <v>3.3252320000000002</v>
      </c>
      <c r="C6505">
        <f>LOG10(1.074393)</f>
        <v>3.1163170108093049E-2</v>
      </c>
      <c r="D6505">
        <f>LOG10(3.325232)</f>
        <v>0.5218219512345692</v>
      </c>
    </row>
    <row r="6506" spans="1:4">
      <c r="A6506">
        <v>1.0818540000000001</v>
      </c>
      <c r="B6506">
        <v>3.3337840000000001</v>
      </c>
      <c r="C6506">
        <f>LOG10(1.081854)</f>
        <v>3.4168655158107228E-2</v>
      </c>
      <c r="D6506">
        <f>LOG10(3.333784)</f>
        <v>0.52293745792540547</v>
      </c>
    </row>
    <row r="6507" spans="1:4">
      <c r="A6507">
        <v>1.0634049999999999</v>
      </c>
      <c r="B6507">
        <v>3.281771</v>
      </c>
      <c r="C6507">
        <f>LOG10(1.063405)</f>
        <v>2.6698697982395693E-2</v>
      </c>
      <c r="D6507">
        <f>LOG10(3.281771)</f>
        <v>0.51610827296747797</v>
      </c>
    </row>
    <row r="6508" spans="1:4">
      <c r="A6508">
        <v>1.0846549999999999</v>
      </c>
      <c r="B6508">
        <v>3.3059639999999999</v>
      </c>
      <c r="C6508">
        <f>LOG10(1.084655)</f>
        <v>3.5291622587811079E-2</v>
      </c>
      <c r="D6508">
        <f>LOG10(3.305964)</f>
        <v>0.51929812005016729</v>
      </c>
    </row>
    <row r="6509" spans="1:4">
      <c r="A6509">
        <v>1.1156360000000001</v>
      </c>
      <c r="B6509">
        <v>3.3632979999999999</v>
      </c>
      <c r="C6509">
        <f>LOG10(1.115636)</f>
        <v>4.7522519890438E-2</v>
      </c>
      <c r="D6509">
        <f>LOG10(3.363298)</f>
        <v>0.5267653490339087</v>
      </c>
    </row>
    <row r="6510" spans="1:4">
      <c r="A6510">
        <v>1.0725720000000001</v>
      </c>
      <c r="B6510">
        <v>3.3408250000000002</v>
      </c>
      <c r="C6510">
        <f>LOG10(1.072572)</f>
        <v>3.0426455311911904E-2</v>
      </c>
      <c r="D6510">
        <f>LOG10(3.340825)</f>
        <v>0.52385372690276322</v>
      </c>
    </row>
    <row r="6511" spans="1:4">
      <c r="A6511">
        <v>1.0756570000000001</v>
      </c>
      <c r="B6511">
        <v>3.4175119999999999</v>
      </c>
      <c r="C6511">
        <f>LOG10(1.075657)</f>
        <v>3.1673807803372707E-2</v>
      </c>
      <c r="D6511">
        <f>LOG10(3.417512)</f>
        <v>0.53371004819220313</v>
      </c>
    </row>
    <row r="6512" spans="1:4">
      <c r="A6512">
        <v>1.0515699999999999</v>
      </c>
      <c r="B6512">
        <v>3.3770920000000002</v>
      </c>
      <c r="C6512">
        <f>LOG10(1.05157)</f>
        <v>2.1838187723119625E-2</v>
      </c>
      <c r="D6512">
        <f>LOG10(3.377092)</f>
        <v>0.52854289200884785</v>
      </c>
    </row>
    <row r="6513" spans="1:4">
      <c r="A6513">
        <v>1.066983</v>
      </c>
      <c r="B6513">
        <v>3.394498</v>
      </c>
      <c r="C6513">
        <f>LOG10(1.066983)</f>
        <v>2.815749996335656E-2</v>
      </c>
      <c r="D6513">
        <f>LOG10(3.394498)</f>
        <v>0.53077555712906654</v>
      </c>
    </row>
    <row r="6514" spans="1:4">
      <c r="A6514">
        <v>1.0527150000000001</v>
      </c>
      <c r="B6514">
        <v>3.3416489999999999</v>
      </c>
      <c r="C6514">
        <f>LOG10(1.052715)</f>
        <v>2.2310811185108324E-2</v>
      </c>
      <c r="D6514">
        <f>LOG10(3.341649)</f>
        <v>0.52396083054578579</v>
      </c>
    </row>
    <row r="6515" spans="1:4">
      <c r="A6515">
        <v>1.0539849999999999</v>
      </c>
      <c r="B6515">
        <v>3.3301989999999999</v>
      </c>
      <c r="C6515">
        <f>LOG10(1.053985)</f>
        <v>2.2834430171040164E-2</v>
      </c>
      <c r="D6515">
        <f>LOG10(3.330199)</f>
        <v>0.5224701860647718</v>
      </c>
    </row>
    <row r="6516" spans="1:4">
      <c r="A6516">
        <v>1.0473079999999999</v>
      </c>
      <c r="B6516">
        <v>3.4012910000000001</v>
      </c>
      <c r="C6516">
        <f>LOG10(1.047308)</f>
        <v>2.0074420962071456E-2</v>
      </c>
      <c r="D6516">
        <f>LOG10(3.401291)</f>
        <v>0.53164378991208849</v>
      </c>
    </row>
    <row r="6517" spans="1:4">
      <c r="A6517">
        <v>1.0501819999999999</v>
      </c>
      <c r="B6517">
        <v>3.320446</v>
      </c>
      <c r="C6517">
        <f>LOG10(1.050182)</f>
        <v>2.1264570256820194E-2</v>
      </c>
      <c r="D6517">
        <f>LOG10(3.320446)</f>
        <v>0.52119642175519132</v>
      </c>
    </row>
    <row r="6518" spans="1:4">
      <c r="A6518">
        <v>1.038567</v>
      </c>
      <c r="B6518">
        <v>3.3766600000000002</v>
      </c>
      <c r="C6518">
        <f>LOG10(1.038567)</f>
        <v>1.6434518966150596E-2</v>
      </c>
      <c r="D6518">
        <f>LOG10(3.37666)</f>
        <v>0.52848733319755659</v>
      </c>
    </row>
    <row r="6519" spans="1:4">
      <c r="A6519">
        <v>1.0448379999999999</v>
      </c>
      <c r="B6519">
        <v>3.2904800000000001</v>
      </c>
      <c r="C6519">
        <f>LOG10(1.044838)</f>
        <v>1.9048959193445226E-2</v>
      </c>
      <c r="D6519">
        <f>LOG10(3.29048)</f>
        <v>0.51725925544112483</v>
      </c>
    </row>
    <row r="6520" spans="1:4">
      <c r="A6520">
        <v>1.0600430000000001</v>
      </c>
      <c r="B6520">
        <v>3.307639</v>
      </c>
      <c r="C6520">
        <f>LOG10(1.060043)</f>
        <v>2.5323482513783049E-2</v>
      </c>
      <c r="D6520">
        <f>LOG10(3.307639)</f>
        <v>0.51951810400527976</v>
      </c>
    </row>
    <row r="6521" spans="1:4">
      <c r="A6521">
        <v>1.0431870000000001</v>
      </c>
      <c r="B6521">
        <v>3.2864949999999999</v>
      </c>
      <c r="C6521">
        <f>LOG10(1.043187)</f>
        <v>1.8362166325495304E-2</v>
      </c>
      <c r="D6521">
        <f>LOG10(3.286495)</f>
        <v>0.51673297589097611</v>
      </c>
    </row>
    <row r="6522" spans="1:4">
      <c r="A6522">
        <v>1.052433</v>
      </c>
      <c r="B6522">
        <v>3.3990070000000001</v>
      </c>
      <c r="C6522">
        <f>LOG10(1.052433)</f>
        <v>2.2194457328154487E-2</v>
      </c>
      <c r="D6522">
        <f>LOG10(3.399007)</f>
        <v>0.53135205898089521</v>
      </c>
    </row>
    <row r="6523" spans="1:4">
      <c r="A6523">
        <v>1.0365139999999999</v>
      </c>
      <c r="B6523">
        <v>3.4329190000000001</v>
      </c>
      <c r="C6523">
        <f>LOG10(1.036514)</f>
        <v>1.5575172403526436E-2</v>
      </c>
      <c r="D6523">
        <f>LOG10(3.432919)</f>
        <v>0.53566355633339857</v>
      </c>
    </row>
    <row r="6524" spans="1:4">
      <c r="A6524">
        <v>1.0326169999999999</v>
      </c>
      <c r="B6524">
        <v>3.2995429999999999</v>
      </c>
      <c r="C6524">
        <f>LOG10(1.032617)</f>
        <v>1.3939270571187106E-2</v>
      </c>
      <c r="D6524">
        <f>LOG10(3.299543)</f>
        <v>0.51845379250751744</v>
      </c>
    </row>
    <row r="6525" spans="1:4">
      <c r="A6525">
        <v>1.0337430000000001</v>
      </c>
      <c r="B6525">
        <v>3.2442150000000001</v>
      </c>
      <c r="C6525">
        <f>LOG10(1.033743)</f>
        <v>1.4412581741578981E-2</v>
      </c>
      <c r="D6525">
        <f>LOG10(3.244215)</f>
        <v>0.5111096279742392</v>
      </c>
    </row>
    <row r="6526" spans="1:4">
      <c r="A6526">
        <v>1.0322690000000001</v>
      </c>
      <c r="B6526">
        <v>3.2494260000000001</v>
      </c>
      <c r="C6526">
        <f>LOG10(1.032269)</f>
        <v>1.3792885268431273E-2</v>
      </c>
      <c r="D6526">
        <f>LOG10(3.249426)</f>
        <v>0.51180665111764645</v>
      </c>
    </row>
    <row r="6527" spans="1:4">
      <c r="A6527">
        <v>1.034856</v>
      </c>
      <c r="B6527">
        <v>3.280062</v>
      </c>
      <c r="C6527">
        <f>LOG10(1.034856)</f>
        <v>1.4879922009076266E-2</v>
      </c>
      <c r="D6527">
        <f>LOG10(3.280062)</f>
        <v>0.51588205285905564</v>
      </c>
    </row>
    <row r="6528" spans="1:4">
      <c r="A6528">
        <v>1.038869</v>
      </c>
      <c r="B6528">
        <v>3.1906629999999998</v>
      </c>
      <c r="C6528">
        <f>LOG10(1.038869)</f>
        <v>1.6560787052829269E-2</v>
      </c>
      <c r="D6528">
        <f>LOG10(3.190663)</f>
        <v>0.50388093613669283</v>
      </c>
    </row>
    <row r="6529" spans="1:4">
      <c r="A6529">
        <v>1.0703830000000001</v>
      </c>
      <c r="B6529">
        <v>3.3053970000000001</v>
      </c>
      <c r="C6529">
        <f>LOG10(1.070383)</f>
        <v>2.9539202941665427E-2</v>
      </c>
      <c r="D6529">
        <f>LOG10(3.305397)</f>
        <v>0.51922362858862325</v>
      </c>
    </row>
    <row r="6530" spans="1:4">
      <c r="A6530">
        <v>1.064414</v>
      </c>
      <c r="B6530">
        <v>3.2539950000000002</v>
      </c>
      <c r="C6530">
        <f>LOG10(1.064414)</f>
        <v>2.7110578095398956E-2</v>
      </c>
      <c r="D6530">
        <f>LOG10(3.253995)</f>
        <v>0.51241688127629248</v>
      </c>
    </row>
    <row r="6531" spans="1:4">
      <c r="A6531">
        <v>1.042451</v>
      </c>
      <c r="B6531">
        <v>3.3913120000000001</v>
      </c>
      <c r="C6531">
        <f>LOG10(1.042451)</f>
        <v>1.8055650283929865E-2</v>
      </c>
      <c r="D6531">
        <f>LOG10(3.391312)</f>
        <v>0.53036774661830521</v>
      </c>
    </row>
    <row r="6532" spans="1:4">
      <c r="A6532">
        <v>1.0463119999999999</v>
      </c>
      <c r="B6532">
        <v>3.4724529999999998</v>
      </c>
      <c r="C6532">
        <f>LOG10(1.046312)</f>
        <v>1.9661206208097224E-2</v>
      </c>
      <c r="D6532">
        <f>LOG10(3.472453)</f>
        <v>0.54063637623001692</v>
      </c>
    </row>
    <row r="6533" spans="1:4">
      <c r="A6533">
        <v>1.0596350000000001</v>
      </c>
      <c r="B6533">
        <v>3.3384040000000001</v>
      </c>
      <c r="C6533">
        <f>LOG10(1.059635)</f>
        <v>2.5156294713744747E-2</v>
      </c>
      <c r="D6533">
        <f>LOG10(3.338404)</f>
        <v>0.52353889206576809</v>
      </c>
    </row>
    <row r="6534" spans="1:4">
      <c r="A6534">
        <v>1.05138</v>
      </c>
      <c r="B6534">
        <v>3.4810599999999998</v>
      </c>
      <c r="C6534">
        <f>LOG10(1.05138)</f>
        <v>2.1759711343000167E-2</v>
      </c>
      <c r="D6534">
        <f>LOG10(3.48106)</f>
        <v>0.54171150890461195</v>
      </c>
    </row>
    <row r="6535" spans="1:4">
      <c r="A6535">
        <v>1.063914</v>
      </c>
      <c r="B6535">
        <v>3.3955639999999998</v>
      </c>
      <c r="C6535">
        <f>LOG10(1.063914)</f>
        <v>2.6906523790849644E-2</v>
      </c>
      <c r="D6535">
        <f>LOG10(3.395564)</f>
        <v>0.53091192051470648</v>
      </c>
    </row>
    <row r="6536" spans="1:4">
      <c r="A6536">
        <v>1.068738</v>
      </c>
      <c r="B6536">
        <v>3.338813</v>
      </c>
      <c r="C6536">
        <f>LOG10(1.068738)</f>
        <v>2.8871251419933564E-2</v>
      </c>
      <c r="D6536">
        <f>LOG10(3.338813)</f>
        <v>0.52359209580119281</v>
      </c>
    </row>
    <row r="6537" spans="1:4">
      <c r="A6537">
        <v>1.0585310000000001</v>
      </c>
      <c r="B6537">
        <v>3.3301599999999998</v>
      </c>
      <c r="C6537">
        <f>LOG10(1.058531)</f>
        <v>2.4703581232896461E-2</v>
      </c>
      <c r="D6537">
        <f>LOG10(3.33016)</f>
        <v>0.52246510000716007</v>
      </c>
    </row>
    <row r="6538" spans="1:4">
      <c r="A6538">
        <v>1.0514570000000001</v>
      </c>
      <c r="B6538">
        <v>3.2908339999999998</v>
      </c>
      <c r="C6538">
        <f>LOG10(1.051457)</f>
        <v>2.1791516637582241E-2</v>
      </c>
      <c r="D6538">
        <f>LOG10(3.290834)</f>
        <v>0.51730597566956005</v>
      </c>
    </row>
    <row r="6539" spans="1:4">
      <c r="A6539">
        <v>1.064865</v>
      </c>
      <c r="B6539">
        <v>3.2867989999999998</v>
      </c>
      <c r="C6539">
        <f>LOG10(1.064865)</f>
        <v>2.729455287208854E-2</v>
      </c>
      <c r="D6539">
        <f>LOG10(3.286799)</f>
        <v>0.516773146168646</v>
      </c>
    </row>
    <row r="6540" spans="1:4">
      <c r="A6540">
        <v>1.0595209999999999</v>
      </c>
      <c r="B6540">
        <v>3.3252519999999999</v>
      </c>
      <c r="C6540">
        <f>LOG10(1.059521)</f>
        <v>2.5109568969170205E-2</v>
      </c>
      <c r="D6540">
        <f>LOG10(3.325252)</f>
        <v>0.52182456334209049</v>
      </c>
    </row>
    <row r="6541" spans="1:4">
      <c r="A6541">
        <v>1.0643389999999999</v>
      </c>
      <c r="B6541">
        <v>3.4067910000000001</v>
      </c>
      <c r="C6541">
        <f>LOG10(1.064339)</f>
        <v>2.7079976061103531E-2</v>
      </c>
      <c r="D6541">
        <f>LOG10(3.406791)</f>
        <v>0.53234549126354314</v>
      </c>
    </row>
    <row r="6542" spans="1:4">
      <c r="A6542">
        <v>1.073893</v>
      </c>
      <c r="B6542">
        <v>3.4629750000000001</v>
      </c>
      <c r="C6542">
        <f>LOG10(1.073893)</f>
        <v>3.0961011508286011E-2</v>
      </c>
      <c r="D6542">
        <f>LOG10(3.462975)</f>
        <v>0.53944935629065682</v>
      </c>
    </row>
    <row r="6543" spans="1:4">
      <c r="A6543">
        <v>1.071955</v>
      </c>
      <c r="B6543">
        <v>3.489039</v>
      </c>
      <c r="C6543">
        <f>LOG10(1.071955)</f>
        <v>3.0176554328871879E-2</v>
      </c>
      <c r="D6543">
        <f>LOG10(3.489039)</f>
        <v>0.54270582395946987</v>
      </c>
    </row>
    <row r="6544" spans="1:4">
      <c r="A6544">
        <v>1.064589</v>
      </c>
      <c r="B6544">
        <v>3.4676209999999998</v>
      </c>
      <c r="C6544">
        <f>LOG10(1.064589)</f>
        <v>2.7181974457455987E-2</v>
      </c>
      <c r="D6544">
        <f>LOG10(3.467621)</f>
        <v>0.54003162438568575</v>
      </c>
    </row>
    <row r="6545" spans="1:4">
      <c r="A6545">
        <v>1.0601160000000001</v>
      </c>
      <c r="B6545">
        <v>3.4001519999999998</v>
      </c>
      <c r="C6545">
        <f>LOG10(1.060116)</f>
        <v>2.5353389230393888E-2</v>
      </c>
      <c r="D6545">
        <f>LOG10(3.400152)</f>
        <v>0.53149833212628861</v>
      </c>
    </row>
    <row r="6546" spans="1:4">
      <c r="A6546">
        <v>1.0557559999999999</v>
      </c>
      <c r="B6546">
        <v>3.3775770000000001</v>
      </c>
      <c r="C6546">
        <f>LOG10(1.055756)</f>
        <v>2.356355825653509E-2</v>
      </c>
      <c r="D6546">
        <f>LOG10(3.377577)</f>
        <v>0.52860525859530383</v>
      </c>
    </row>
    <row r="6547" spans="1:4">
      <c r="A6547">
        <v>1.0748070000000001</v>
      </c>
      <c r="B6547">
        <v>3.2833649999999999</v>
      </c>
      <c r="C6547">
        <f>LOG10(1.074807)</f>
        <v>3.1330486242219124E-2</v>
      </c>
      <c r="D6547">
        <f>LOG10(3.283365)</f>
        <v>0.51631916438473324</v>
      </c>
    </row>
    <row r="6548" spans="1:4">
      <c r="A6548">
        <v>1.0599689999999999</v>
      </c>
      <c r="B6548">
        <v>3.1549450000000001</v>
      </c>
      <c r="C6548">
        <f>LOG10(1.059969)</f>
        <v>2.5293164014006681E-2</v>
      </c>
      <c r="D6548">
        <f>LOG10(3.154945)</f>
        <v>0.49899179261194176</v>
      </c>
    </row>
    <row r="6549" spans="1:4">
      <c r="A6549">
        <v>1.0785210000000001</v>
      </c>
      <c r="B6549">
        <v>3.0951710000000001</v>
      </c>
      <c r="C6549">
        <f>LOG10(1.078521)</f>
        <v>3.282860571610615E-2</v>
      </c>
      <c r="D6549">
        <f>LOG10(3.095171)</f>
        <v>0.4906846476388228</v>
      </c>
    </row>
    <row r="6550" spans="1:4">
      <c r="A6550">
        <v>1.0745690000000001</v>
      </c>
      <c r="B6550">
        <v>2.953176</v>
      </c>
      <c r="C6550">
        <f>LOG10(1.074569)</f>
        <v>3.1234307549319044E-2</v>
      </c>
      <c r="D6550">
        <f>LOG10(2.953176)</f>
        <v>0.47028933032136094</v>
      </c>
    </row>
    <row r="6551" spans="1:4">
      <c r="A6551">
        <v>1.065253</v>
      </c>
      <c r="B6551">
        <v>3.0740829999999999</v>
      </c>
      <c r="C6551">
        <f>LOG10(1.065253)</f>
        <v>2.745276594839894E-2</v>
      </c>
      <c r="D6551">
        <f>LOG10(3.074083)</f>
        <v>0.48771558923899244</v>
      </c>
    </row>
    <row r="6552" spans="1:4">
      <c r="A6552">
        <v>1.062738</v>
      </c>
      <c r="B6552">
        <v>3.1927569999999998</v>
      </c>
      <c r="C6552">
        <f>LOG10(1.062738)</f>
        <v>2.6426209792342299E-2</v>
      </c>
      <c r="D6552">
        <f>LOG10(3.192757)</f>
        <v>0.5041658657442466</v>
      </c>
    </row>
    <row r="6553" spans="1:4">
      <c r="A6553">
        <v>1.0688070000000001</v>
      </c>
      <c r="B6553">
        <v>3.0211960000000002</v>
      </c>
      <c r="C6553">
        <f>LOG10(1.068807)</f>
        <v>2.8899289490955951E-2</v>
      </c>
      <c r="D6553">
        <f>LOG10(3.021196)</f>
        <v>0.48017890102874516</v>
      </c>
    </row>
    <row r="6554" spans="1:4">
      <c r="A6554">
        <v>1.0546089999999999</v>
      </c>
      <c r="B6554">
        <v>3.0234269999999999</v>
      </c>
      <c r="C6554">
        <f>LOG10(1.054609)</f>
        <v>2.3091473266694047E-2</v>
      </c>
      <c r="D6554">
        <f>LOG10(3.023427)</f>
        <v>0.480499487120921</v>
      </c>
    </row>
    <row r="6555" spans="1:4">
      <c r="A6555">
        <v>1.0622499999999999</v>
      </c>
      <c r="B6555">
        <v>2.899896</v>
      </c>
      <c r="C6555">
        <f>LOG10(1.06225)</f>
        <v>2.6226739761551987E-2</v>
      </c>
      <c r="D6555">
        <f>LOG10(2.899896)</f>
        <v>0.46238242292101761</v>
      </c>
    </row>
    <row r="6556" spans="1:4">
      <c r="A6556">
        <v>1.0921920000000001</v>
      </c>
      <c r="B6556">
        <v>2.9821460000000002</v>
      </c>
      <c r="C6556">
        <f>LOG10(1.092192)</f>
        <v>3.8298991125930451E-2</v>
      </c>
      <c r="D6556">
        <f>LOG10(2.982146)</f>
        <v>0.47452890184071544</v>
      </c>
    </row>
    <row r="6557" spans="1:4">
      <c r="A6557">
        <v>1.054433</v>
      </c>
      <c r="B6557">
        <v>3.0889359999999999</v>
      </c>
      <c r="C6557">
        <f>LOG10(1.054433)</f>
        <v>2.3018989334185939E-2</v>
      </c>
      <c r="D6557">
        <f>LOG10(3.088936)</f>
        <v>0.4898089102001939</v>
      </c>
    </row>
    <row r="6558" spans="1:4">
      <c r="A6558">
        <v>1.0477719999999999</v>
      </c>
      <c r="B6558">
        <v>3.1062650000000001</v>
      </c>
      <c r="C6558">
        <f>LOG10(1.047772)</f>
        <v>2.0266788454384701E-2</v>
      </c>
      <c r="D6558">
        <f>LOG10(3.106265)</f>
        <v>0.49223850326903701</v>
      </c>
    </row>
    <row r="6559" spans="1:4">
      <c r="A6559">
        <v>1.077672</v>
      </c>
      <c r="B6559">
        <v>3.0234510000000001</v>
      </c>
      <c r="C6559">
        <f>LOG10(1.077672)</f>
        <v>3.2486599194249351E-2</v>
      </c>
      <c r="D6559">
        <f>LOG10(3.023451)</f>
        <v>0.48050293454207482</v>
      </c>
    </row>
    <row r="6560" spans="1:4">
      <c r="A6560">
        <v>1.0825689999999999</v>
      </c>
      <c r="B6560">
        <v>3.1925110000000001</v>
      </c>
      <c r="C6560">
        <f>LOG10(1.082569)</f>
        <v>3.4455586655190759E-2</v>
      </c>
      <c r="D6560">
        <f>LOG10(3.192511)</f>
        <v>0.50413240232733103</v>
      </c>
    </row>
    <row r="6561" spans="1:4">
      <c r="A6561">
        <v>1.0744739999999999</v>
      </c>
      <c r="B6561">
        <v>3.1027459999999998</v>
      </c>
      <c r="C6561">
        <f>LOG10(1.074474)</f>
        <v>3.1195910945986526E-2</v>
      </c>
      <c r="D6561">
        <f>LOG10(3.102746)</f>
        <v>0.49174622440354532</v>
      </c>
    </row>
    <row r="6562" spans="1:4">
      <c r="A6562">
        <v>1.1012090000000001</v>
      </c>
      <c r="B6562">
        <v>3.092349</v>
      </c>
      <c r="C6562">
        <f>LOG10(1.101209)</f>
        <v>4.1869752153153118E-2</v>
      </c>
      <c r="D6562">
        <f>LOG10(3.092349)</f>
        <v>0.49028850213532288</v>
      </c>
    </row>
    <row r="6563" spans="1:4">
      <c r="A6563">
        <v>1.06768</v>
      </c>
      <c r="B6563">
        <v>2.9912529999999999</v>
      </c>
      <c r="C6563">
        <f>LOG10(1.06768)</f>
        <v>2.8441107506696033E-2</v>
      </c>
      <c r="D6563">
        <f>LOG10(2.991253)</f>
        <v>0.47585314718615479</v>
      </c>
    </row>
    <row r="6564" spans="1:4">
      <c r="A6564">
        <v>1.0733569999999999</v>
      </c>
      <c r="B6564">
        <v>3.0730409999999999</v>
      </c>
      <c r="C6564">
        <f>LOG10(1.073357)</f>
        <v>3.0744192929047322E-2</v>
      </c>
      <c r="D6564">
        <f>LOG10(3.073041)</f>
        <v>0.48756835457950692</v>
      </c>
    </row>
    <row r="6565" spans="1:4">
      <c r="A6565">
        <v>1.092044</v>
      </c>
      <c r="B6565">
        <v>3.00793</v>
      </c>
      <c r="C6565">
        <f>LOG10(1.092044)</f>
        <v>3.8240137061241415E-2</v>
      </c>
      <c r="D6565">
        <f>LOG10(3.00793)</f>
        <v>0.47826772521499383</v>
      </c>
    </row>
    <row r="6566" spans="1:4">
      <c r="A6566">
        <v>1.089691</v>
      </c>
      <c r="B6566">
        <v>3.107799</v>
      </c>
      <c r="C6566">
        <f>LOG10(1.089691)</f>
        <v>3.7303363977316824E-2</v>
      </c>
      <c r="D6566">
        <f>LOG10(3.107799)</f>
        <v>0.49245292260838475</v>
      </c>
    </row>
    <row r="6567" spans="1:4">
      <c r="A6567">
        <v>1.072554</v>
      </c>
      <c r="B6567">
        <v>3.2376070000000001</v>
      </c>
      <c r="C6567">
        <f>LOG10(1.072554)</f>
        <v>3.0419166881605737E-2</v>
      </c>
      <c r="D6567">
        <f>LOG10(3.237607)</f>
        <v>0.51022413036858782</v>
      </c>
    </row>
    <row r="6568" spans="1:4">
      <c r="A6568">
        <v>1.0752660000000001</v>
      </c>
      <c r="B6568">
        <v>3.0380919999999998</v>
      </c>
      <c r="C6568">
        <f>LOG10(1.075266)</f>
        <v>3.1515913593031727E-2</v>
      </c>
      <c r="D6568">
        <f>LOG10(3.038092)</f>
        <v>0.48260092110259556</v>
      </c>
    </row>
    <row r="6569" spans="1:4">
      <c r="A6569">
        <v>1.103472</v>
      </c>
      <c r="B6569">
        <v>3.1028410000000002</v>
      </c>
      <c r="C6569">
        <f>LOG10(1.103472)</f>
        <v>4.2761317651935936E-2</v>
      </c>
      <c r="D6569">
        <f>LOG10(3.102841)</f>
        <v>0.49175952144564117</v>
      </c>
    </row>
    <row r="6570" spans="1:4">
      <c r="A6570">
        <v>1.0836060000000001</v>
      </c>
      <c r="B6570">
        <v>3.0793309999999998</v>
      </c>
      <c r="C6570">
        <f>LOG10(1.083606)</f>
        <v>3.4871401085823574E-2</v>
      </c>
      <c r="D6570">
        <f>LOG10(3.079331)</f>
        <v>0.4884563741085397</v>
      </c>
    </row>
    <row r="6571" spans="1:4">
      <c r="A6571">
        <v>1.0950200000000001</v>
      </c>
      <c r="B6571">
        <v>2.9715289999999999</v>
      </c>
      <c r="C6571">
        <f>LOG10(1.09502)</f>
        <v>3.942205142300096E-2</v>
      </c>
      <c r="D6571">
        <f>LOG10(2.971529)</f>
        <v>0.47297997301876743</v>
      </c>
    </row>
    <row r="6572" spans="1:4">
      <c r="A6572">
        <v>1.0741149999999999</v>
      </c>
      <c r="B6572">
        <v>2.9105759999999998</v>
      </c>
      <c r="C6572">
        <f>LOG10(1.074115)</f>
        <v>3.1050781542034282E-2</v>
      </c>
      <c r="D6572">
        <f>LOG10(2.910576)</f>
        <v>0.46397894392314815</v>
      </c>
    </row>
    <row r="6573" spans="1:4">
      <c r="A6573">
        <v>1.08972</v>
      </c>
      <c r="B6573">
        <v>3.1157979999999998</v>
      </c>
      <c r="C6573">
        <f>LOG10(1.08972)</f>
        <v>3.731492172386023E-2</v>
      </c>
      <c r="D6573">
        <f>LOG10(3.115798)</f>
        <v>0.49356929420944562</v>
      </c>
    </row>
    <row r="6574" spans="1:4">
      <c r="A6574">
        <v>1.074729</v>
      </c>
      <c r="B6574">
        <v>3.001112</v>
      </c>
      <c r="C6574">
        <f>LOG10(1.074729)</f>
        <v>3.1298967840477226E-2</v>
      </c>
      <c r="D6574">
        <f>LOG10(3.001112)</f>
        <v>0.47728220338031191</v>
      </c>
    </row>
    <row r="6575" spans="1:4">
      <c r="A6575">
        <v>1.063466</v>
      </c>
      <c r="B6575">
        <v>2.9400379999999999</v>
      </c>
      <c r="C6575">
        <f>LOG10(1.063466)</f>
        <v>2.6723609661010332E-2</v>
      </c>
      <c r="D6575">
        <f>LOG10(2.940038)</f>
        <v>0.46835294370591918</v>
      </c>
    </row>
    <row r="6576" spans="1:4">
      <c r="A6576">
        <v>1.0809409999999999</v>
      </c>
      <c r="B6576">
        <v>3.0151439999999998</v>
      </c>
      <c r="C6576">
        <f>LOG10(1.080941)</f>
        <v>3.3801989907326954E-2</v>
      </c>
      <c r="D6576">
        <f>LOG10(3.015144)</f>
        <v>0.4793080584038607</v>
      </c>
    </row>
    <row r="6577" spans="1:4">
      <c r="A6577">
        <v>1.102257</v>
      </c>
      <c r="B6577">
        <v>3.085674</v>
      </c>
      <c r="C6577">
        <f>LOG10(1.102257)</f>
        <v>4.2282865540292792E-2</v>
      </c>
      <c r="D6577">
        <f>LOG10(3.085674)</f>
        <v>0.48935004114392555</v>
      </c>
    </row>
    <row r="6578" spans="1:4">
      <c r="A6578">
        <v>1.0691930000000001</v>
      </c>
      <c r="B6578">
        <v>3.067164</v>
      </c>
      <c r="C6578">
        <f>LOG10(1.069193)</f>
        <v>2.905610677050326E-2</v>
      </c>
      <c r="D6578">
        <f>LOG10(3.067164)</f>
        <v>0.48673699815099913</v>
      </c>
    </row>
    <row r="6579" spans="1:4">
      <c r="A6579">
        <v>1.0851200000000001</v>
      </c>
      <c r="B6579">
        <v>3.2503609999999998</v>
      </c>
      <c r="C6579">
        <f>LOG10(1.08512)</f>
        <v>3.5477768097992315E-2</v>
      </c>
      <c r="D6579">
        <f>LOG10(3.250361)</f>
        <v>0.51193159839465119</v>
      </c>
    </row>
    <row r="6580" spans="1:4">
      <c r="A6580">
        <v>1.10165</v>
      </c>
      <c r="B6580">
        <v>3.1517590000000002</v>
      </c>
      <c r="C6580">
        <f>LOG10(1.10165)</f>
        <v>4.2043638787820081E-2</v>
      </c>
      <c r="D6580">
        <f>LOG10(3.151759)</f>
        <v>0.49855300165646044</v>
      </c>
    </row>
    <row r="6581" spans="1:4">
      <c r="A6581">
        <v>1.0929420000000001</v>
      </c>
      <c r="B6581">
        <v>3.1913040000000001</v>
      </c>
      <c r="C6581">
        <f>LOG10(1.092942)</f>
        <v>3.8597115519416657E-2</v>
      </c>
      <c r="D6581">
        <f>LOG10(3.191304)</f>
        <v>0.50396817656392667</v>
      </c>
    </row>
    <row r="6582" spans="1:4">
      <c r="A6582">
        <v>1.1034740000000001</v>
      </c>
      <c r="B6582">
        <v>3.208485</v>
      </c>
      <c r="C6582">
        <f>LOG10(1.103474)</f>
        <v>4.2762104793047533E-2</v>
      </c>
      <c r="D6582">
        <f>LOG10(3.208485)</f>
        <v>0.50630001326022889</v>
      </c>
    </row>
    <row r="6583" spans="1:4">
      <c r="A6583">
        <v>1.1074349999999999</v>
      </c>
      <c r="B6583">
        <v>3.0175239999999999</v>
      </c>
      <c r="C6583">
        <f>LOG10(1.107435)</f>
        <v>4.4318245080433749E-2</v>
      </c>
      <c r="D6583">
        <f>LOG10(3.017524)</f>
        <v>0.47965073296196853</v>
      </c>
    </row>
    <row r="6584" spans="1:4">
      <c r="A6584">
        <v>1.114317</v>
      </c>
      <c r="B6584">
        <v>3.1837909999999998</v>
      </c>
      <c r="C6584">
        <f>LOG10(1.114317)</f>
        <v>4.7008756157807779E-2</v>
      </c>
      <c r="D6584">
        <f>LOG10(3.183791)</f>
        <v>0.50294455073464184</v>
      </c>
    </row>
    <row r="6585" spans="1:4">
      <c r="A6585">
        <v>1.103693</v>
      </c>
      <c r="B6585">
        <v>3.0715140000000001</v>
      </c>
      <c r="C6585">
        <f>LOG10(1.103693)</f>
        <v>4.2848288114788857E-2</v>
      </c>
      <c r="D6585">
        <f>LOG10(3.071514)</f>
        <v>0.48735249917988294</v>
      </c>
    </row>
    <row r="6586" spans="1:4">
      <c r="A6586">
        <v>1.096681</v>
      </c>
      <c r="B6586">
        <v>3.0878649999999999</v>
      </c>
      <c r="C6586">
        <f>LOG10(1.096681)</f>
        <v>4.0080319382495705E-2</v>
      </c>
      <c r="D6586">
        <f>LOG10(3.087865)</f>
        <v>0.48965830492902529</v>
      </c>
    </row>
    <row r="6587" spans="1:4">
      <c r="A6587">
        <v>1.108846</v>
      </c>
      <c r="B6587">
        <v>3.0718359999999998</v>
      </c>
      <c r="C6587">
        <f>LOG10(1.108846)</f>
        <v>4.4871234161474184E-2</v>
      </c>
      <c r="D6587">
        <f>LOG10(3.071836)</f>
        <v>0.48739802574870966</v>
      </c>
    </row>
    <row r="6588" spans="1:4">
      <c r="A6588">
        <v>1.09737</v>
      </c>
      <c r="B6588">
        <v>3.0600260000000001</v>
      </c>
      <c r="C6588">
        <f>LOG10(1.09737)</f>
        <v>4.0353083240644412E-2</v>
      </c>
      <c r="D6588">
        <f>LOG10(3.060026)</f>
        <v>0.48572511654973644</v>
      </c>
    </row>
    <row r="6589" spans="1:4">
      <c r="A6589">
        <v>1.108654</v>
      </c>
      <c r="B6589">
        <v>3.1358489999999999</v>
      </c>
      <c r="C6589">
        <f>LOG10(1.108654)</f>
        <v>4.4796028262277986E-2</v>
      </c>
      <c r="D6589">
        <f>LOG10(3.135849)</f>
        <v>0.49635514200805247</v>
      </c>
    </row>
    <row r="6590" spans="1:4">
      <c r="A6590">
        <v>1.0921959999999999</v>
      </c>
      <c r="B6590">
        <v>3.2558910000000001</v>
      </c>
      <c r="C6590">
        <f>LOG10(1.092196)</f>
        <v>3.8300581665640036E-2</v>
      </c>
      <c r="D6590">
        <f>LOG10(3.255891)</f>
        <v>0.5126698572457552</v>
      </c>
    </row>
    <row r="6591" spans="1:4">
      <c r="A6591">
        <v>1.0970979999999999</v>
      </c>
      <c r="B6591">
        <v>2.9913539999999998</v>
      </c>
      <c r="C6591">
        <f>LOG10(1.097098)</f>
        <v>4.0245423343409505E-2</v>
      </c>
      <c r="D6591">
        <f>LOG10(2.991354)</f>
        <v>0.47586781094149638</v>
      </c>
    </row>
    <row r="6592" spans="1:4">
      <c r="A6592">
        <v>1.095755</v>
      </c>
      <c r="B6592">
        <v>3.0201310000000001</v>
      </c>
      <c r="C6592">
        <f>LOG10(1.095755)</f>
        <v>3.9713461043957336E-2</v>
      </c>
      <c r="D6592">
        <f>LOG10(3.020131)</f>
        <v>0.48002578115027533</v>
      </c>
    </row>
    <row r="6593" spans="1:4">
      <c r="A6593">
        <v>1.1225449999999999</v>
      </c>
      <c r="B6593">
        <v>3.1590699999999998</v>
      </c>
      <c r="C6593">
        <f>LOG10(1.122545)</f>
        <v>5.020375979559287E-2</v>
      </c>
      <c r="D6593">
        <f>LOG10(3.15907)</f>
        <v>0.49955924929132051</v>
      </c>
    </row>
    <row r="6594" spans="1:4">
      <c r="A6594">
        <v>1.111283</v>
      </c>
      <c r="B6594">
        <v>3.194375</v>
      </c>
      <c r="C6594">
        <f>LOG10(1.111283)</f>
        <v>4.5824670720774154E-2</v>
      </c>
      <c r="D6594">
        <f>LOG10(3.194375)</f>
        <v>0.50438589829931213</v>
      </c>
    </row>
    <row r="6595" spans="1:4">
      <c r="A6595">
        <v>1.1017939999999999</v>
      </c>
      <c r="B6595">
        <v>3.1706279999999998</v>
      </c>
      <c r="C6595">
        <f>LOG10(1.101794)</f>
        <v>4.2100403021885544E-2</v>
      </c>
      <c r="D6595">
        <f>LOG10(3.170628)</f>
        <v>0.50114529058450852</v>
      </c>
    </row>
    <row r="6596" spans="1:4">
      <c r="A6596">
        <v>1.1099829999999999</v>
      </c>
      <c r="B6596">
        <v>3.2456320000000001</v>
      </c>
      <c r="C6596">
        <f>LOG10(1.109983)</f>
        <v>4.5316327378793028E-2</v>
      </c>
      <c r="D6596">
        <f>LOG10(3.245632)</f>
        <v>0.51129927660251528</v>
      </c>
    </row>
    <row r="6597" spans="1:4">
      <c r="A6597">
        <v>1.124946</v>
      </c>
      <c r="B6597">
        <v>3.434777</v>
      </c>
      <c r="C6597">
        <f>LOG10(1.124946)</f>
        <v>5.113167581192668E-2</v>
      </c>
      <c r="D6597">
        <f>LOG10(3.434777)</f>
        <v>0.53589854610786236</v>
      </c>
    </row>
    <row r="6598" spans="1:4">
      <c r="A6598">
        <v>1.1081080000000001</v>
      </c>
      <c r="B6598">
        <v>3.216421</v>
      </c>
      <c r="C6598">
        <f>LOG10(1.108108)</f>
        <v>4.458209028254511E-2</v>
      </c>
      <c r="D6598">
        <f>LOG10(3.216421)</f>
        <v>0.50737288896026078</v>
      </c>
    </row>
    <row r="6599" spans="1:4">
      <c r="A6599">
        <v>1.1054550000000001</v>
      </c>
      <c r="B6599">
        <v>3.1264539999999998</v>
      </c>
      <c r="C6599">
        <f>LOG10(1.105455)</f>
        <v>4.3541068353488088E-2</v>
      </c>
      <c r="D6599">
        <f>LOG10(3.126454)</f>
        <v>0.49505204322198615</v>
      </c>
    </row>
    <row r="6600" spans="1:4">
      <c r="A6600">
        <v>1.010087</v>
      </c>
      <c r="B6600">
        <v>3.6135890000000002</v>
      </c>
      <c r="C6600">
        <f>LOG10(1.010087)</f>
        <v>4.3587816962115684E-3</v>
      </c>
      <c r="D6600">
        <f>LOG10(3.613589)</f>
        <v>0.55793875553469374</v>
      </c>
    </row>
    <row r="6601" spans="1:4">
      <c r="A6601">
        <v>1.0096890000000001</v>
      </c>
      <c r="B6601">
        <v>3.6384289999999999</v>
      </c>
      <c r="C6601">
        <f>LOG10(1.009689)</f>
        <v>4.1876248886896896E-3</v>
      </c>
      <c r="D6601">
        <f>LOG10(3.638429)</f>
        <v>0.56091390455386514</v>
      </c>
    </row>
    <row r="6602" spans="1:4">
      <c r="A6602">
        <v>1.0222370000000001</v>
      </c>
      <c r="B6602">
        <v>3.6260599999999998</v>
      </c>
      <c r="C6602">
        <f>LOG10(1.022237)</f>
        <v>9.5515962484678529E-3</v>
      </c>
      <c r="D6602">
        <f>LOG10(3.62606)</f>
        <v>0.55943498604005415</v>
      </c>
    </row>
    <row r="6603" spans="1:4">
      <c r="A6603">
        <v>1.0178339999999999</v>
      </c>
      <c r="B6603">
        <v>3.6846510000000001</v>
      </c>
      <c r="C6603">
        <f>LOG10(1.017834)</f>
        <v>7.6769540689697151E-3</v>
      </c>
      <c r="D6603">
        <f>LOG10(3.684651)</f>
        <v>0.56639635896520701</v>
      </c>
    </row>
    <row r="6604" spans="1:4">
      <c r="A6604">
        <v>1.0154890000000001</v>
      </c>
      <c r="B6604">
        <v>3.602274</v>
      </c>
      <c r="C6604">
        <f>LOG10(1.015489)</f>
        <v>6.6752233930413556E-3</v>
      </c>
      <c r="D6604">
        <f>LOG10(3.602274)</f>
        <v>0.55657674350913922</v>
      </c>
    </row>
    <row r="6605" spans="1:4">
      <c r="A6605">
        <v>1.021577</v>
      </c>
      <c r="B6605">
        <v>3.6739069999999998</v>
      </c>
      <c r="C6605">
        <f>LOG10(1.021577)</f>
        <v>9.2711065678807783E-3</v>
      </c>
      <c r="D6605">
        <f>LOG10(3.673907)</f>
        <v>0.56512815852993803</v>
      </c>
    </row>
    <row r="6606" spans="1:4">
      <c r="A6606">
        <v>1.022186</v>
      </c>
      <c r="B6606">
        <v>3.3305509999999998</v>
      </c>
      <c r="C6606">
        <f>LOG10(1.022186)</f>
        <v>9.5299285030143246E-3</v>
      </c>
      <c r="D6606">
        <f>LOG10(3.330551)</f>
        <v>0.52251608830033747</v>
      </c>
    </row>
    <row r="6607" spans="1:4">
      <c r="A6607">
        <v>1.017493</v>
      </c>
      <c r="B6607">
        <v>3.2374329999999998</v>
      </c>
      <c r="C6607">
        <f>LOG10(1.017493)</f>
        <v>7.5314301116747549E-3</v>
      </c>
      <c r="D6607">
        <f>LOG10(3.237433)</f>
        <v>0.5102007892803877</v>
      </c>
    </row>
    <row r="6608" spans="1:4">
      <c r="A6608">
        <v>1.0225960000000001</v>
      </c>
      <c r="B6608">
        <v>3.779728</v>
      </c>
      <c r="C6608">
        <f>LOG10(1.022596)</f>
        <v>9.7040896018176382E-3</v>
      </c>
      <c r="D6608">
        <f>LOG10(3.779728)</f>
        <v>0.57746054789294143</v>
      </c>
    </row>
    <row r="6609" spans="1:4">
      <c r="A6609">
        <v>1.0246690000000001</v>
      </c>
      <c r="B6609">
        <v>3.8371569999999999</v>
      </c>
      <c r="C6609">
        <f>LOG10(1.024669)</f>
        <v>1.0583597402395718E-2</v>
      </c>
      <c r="D6609">
        <f>LOG10(3.837157)</f>
        <v>0.58400956902858392</v>
      </c>
    </row>
    <row r="6610" spans="1:4">
      <c r="A6610">
        <v>1.013393</v>
      </c>
      <c r="B6610">
        <v>3.7536529999999999</v>
      </c>
      <c r="C6610">
        <f>LOG10(1.013393)</f>
        <v>5.7779000810852009E-3</v>
      </c>
      <c r="D6610">
        <f>LOG10(3.753653)</f>
        <v>0.57445412253396477</v>
      </c>
    </row>
    <row r="6611" spans="1:4">
      <c r="A6611">
        <v>1.0108239999999999</v>
      </c>
      <c r="B6611">
        <v>3.6910249999999998</v>
      </c>
      <c r="C6611">
        <f>LOG10(1.010824)</f>
        <v>4.6755448266535575E-3</v>
      </c>
      <c r="D6611">
        <f>LOG10(3.691025)</f>
        <v>0.56714698676305841</v>
      </c>
    </row>
    <row r="6612" spans="1:4">
      <c r="A6612">
        <v>1.0094590000000001</v>
      </c>
      <c r="B6612">
        <v>3.8056070000000002</v>
      </c>
      <c r="C6612">
        <f>LOG10(1.009459)</f>
        <v>4.0886844135291228E-3</v>
      </c>
      <c r="D6612">
        <f>LOG10(3.805607)</f>
        <v>0.58042393725002517</v>
      </c>
    </row>
    <row r="6613" spans="1:4">
      <c r="A6613">
        <v>1.0162439999999999</v>
      </c>
      <c r="B6613">
        <v>4.0688979999999999</v>
      </c>
      <c r="C6613">
        <f>LOG10(1.016244)</f>
        <v>6.99799449429306E-3</v>
      </c>
      <c r="D6613">
        <f>LOG10(4.068898)</f>
        <v>0.60947680300335016</v>
      </c>
    </row>
    <row r="6614" spans="1:4">
      <c r="A6614">
        <v>1.0092920000000001</v>
      </c>
      <c r="B6614">
        <v>4.103472</v>
      </c>
      <c r="C6614">
        <f>LOG10(1.009292)</f>
        <v>4.0168308975251209E-3</v>
      </c>
      <c r="D6614">
        <f>LOG10(4.103472)</f>
        <v>0.61315147436533779</v>
      </c>
    </row>
    <row r="6615" spans="1:4">
      <c r="A6615">
        <v>1.0091319999999999</v>
      </c>
      <c r="B6615">
        <v>4.1125080000000001</v>
      </c>
      <c r="C6615">
        <f>LOG10(1.009132)</f>
        <v>3.9479780526816832E-3</v>
      </c>
      <c r="D6615">
        <f>LOG10(4.112508)</f>
        <v>0.61410675578538043</v>
      </c>
    </row>
    <row r="6616" spans="1:4">
      <c r="A6616">
        <v>1.0145439999999999</v>
      </c>
      <c r="B6616">
        <v>4.4348669999999997</v>
      </c>
      <c r="C6616">
        <f>LOG10(1.014544)</f>
        <v>6.2708867984700174E-3</v>
      </c>
      <c r="D6616">
        <f>LOG10(4.434867)</f>
        <v>0.64688060003421588</v>
      </c>
    </row>
    <row r="6617" spans="1:4">
      <c r="A6617">
        <v>1.029482</v>
      </c>
      <c r="B6617">
        <v>3.7116910000000001</v>
      </c>
      <c r="C6617">
        <f>LOG10(1.029482)</f>
        <v>1.2618757589295699E-2</v>
      </c>
      <c r="D6617">
        <f>LOG10(3.711691)</f>
        <v>0.56957181383434219</v>
      </c>
    </row>
    <row r="6618" spans="1:4">
      <c r="A6618">
        <v>1.011612</v>
      </c>
      <c r="B6618">
        <v>4.0640970000000003</v>
      </c>
      <c r="C6618">
        <f>LOG10(1.011612)</f>
        <v>5.0139724150247544E-3</v>
      </c>
      <c r="D6618">
        <f>LOG10(4.064097)</f>
        <v>0.60896406494072797</v>
      </c>
    </row>
    <row r="6619" spans="1:4">
      <c r="A6619">
        <v>1.01678</v>
      </c>
      <c r="B6619">
        <v>3.9238170000000001</v>
      </c>
      <c r="C6619">
        <f>LOG10(1.01678)</f>
        <v>7.2269950842454708E-3</v>
      </c>
      <c r="D6619">
        <f>LOG10(3.923817)</f>
        <v>0.59370874444097199</v>
      </c>
    </row>
    <row r="6620" spans="1:4">
      <c r="A6620">
        <v>1.0176810000000001</v>
      </c>
      <c r="B6620">
        <v>3.8728570000000002</v>
      </c>
      <c r="C6620">
        <f>LOG10(1.017681)</f>
        <v>7.6116663596123594E-3</v>
      </c>
      <c r="D6620">
        <f>LOG10(3.872857)</f>
        <v>0.5880314615465132</v>
      </c>
    </row>
    <row r="6621" spans="1:4">
      <c r="A6621">
        <v>1.012775</v>
      </c>
      <c r="B6621">
        <v>3.9964209999999998</v>
      </c>
      <c r="C6621">
        <f>LOG10(1.012775)</f>
        <v>5.5129723967676427E-3</v>
      </c>
      <c r="D6621">
        <f>LOG10(3.996421)</f>
        <v>0.60167123239330345</v>
      </c>
    </row>
    <row r="6622" spans="1:4">
      <c r="A6622">
        <v>1.012521</v>
      </c>
      <c r="B6622">
        <v>3.6594630000000001</v>
      </c>
      <c r="C6622">
        <f>LOG10(1.012521)</f>
        <v>5.40403938254971E-3</v>
      </c>
      <c r="D6622">
        <f>LOG10(3.659463)</f>
        <v>0.56341736046344226</v>
      </c>
    </row>
    <row r="6623" spans="1:4">
      <c r="A6623">
        <v>1.0154719999999999</v>
      </c>
      <c r="B6623">
        <v>3.8370929999999999</v>
      </c>
      <c r="C6623">
        <f>LOG10(1.015472)</f>
        <v>6.6679529371413207E-3</v>
      </c>
      <c r="D6623">
        <f>LOG10(3.837093)</f>
        <v>0.58400232536390206</v>
      </c>
    </row>
    <row r="6624" spans="1:4">
      <c r="A6624">
        <v>1.018494</v>
      </c>
      <c r="B6624">
        <v>3.9215879999999999</v>
      </c>
      <c r="C6624">
        <f>LOG10(1.018494)</f>
        <v>7.9584748928184148E-3</v>
      </c>
      <c r="D6624">
        <f>LOG10(3.921588)</f>
        <v>0.59346196497548631</v>
      </c>
    </row>
    <row r="6625" spans="1:4">
      <c r="A6625">
        <v>1.010597</v>
      </c>
      <c r="B6625">
        <v>3.8888630000000002</v>
      </c>
      <c r="C6625">
        <f>LOG10(1.010597)</f>
        <v>4.5780046825604319E-3</v>
      </c>
      <c r="D6625">
        <f>LOG10(3.888863)</f>
        <v>0.58982264374091919</v>
      </c>
    </row>
    <row r="6626" spans="1:4">
      <c r="A6626">
        <v>1.0149820000000001</v>
      </c>
      <c r="B6626">
        <v>3.6596920000000002</v>
      </c>
      <c r="C6626">
        <f>LOG10(1.014982)</f>
        <v>6.4583404068760354E-3</v>
      </c>
      <c r="D6626">
        <f>LOG10(3.659692)</f>
        <v>0.56344453667063787</v>
      </c>
    </row>
    <row r="6627" spans="1:4">
      <c r="A6627">
        <v>1.0370239999999999</v>
      </c>
      <c r="B6627">
        <v>3.714664</v>
      </c>
      <c r="C6627">
        <f>LOG10(1.037024)</f>
        <v>1.578880744685526E-2</v>
      </c>
      <c r="D6627">
        <f>LOG10(3.714664)</f>
        <v>0.56991953692694253</v>
      </c>
    </row>
    <row r="6628" spans="1:4">
      <c r="A6628">
        <v>1.0192509999999999</v>
      </c>
      <c r="B6628">
        <v>3.4143840000000001</v>
      </c>
      <c r="C6628">
        <f>LOG10(1.019251)</f>
        <v>8.2811462161922166E-3</v>
      </c>
      <c r="D6628">
        <f>LOG10(3.414384)</f>
        <v>0.53331236262019843</v>
      </c>
    </row>
    <row r="6629" spans="1:4">
      <c r="A6629">
        <v>1.0111220000000001</v>
      </c>
      <c r="B6629">
        <v>3.4602379999999999</v>
      </c>
      <c r="C6629">
        <f>LOG10(1.011122)</f>
        <v>4.8035598740824182E-3</v>
      </c>
      <c r="D6629">
        <f>LOG10(3.460238)</f>
        <v>0.53910597120084514</v>
      </c>
    </row>
    <row r="6630" spans="1:4">
      <c r="A6630">
        <v>1.0088630000000001</v>
      </c>
      <c r="B6630">
        <v>3.4595259999999999</v>
      </c>
      <c r="C6630">
        <f>LOG10(1.008863)</f>
        <v>3.8321945979913909E-3</v>
      </c>
      <c r="D6630">
        <f>LOG10(3.459526)</f>
        <v>0.53901659888346365</v>
      </c>
    </row>
    <row r="6631" spans="1:4">
      <c r="A6631">
        <v>1.0198419999999999</v>
      </c>
      <c r="B6631">
        <v>3.91086</v>
      </c>
      <c r="C6631">
        <f>LOG10(1.019842)</f>
        <v>8.5328934842097987E-3</v>
      </c>
      <c r="D6631">
        <f>LOG10(3.91086)</f>
        <v>0.59227226946383427</v>
      </c>
    </row>
    <row r="6632" spans="1:4">
      <c r="A6632">
        <v>1.0092140000000001</v>
      </c>
      <c r="B6632">
        <v>3.6781519999999999</v>
      </c>
      <c r="C6632">
        <f>LOG10(1.009214)</f>
        <v>3.983266499296605E-3</v>
      </c>
      <c r="D6632">
        <f>LOG10(3.678152)</f>
        <v>0.5656296725358918</v>
      </c>
    </row>
    <row r="6633" spans="1:4">
      <c r="A6633">
        <v>1.007846</v>
      </c>
      <c r="B6633">
        <v>3.8946499999999999</v>
      </c>
      <c r="C6633">
        <f>LOG10(1.007846)</f>
        <v>3.3941764946994004E-3</v>
      </c>
      <c r="D6633">
        <f>LOG10(3.89465)</f>
        <v>0.59046843507700908</v>
      </c>
    </row>
    <row r="6634" spans="1:4">
      <c r="A6634">
        <v>1.0162329999999999</v>
      </c>
      <c r="B6634">
        <v>3.7921870000000002</v>
      </c>
      <c r="C6634">
        <f>LOG10(1.016233)</f>
        <v>6.993293590616438E-3</v>
      </c>
      <c r="D6634">
        <f>LOG10(3.792187)</f>
        <v>0.57888974508630742</v>
      </c>
    </row>
    <row r="6635" spans="1:4">
      <c r="A6635">
        <v>1.0105310000000001</v>
      </c>
      <c r="B6635">
        <v>3.652714</v>
      </c>
      <c r="C6635">
        <f>LOG10(1.010531)</f>
        <v>4.5496408819344844E-3</v>
      </c>
      <c r="D6635">
        <f>LOG10(3.652714)</f>
        <v>0.56261566917761019</v>
      </c>
    </row>
    <row r="6636" spans="1:4">
      <c r="A6636">
        <v>1.0085770000000001</v>
      </c>
      <c r="B6636">
        <v>3.3916179999999998</v>
      </c>
      <c r="C6636">
        <f>LOG10(1.008577)</f>
        <v>3.7090601080869536E-3</v>
      </c>
      <c r="D6636">
        <f>LOG10(3.391618)</f>
        <v>0.53040693148724904</v>
      </c>
    </row>
    <row r="6637" spans="1:4">
      <c r="A6637">
        <v>1.0113259999999999</v>
      </c>
      <c r="B6637">
        <v>3.783309</v>
      </c>
      <c r="C6637">
        <f>LOG10(1.011326)</f>
        <v>4.8911725836390304E-3</v>
      </c>
      <c r="D6637">
        <f>LOG10(3.783309)</f>
        <v>0.57787181354083295</v>
      </c>
    </row>
    <row r="6638" spans="1:4">
      <c r="A6638">
        <v>1.0175719999999999</v>
      </c>
      <c r="B6638">
        <v>3.5098699999999998</v>
      </c>
      <c r="C6638">
        <f>LOG10(1.017572)</f>
        <v>7.5651482131482359E-3</v>
      </c>
      <c r="D6638">
        <f>LOG10(3.50987)</f>
        <v>0.54529103118713551</v>
      </c>
    </row>
    <row r="6639" spans="1:4">
      <c r="A6639">
        <v>1.011045</v>
      </c>
      <c r="B6639">
        <v>3.508956</v>
      </c>
      <c r="C6639">
        <f>LOG10(1.011045)</f>
        <v>4.770485775728763E-3</v>
      </c>
      <c r="D6639">
        <f>LOG10(3.508956)</f>
        <v>0.54517792248243091</v>
      </c>
    </row>
    <row r="6640" spans="1:4">
      <c r="A6640">
        <v>1.0185029999999999</v>
      </c>
      <c r="B6640">
        <v>3.2768799999999998</v>
      </c>
      <c r="C6640">
        <f>LOG10(1.018503)</f>
        <v>7.9623125522132222E-3</v>
      </c>
      <c r="D6640">
        <f>LOG10(3.27688)</f>
        <v>0.51546053772291478</v>
      </c>
    </row>
    <row r="6641" spans="1:4">
      <c r="A6641">
        <v>1.011649</v>
      </c>
      <c r="B6641">
        <v>3.2115369999999999</v>
      </c>
      <c r="C6641">
        <f>LOG10(1.011649)</f>
        <v>5.0298565701903412E-3</v>
      </c>
      <c r="D6641">
        <f>LOG10(3.211537)</f>
        <v>0.50671292986974137</v>
      </c>
    </row>
    <row r="6642" spans="1:4">
      <c r="A6642">
        <v>1.0189159999999999</v>
      </c>
      <c r="B6642">
        <v>3.1384259999999999</v>
      </c>
      <c r="C6642">
        <f>LOG10(1.018916)</f>
        <v>8.1383820042824767E-3</v>
      </c>
      <c r="D6642">
        <f>LOG10(3.138426)</f>
        <v>0.49671189300886065</v>
      </c>
    </row>
    <row r="6643" spans="1:4">
      <c r="A6643">
        <v>1.0084759999999999</v>
      </c>
      <c r="B6643">
        <v>3.2471109999999999</v>
      </c>
      <c r="C6643">
        <f>LOG10(1.008476)</f>
        <v>3.6655672075940619E-3</v>
      </c>
      <c r="D6643">
        <f>LOG10(3.247111)</f>
        <v>0.51149713490365079</v>
      </c>
    </row>
    <row r="6644" spans="1:4">
      <c r="A6644">
        <v>1.017882</v>
      </c>
      <c r="B6644">
        <v>3.2552660000000002</v>
      </c>
      <c r="C6644">
        <f>LOG10(1.017882)</f>
        <v>7.6974344651892668E-3</v>
      </c>
      <c r="D6644">
        <f>LOG10(3.255266)</f>
        <v>0.51258648218598535</v>
      </c>
    </row>
    <row r="6645" spans="1:4">
      <c r="A6645">
        <v>1.0231349999999999</v>
      </c>
      <c r="B6645">
        <v>3.2581009999999999</v>
      </c>
      <c r="C6645">
        <f>LOG10(1.023135)</f>
        <v>9.9329415194573025E-3</v>
      </c>
      <c r="D6645">
        <f>LOG10(3.258101)</f>
        <v>0.51296454315934903</v>
      </c>
    </row>
    <row r="6646" spans="1:4">
      <c r="A6646">
        <v>1.009334</v>
      </c>
      <c r="B6646">
        <v>3.1803780000000001</v>
      </c>
      <c r="C6646">
        <f>LOG10(1.009334)</f>
        <v>4.034902960643811E-3</v>
      </c>
      <c r="D6646">
        <f>LOG10(3.180378)</f>
        <v>0.50247874060017372</v>
      </c>
    </row>
    <row r="6647" spans="1:4">
      <c r="A6647">
        <v>1.0246930000000001</v>
      </c>
      <c r="B6647">
        <v>3.0558619999999999</v>
      </c>
      <c r="C6647">
        <f>LOG10(1.024693)</f>
        <v>1.0593769414530387E-2</v>
      </c>
      <c r="D6647">
        <f>LOG10(3.055862)</f>
        <v>0.48513373799536219</v>
      </c>
    </row>
    <row r="6648" spans="1:4">
      <c r="A6648">
        <v>1.016491</v>
      </c>
      <c r="B6648">
        <v>3.1740409999999999</v>
      </c>
      <c r="C6648">
        <f>LOG10(1.016491)</f>
        <v>7.1035377525712909E-3</v>
      </c>
      <c r="D6648">
        <f>LOG10(3.174041)</f>
        <v>0.5016125323617262</v>
      </c>
    </row>
    <row r="6649" spans="1:4">
      <c r="A6649">
        <v>1.0636639999999999</v>
      </c>
      <c r="B6649">
        <v>3.4212400000000001</v>
      </c>
      <c r="C6649">
        <f>LOG10(1.063664)</f>
        <v>2.6804460674032728E-2</v>
      </c>
      <c r="D6649">
        <f>LOG10(3.42124)</f>
        <v>0.53418354101338184</v>
      </c>
    </row>
    <row r="6650" spans="1:4">
      <c r="A6650">
        <v>1.0797220000000001</v>
      </c>
      <c r="B6650">
        <v>3.4004560000000001</v>
      </c>
      <c r="C6650">
        <f>LOG10(1.079722)</f>
        <v>3.3311950479975767E-2</v>
      </c>
      <c r="D6650">
        <f>LOG10(3.400456)</f>
        <v>0.53153715969070248</v>
      </c>
    </row>
    <row r="6651" spans="1:4">
      <c r="A6651">
        <v>1.0180400000000001</v>
      </c>
      <c r="B6651">
        <v>3.4073910000000001</v>
      </c>
      <c r="C6651">
        <f>LOG10(1.01804)</f>
        <v>7.7648422816758659E-3</v>
      </c>
      <c r="D6651">
        <f>LOG10(3.407391)</f>
        <v>0.53242197195919094</v>
      </c>
    </row>
    <row r="6652" spans="1:4">
      <c r="A6652">
        <v>1.073788</v>
      </c>
      <c r="B6652">
        <v>3.390069</v>
      </c>
      <c r="C6652">
        <f>LOG10(1.073788)</f>
        <v>3.0918546243997522E-2</v>
      </c>
      <c r="D6652">
        <f>LOG10(3.390069)</f>
        <v>0.53020853773532062</v>
      </c>
    </row>
    <row r="6653" spans="1:4">
      <c r="A6653">
        <v>1.053112</v>
      </c>
      <c r="B6653">
        <v>3.4088219999999998</v>
      </c>
      <c r="C6653">
        <f>LOG10(1.053112)</f>
        <v>2.2474561494472019E-2</v>
      </c>
      <c r="D6653">
        <f>LOG10(3.408822)</f>
        <v>0.53260432406958824</v>
      </c>
    </row>
    <row r="6654" spans="1:4">
      <c r="A6654">
        <v>1.044238</v>
      </c>
      <c r="B6654">
        <v>3.3533740000000001</v>
      </c>
      <c r="C6654">
        <f>LOG10(1.044238)</f>
        <v>1.8799493212976547E-2</v>
      </c>
      <c r="D6654">
        <f>LOG10(3.353374)</f>
        <v>0.52548199276023821</v>
      </c>
    </row>
    <row r="6655" spans="1:4">
      <c r="A6655">
        <v>1.046848</v>
      </c>
      <c r="B6655">
        <v>3.4843419999999998</v>
      </c>
      <c r="C6655">
        <f>LOG10(1.046848)</f>
        <v>1.9883627664066424E-2</v>
      </c>
      <c r="D6655">
        <f>LOG10(3.484342)</f>
        <v>0.54212077590602559</v>
      </c>
    </row>
    <row r="6656" spans="1:4">
      <c r="A6656">
        <v>1.035833</v>
      </c>
      <c r="B6656">
        <v>3.4280590000000002</v>
      </c>
      <c r="C6656">
        <f>LOG10(1.035833)</f>
        <v>1.5289742837124753E-2</v>
      </c>
      <c r="D6656">
        <f>LOG10(3.428059)</f>
        <v>0.53504828791683456</v>
      </c>
    </row>
    <row r="6657" spans="1:4">
      <c r="A6657">
        <v>1.021042</v>
      </c>
      <c r="B6657">
        <v>3.4426869999999998</v>
      </c>
      <c r="C6657">
        <f>LOG10(1.021042)</f>
        <v>9.043606918527335E-3</v>
      </c>
      <c r="D6657">
        <f>LOG10(3.442687)</f>
        <v>0.53689753959342279</v>
      </c>
    </row>
    <row r="6658" spans="1:4">
      <c r="A6658">
        <v>1.0251570000000001</v>
      </c>
      <c r="B6658">
        <v>3.436051</v>
      </c>
      <c r="C6658">
        <f>LOG10(1.025157)</f>
        <v>1.0790381501312167E-2</v>
      </c>
      <c r="D6658">
        <f>LOG10(3.436051)</f>
        <v>0.53605960127509567</v>
      </c>
    </row>
    <row r="6659" spans="1:4">
      <c r="A6659">
        <v>1.0172810000000001</v>
      </c>
      <c r="B6659">
        <v>3.3762370000000002</v>
      </c>
      <c r="C6659">
        <f>LOG10(1.017281)</f>
        <v>7.4409331518191782E-3</v>
      </c>
      <c r="D6659">
        <f>LOG10(3.376237)</f>
        <v>0.52843292497362382</v>
      </c>
    </row>
    <row r="6660" spans="1:4">
      <c r="A6660">
        <v>1.020359</v>
      </c>
      <c r="B6660">
        <v>3.4213239999999998</v>
      </c>
      <c r="C6660">
        <f>LOG10(1.020359)</f>
        <v>8.752999495284278E-3</v>
      </c>
      <c r="D6660">
        <f>LOG10(3.421324)</f>
        <v>0.53419420389837102</v>
      </c>
    </row>
    <row r="6661" spans="1:4">
      <c r="A6661">
        <v>1.0141819999999999</v>
      </c>
      <c r="B6661">
        <v>3.4214479999999998</v>
      </c>
      <c r="C6661">
        <f>LOG10(1.014182)</f>
        <v>6.1158982942387643E-3</v>
      </c>
      <c r="D6661">
        <f>LOG10(3.421448)</f>
        <v>0.53420994386917875</v>
      </c>
    </row>
    <row r="6662" spans="1:4">
      <c r="A6662">
        <v>1.016635</v>
      </c>
      <c r="B6662">
        <v>3.399429</v>
      </c>
      <c r="C6662">
        <f>LOG10(1.016635)</f>
        <v>7.1650572112753833E-3</v>
      </c>
      <c r="D6662">
        <f>LOG10(3.399429)</f>
        <v>0.53140597499087117</v>
      </c>
    </row>
    <row r="6663" spans="1:4">
      <c r="A6663">
        <v>1.019223</v>
      </c>
      <c r="B6663">
        <v>3.3460640000000001</v>
      </c>
      <c r="C6663">
        <f>LOG10(1.019223)</f>
        <v>8.2692154822274766E-3</v>
      </c>
      <c r="D6663">
        <f>LOG10(3.346064)</f>
        <v>0.52453424343481114</v>
      </c>
    </row>
    <row r="6664" spans="1:4">
      <c r="A6664">
        <v>1.0138</v>
      </c>
      <c r="B6664">
        <v>3.2977219999999998</v>
      </c>
      <c r="C6664">
        <f>LOG10(1.0138)</f>
        <v>5.9522868873829755E-3</v>
      </c>
      <c r="D6664">
        <f>LOG10(3.297722)</f>
        <v>0.51821404155871342</v>
      </c>
    </row>
    <row r="6665" spans="1:4">
      <c r="A6665">
        <v>1.011881</v>
      </c>
      <c r="B6665">
        <v>3.3231790000000001</v>
      </c>
      <c r="C6665">
        <f>LOG10(1.011881)</f>
        <v>5.1294412763652287E-3</v>
      </c>
      <c r="D6665">
        <f>LOG10(3.323179)</f>
        <v>0.52155373478414613</v>
      </c>
    </row>
    <row r="6666" spans="1:4">
      <c r="A6666">
        <v>1.0198940000000001</v>
      </c>
      <c r="B6666">
        <v>3.3473630000000001</v>
      </c>
      <c r="C6666">
        <f>LOG10(1.019894)</f>
        <v>8.5550368528260635E-3</v>
      </c>
      <c r="D6666">
        <f>LOG10(3.347363)</f>
        <v>0.52470281135646768</v>
      </c>
    </row>
    <row r="6667" spans="1:4">
      <c r="A6667">
        <v>1.0281149999999999</v>
      </c>
      <c r="B6667">
        <v>3.4809510000000001</v>
      </c>
      <c r="C6667">
        <f>LOG10(1.028115)</f>
        <v>1.2041695468667787E-2</v>
      </c>
      <c r="D6667">
        <f>LOG10(3.480951)</f>
        <v>0.54169790993197853</v>
      </c>
    </row>
    <row r="6668" spans="1:4">
      <c r="A6668">
        <v>1.0107109999999999</v>
      </c>
      <c r="B6668">
        <v>3.4813459999999998</v>
      </c>
      <c r="C6668">
        <f>LOG10(1.010711)</f>
        <v>4.6269923390575536E-3</v>
      </c>
      <c r="D6668">
        <f>LOG10(3.481346)</f>
        <v>0.54174718858830007</v>
      </c>
    </row>
    <row r="6669" spans="1:4">
      <c r="A6669">
        <v>1.010834</v>
      </c>
      <c r="B6669">
        <v>3.2928280000000001</v>
      </c>
      <c r="C6669">
        <f>LOG10(1.010834)</f>
        <v>4.6798412455523984E-3</v>
      </c>
      <c r="D6669">
        <f>LOG10(3.292828)</f>
        <v>0.51756904604692588</v>
      </c>
    </row>
    <row r="6670" spans="1:4">
      <c r="A6670">
        <v>1.0120309999999999</v>
      </c>
      <c r="B6670">
        <v>3.290311</v>
      </c>
      <c r="C6670">
        <f>LOG10(1.012031)</f>
        <v>5.1938157871193611E-3</v>
      </c>
      <c r="D6670">
        <f>LOG10(3.290311)</f>
        <v>0.51723694937869025</v>
      </c>
    </row>
    <row r="6671" spans="1:4">
      <c r="A6671">
        <v>1.020635</v>
      </c>
      <c r="B6671">
        <v>3.2839849999999999</v>
      </c>
      <c r="C6671">
        <f>LOG10(1.020635)</f>
        <v>8.8704572415940833E-3</v>
      </c>
      <c r="D6671">
        <f>LOG10(3.283985)</f>
        <v>0.51640116475918563</v>
      </c>
    </row>
    <row r="6672" spans="1:4">
      <c r="A6672">
        <v>1.0140549999999999</v>
      </c>
      <c r="B6672">
        <v>3.2953510000000001</v>
      </c>
      <c r="C6672">
        <f>LOG10(1.014055)</f>
        <v>6.0615107652924024E-3</v>
      </c>
      <c r="D6672">
        <f>LOG10(3.295351)</f>
        <v>0.51790167970226741</v>
      </c>
    </row>
    <row r="6673" spans="1:4">
      <c r="A6673">
        <v>1.0213639999999999</v>
      </c>
      <c r="B6673">
        <v>3.2898269999999998</v>
      </c>
      <c r="C6673">
        <f>LOG10(1.021364)</f>
        <v>9.1805462188735473E-3</v>
      </c>
      <c r="D6673">
        <f>LOG10(3.289827)</f>
        <v>0.51717306058802337</v>
      </c>
    </row>
    <row r="6674" spans="1:4">
      <c r="A6674">
        <v>1.0359370000000001</v>
      </c>
      <c r="B6674">
        <v>3.312535</v>
      </c>
      <c r="C6674">
        <f>LOG10(1.035937)</f>
        <v>1.5333344806605847E-2</v>
      </c>
      <c r="D6674">
        <f>LOG10(3.312535)</f>
        <v>0.52016047569250612</v>
      </c>
    </row>
    <row r="6675" spans="1:4">
      <c r="A6675">
        <v>1.0393570000000001</v>
      </c>
      <c r="B6675">
        <v>3.34788</v>
      </c>
      <c r="C6675">
        <f>LOG10(1.039357)</f>
        <v>1.6764745343278983E-2</v>
      </c>
      <c r="D6675">
        <f>LOG10(3.34788)</f>
        <v>0.52476988293179072</v>
      </c>
    </row>
    <row r="6676" spans="1:4">
      <c r="A6676">
        <v>1.024384</v>
      </c>
      <c r="B6676">
        <v>3.410148</v>
      </c>
      <c r="C6676">
        <f>LOG10(1.024384)</f>
        <v>1.0462786541826833E-2</v>
      </c>
      <c r="D6676">
        <f>LOG10(3.410148)</f>
        <v>0.53277322772813562</v>
      </c>
    </row>
    <row r="6677" spans="1:4">
      <c r="A6677">
        <v>1.033547</v>
      </c>
      <c r="B6677">
        <v>3.4553400000000001</v>
      </c>
      <c r="C6677">
        <f>LOG10(1.033547)</f>
        <v>1.4330230722894495E-2</v>
      </c>
      <c r="D6677">
        <f>LOG10(3.45534)</f>
        <v>0.53849078770409486</v>
      </c>
    </row>
    <row r="6678" spans="1:4">
      <c r="A6678">
        <v>1.0555810000000001</v>
      </c>
      <c r="B6678">
        <v>3.414974</v>
      </c>
      <c r="C6678">
        <f>LOG10(1.055581)</f>
        <v>2.3491564506122879E-2</v>
      </c>
      <c r="D6678">
        <f>LOG10(3.414974)</f>
        <v>0.53338740151696162</v>
      </c>
    </row>
    <row r="6679" spans="1:4">
      <c r="A6679">
        <v>1.0448649999999999</v>
      </c>
      <c r="B6679">
        <v>3.4826389999999998</v>
      </c>
      <c r="C6679">
        <f>LOG10(1.044865)</f>
        <v>1.9060181793988978E-2</v>
      </c>
      <c r="D6679">
        <f>LOG10(3.482639)</f>
        <v>0.54190845911704288</v>
      </c>
    </row>
    <row r="6680" spans="1:4">
      <c r="A6680">
        <v>1.0563389999999999</v>
      </c>
      <c r="B6680">
        <v>3.3931010000000001</v>
      </c>
      <c r="C6680">
        <f>LOG10(1.056339)</f>
        <v>2.3803314223364284E-2</v>
      </c>
      <c r="D6680">
        <f>LOG10(3.393101)</f>
        <v>0.53059678716938408</v>
      </c>
    </row>
    <row r="6681" spans="1:4">
      <c r="A6681">
        <v>1.0476799999999999</v>
      </c>
      <c r="B6681">
        <v>3.4474819999999999</v>
      </c>
      <c r="C6681">
        <f>LOG10(1.04768)</f>
        <v>2.0228653395828588E-2</v>
      </c>
      <c r="D6681">
        <f>LOG10(3.447482)</f>
        <v>0.53750200731457853</v>
      </c>
    </row>
    <row r="6682" spans="1:4">
      <c r="A6682">
        <v>1.035731</v>
      </c>
      <c r="B6682">
        <v>3.3665319999999999</v>
      </c>
      <c r="C6682">
        <f>LOG10(1.035731)</f>
        <v>1.5246975114582799E-2</v>
      </c>
      <c r="D6682">
        <f>LOG10(3.366532)</f>
        <v>0.52718274693625911</v>
      </c>
    </row>
    <row r="6683" spans="1:4">
      <c r="A6683">
        <v>1.0372440000000001</v>
      </c>
      <c r="B6683">
        <v>3.375734</v>
      </c>
      <c r="C6683">
        <f>LOG10(1.037244)</f>
        <v>1.5880931305852289E-2</v>
      </c>
      <c r="D6683">
        <f>LOG10(3.375734)</f>
        <v>0.52836821790518362</v>
      </c>
    </row>
    <row r="6684" spans="1:4">
      <c r="A6684">
        <v>1.03786</v>
      </c>
      <c r="B6684">
        <v>3.3684020000000001</v>
      </c>
      <c r="C6684">
        <f>LOG10(1.03786)</f>
        <v>1.6138774198266956E-2</v>
      </c>
      <c r="D6684">
        <f>LOG10(3.368402)</f>
        <v>0.52742391654594767</v>
      </c>
    </row>
    <row r="6685" spans="1:4">
      <c r="A6685">
        <v>1.0336559999999999</v>
      </c>
      <c r="B6685">
        <v>3.5187819999999999</v>
      </c>
      <c r="C6685">
        <f>LOG10(1.033656)</f>
        <v>1.437602990040274E-2</v>
      </c>
      <c r="D6685">
        <f>LOG10(3.518782)</f>
        <v>0.54639236171164984</v>
      </c>
    </row>
    <row r="6686" spans="1:4">
      <c r="A6686">
        <v>1.043031</v>
      </c>
      <c r="B6686">
        <v>3.4122270000000001</v>
      </c>
      <c r="C6686">
        <f>LOG10(1.043031)</f>
        <v>1.8297216316145174E-2</v>
      </c>
      <c r="D6686">
        <f>LOG10(3.412227)</f>
        <v>0.53303791510044374</v>
      </c>
    </row>
    <row r="6687" spans="1:4">
      <c r="A6687">
        <v>1.031541</v>
      </c>
      <c r="B6687">
        <v>3.529722</v>
      </c>
      <c r="C6687">
        <f>LOG10(1.031541)</f>
        <v>1.3486494277071538E-2</v>
      </c>
      <c r="D6687">
        <f>LOG10(3.529722)</f>
        <v>0.54774050181265865</v>
      </c>
    </row>
    <row r="6688" spans="1:4">
      <c r="A6688">
        <v>1.0317270000000001</v>
      </c>
      <c r="B6688">
        <v>3.5387490000000001</v>
      </c>
      <c r="C6688">
        <f>LOG10(1.031727)</f>
        <v>1.3564796052558614E-2</v>
      </c>
      <c r="D6688">
        <f>LOG10(3.538749)</f>
        <v>0.54884975964774985</v>
      </c>
    </row>
    <row r="6689" spans="1:4">
      <c r="A6689">
        <v>1.0255479999999999</v>
      </c>
      <c r="B6689">
        <v>3.504003</v>
      </c>
      <c r="C6689">
        <f>LOG10(1.025548)</f>
        <v>1.095599200548689E-2</v>
      </c>
      <c r="D6689">
        <f>LOG10(3.504003)</f>
        <v>0.54456446932335134</v>
      </c>
    </row>
    <row r="6690" spans="1:4">
      <c r="A6690">
        <v>1.0183469999999999</v>
      </c>
      <c r="B6690">
        <v>3.4720939999999998</v>
      </c>
      <c r="C6690">
        <f>LOG10(1.018347)</f>
        <v>7.8957883218482988E-3</v>
      </c>
      <c r="D6690">
        <f>LOG10(3.472094)</f>
        <v>0.54059147431801535</v>
      </c>
    </row>
    <row r="6691" spans="1:4">
      <c r="A6691">
        <v>1.0211710000000001</v>
      </c>
      <c r="B6691">
        <v>3.3947180000000001</v>
      </c>
      <c r="C6691">
        <f>LOG10(1.021171)</f>
        <v>9.0984728783856383E-3</v>
      </c>
      <c r="D6691">
        <f>LOG10(3.394718)</f>
        <v>0.53080370317304337</v>
      </c>
    </row>
    <row r="6692" spans="1:4">
      <c r="A6692">
        <v>1.032016</v>
      </c>
      <c r="B6692">
        <v>3.2111649999999998</v>
      </c>
      <c r="C6692">
        <f>LOG10(1.032016)</f>
        <v>1.3686430486778834E-2</v>
      </c>
      <c r="D6692">
        <f>LOG10(3.211165)</f>
        <v>0.50666262158906805</v>
      </c>
    </row>
    <row r="6693" spans="1:4">
      <c r="A6693">
        <v>1.022716</v>
      </c>
      <c r="B6693">
        <v>3.1224660000000002</v>
      </c>
      <c r="C6693">
        <f>LOG10(1.022716)</f>
        <v>9.7550503724855298E-3</v>
      </c>
      <c r="D6693">
        <f>LOG10(3.122466)</f>
        <v>0.49449771811333831</v>
      </c>
    </row>
    <row r="6694" spans="1:4">
      <c r="A6694">
        <v>1.038551</v>
      </c>
      <c r="B6694">
        <v>3.0163319999999998</v>
      </c>
      <c r="C6694">
        <f>LOG10(1.038551)</f>
        <v>1.6427828242069828E-2</v>
      </c>
      <c r="D6694">
        <f>LOG10(3.016332)</f>
        <v>0.47947914151889692</v>
      </c>
    </row>
    <row r="6695" spans="1:4">
      <c r="A6695">
        <v>1.0161960000000001</v>
      </c>
      <c r="B6695">
        <v>3.0093510000000001</v>
      </c>
      <c r="C6695">
        <f>LOG10(1.016196)</f>
        <v>6.9774810866301959E-3</v>
      </c>
      <c r="D6695">
        <f>LOG10(3.009351)</f>
        <v>0.47847284525850076</v>
      </c>
    </row>
    <row r="6696" spans="1:4">
      <c r="A6696">
        <v>1.0184169999999999</v>
      </c>
      <c r="B6696">
        <v>3.1573889999999998</v>
      </c>
      <c r="C6696">
        <f>LOG10(1.018417)</f>
        <v>7.9256401983987517E-3</v>
      </c>
      <c r="D6696">
        <f>LOG10(3.157389)</f>
        <v>0.49932809159954583</v>
      </c>
    </row>
    <row r="6697" spans="1:4">
      <c r="A6697">
        <v>1.0222659999999999</v>
      </c>
      <c r="B6697">
        <v>3.1373160000000002</v>
      </c>
      <c r="C6697">
        <f>LOG10(1.022266)</f>
        <v>9.5639166412243987E-3</v>
      </c>
      <c r="D6697">
        <f>LOG10(3.137316)</f>
        <v>0.49655826436066591</v>
      </c>
    </row>
    <row r="6698" spans="1:4">
      <c r="A6698">
        <v>1.0202249999999999</v>
      </c>
      <c r="B6698">
        <v>3.0635409999999998</v>
      </c>
      <c r="C6698">
        <f>LOG10(1.020225)</f>
        <v>8.6959614506277282E-3</v>
      </c>
      <c r="D6698">
        <f>LOG10(3.063541)</f>
        <v>0.48622369695934087</v>
      </c>
    </row>
    <row r="6699" spans="1:4">
      <c r="A6699">
        <v>1.014176</v>
      </c>
      <c r="B6699">
        <v>3.008702</v>
      </c>
      <c r="C6699">
        <f>LOG10(1.014176)</f>
        <v>6.1133289579663654E-3</v>
      </c>
      <c r="D6699">
        <f>LOG10(3.008702)</f>
        <v>0.47837917472424396</v>
      </c>
    </row>
    <row r="6700" spans="1:4">
      <c r="A6700">
        <v>1.0283409999999999</v>
      </c>
      <c r="B6700">
        <v>3.0067430000000002</v>
      </c>
      <c r="C6700">
        <f>LOG10(1.028341)</f>
        <v>1.2137151489419313E-2</v>
      </c>
      <c r="D6700">
        <f>LOG10(3.006743)</f>
        <v>0.4780963085621811</v>
      </c>
    </row>
    <row r="6701" spans="1:4">
      <c r="A6701">
        <v>1.0195190000000001</v>
      </c>
      <c r="B6701">
        <v>3.0052720000000002</v>
      </c>
      <c r="C6701">
        <f>LOG10(1.019519)</f>
        <v>8.3953238054450853E-3</v>
      </c>
      <c r="D6701">
        <f>LOG10(3.005272)</f>
        <v>0.47788378507525425</v>
      </c>
    </row>
    <row r="6702" spans="1:4">
      <c r="A6702">
        <v>1.013139</v>
      </c>
      <c r="B6702">
        <v>3.1340699999999999</v>
      </c>
      <c r="C6702">
        <f>LOG10(1.013139)</f>
        <v>5.6690335060880573E-3</v>
      </c>
      <c r="D6702">
        <f>LOG10(3.13407)</f>
        <v>0.49610869228388887</v>
      </c>
    </row>
    <row r="6703" spans="1:4">
      <c r="A6703">
        <v>1.023269</v>
      </c>
      <c r="B6703">
        <v>3.0059360000000002</v>
      </c>
      <c r="C6703">
        <f>LOG10(1.023269)</f>
        <v>9.9898173471611625E-3</v>
      </c>
      <c r="D6703">
        <f>LOG10(3.005936)</f>
        <v>0.47797972969642077</v>
      </c>
    </row>
    <row r="6704" spans="1:4">
      <c r="A6704">
        <v>1.019126</v>
      </c>
      <c r="B6704">
        <v>3.2245560000000002</v>
      </c>
      <c r="C6704">
        <f>LOG10(1.019126)</f>
        <v>8.2278814763468138E-3</v>
      </c>
      <c r="D6704">
        <f>LOG10(3.224556)</f>
        <v>0.50846992361474741</v>
      </c>
    </row>
    <row r="6705" spans="1:4">
      <c r="A6705">
        <v>1.017979</v>
      </c>
      <c r="B6705">
        <v>3.0468259999999998</v>
      </c>
      <c r="C6705">
        <f>LOG10(1.017979)</f>
        <v>7.7388189848362357E-3</v>
      </c>
      <c r="D6705">
        <f>LOG10(3.046826)</f>
        <v>0.48384765297633942</v>
      </c>
    </row>
    <row r="6706" spans="1:4">
      <c r="A6706">
        <v>1.01403</v>
      </c>
      <c r="B6706">
        <v>3.1607400000000001</v>
      </c>
      <c r="C6706">
        <f>LOG10(1.01403)</f>
        <v>6.0508037564164369E-3</v>
      </c>
      <c r="D6706">
        <f>LOG10(3.16074)</f>
        <v>0.4997887725844764</v>
      </c>
    </row>
    <row r="6707" spans="1:4">
      <c r="A6707">
        <v>1.0124850000000001</v>
      </c>
      <c r="B6707">
        <v>3.1619329999999999</v>
      </c>
      <c r="C6707">
        <f>LOG10(1.012485)</f>
        <v>5.3885978467220321E-3</v>
      </c>
      <c r="D6707">
        <f>LOG10(3.161933)</f>
        <v>0.49995266318045034</v>
      </c>
    </row>
    <row r="6708" spans="1:4">
      <c r="A6708">
        <v>1.012502</v>
      </c>
      <c r="B6708">
        <v>3.1914349999999998</v>
      </c>
      <c r="C6708">
        <f>LOG10(1.012502)</f>
        <v>5.3958897515021609E-3</v>
      </c>
      <c r="D6708">
        <f>LOG10(3.191435)</f>
        <v>0.50398600357428602</v>
      </c>
    </row>
    <row r="6709" spans="1:4">
      <c r="A6709">
        <v>1.0178720000000001</v>
      </c>
      <c r="B6709">
        <v>3.2112349999999998</v>
      </c>
      <c r="C6709">
        <f>LOG10(1.017872)</f>
        <v>7.6931677956221193E-3</v>
      </c>
      <c r="D6709">
        <f>LOG10(3.211235)</f>
        <v>0.5066720886461602</v>
      </c>
    </row>
    <row r="6710" spans="1:4">
      <c r="A6710">
        <v>1.020737</v>
      </c>
      <c r="B6710">
        <v>3.0707819999999999</v>
      </c>
      <c r="C6710">
        <f>LOG10(1.020737)</f>
        <v>8.913857501018644E-3</v>
      </c>
      <c r="D6710">
        <f>LOG10(3.070782)</f>
        <v>0.48724898623870971</v>
      </c>
    </row>
    <row r="6711" spans="1:4">
      <c r="A6711">
        <v>1.027301</v>
      </c>
      <c r="B6711">
        <v>3.4767199999999998</v>
      </c>
      <c r="C6711">
        <f>LOG10(1.027301)</f>
        <v>1.169771086725311E-2</v>
      </c>
      <c r="D6711">
        <f>LOG10(3.47672)</f>
        <v>0.54116971589134888</v>
      </c>
    </row>
    <row r="6712" spans="1:4">
      <c r="A6712">
        <v>1.018364</v>
      </c>
      <c r="B6712">
        <v>3.4183089999999998</v>
      </c>
      <c r="C6712">
        <f>LOG10(1.018364)</f>
        <v>7.9030382519489316E-3</v>
      </c>
      <c r="D6712">
        <f>LOG10(3.418309)</f>
        <v>0.53381131845766072</v>
      </c>
    </row>
    <row r="6713" spans="1:4">
      <c r="A6713">
        <v>1.0255529999999999</v>
      </c>
      <c r="B6713">
        <v>3.2381880000000001</v>
      </c>
      <c r="C6713">
        <f>LOG10(1.025553)</f>
        <v>1.0958109377970775E-2</v>
      </c>
      <c r="D6713">
        <f>LOG10(3.238188)</f>
        <v>0.51030205905368753</v>
      </c>
    </row>
    <row r="6714" spans="1:4">
      <c r="A6714">
        <v>1.0462260000000001</v>
      </c>
      <c r="B6714">
        <v>3.3279730000000001</v>
      </c>
      <c r="C6714">
        <f>LOG10(1.046226)</f>
        <v>1.9625508576355651E-2</v>
      </c>
      <c r="D6714">
        <f>LOG10(3.327973)</f>
        <v>0.52217979418161364</v>
      </c>
    </row>
    <row r="6715" spans="1:4">
      <c r="A6715">
        <v>1.0423519999999999</v>
      </c>
      <c r="B6715">
        <v>3.3832529999999998</v>
      </c>
      <c r="C6715">
        <f>LOG10(1.042352)</f>
        <v>1.8014404033093914E-2</v>
      </c>
      <c r="D6715">
        <f>LOG10(3.383253)</f>
        <v>0.52933447558742808</v>
      </c>
    </row>
    <row r="6716" spans="1:4">
      <c r="A6716">
        <v>1.0463899999999999</v>
      </c>
      <c r="B6716">
        <v>3.072187</v>
      </c>
      <c r="C6716">
        <f>LOG10(1.04639)</f>
        <v>1.9693580592605051E-2</v>
      </c>
      <c r="D6716">
        <f>LOG10(3.072187)</f>
        <v>0.48744764710048977</v>
      </c>
    </row>
    <row r="6717" spans="1:4">
      <c r="A6717">
        <v>1.0348520000000001</v>
      </c>
      <c r="B6717">
        <v>3.188596</v>
      </c>
      <c r="C6717">
        <f>LOG10(1.034852)</f>
        <v>1.4878243339498172E-2</v>
      </c>
      <c r="D6717">
        <f>LOG10(3.188596)</f>
        <v>0.50359949695213879</v>
      </c>
    </row>
    <row r="6718" spans="1:4">
      <c r="A6718">
        <v>1.036092</v>
      </c>
      <c r="B6718">
        <v>3.2573669999999999</v>
      </c>
      <c r="C6718">
        <f>LOG10(1.036092)</f>
        <v>1.5398320388338079E-2</v>
      </c>
      <c r="D6718">
        <f>LOG10(3.257367)</f>
        <v>0.51286669227555504</v>
      </c>
    </row>
    <row r="6719" spans="1:4">
      <c r="A6719">
        <v>1.0249809999999999</v>
      </c>
      <c r="B6719">
        <v>3.2951969999999999</v>
      </c>
      <c r="C6719">
        <f>LOG10(1.024981)</f>
        <v>1.0715814980421552E-2</v>
      </c>
      <c r="D6719">
        <f>LOG10(3.295197)</f>
        <v>0.51788138355990554</v>
      </c>
    </row>
    <row r="6720" spans="1:4">
      <c r="A6720">
        <v>1.0137929999999999</v>
      </c>
      <c r="B6720">
        <v>3.2182360000000001</v>
      </c>
      <c r="C6720">
        <f>LOG10(1.013793)</f>
        <v>5.9492881974354626E-3</v>
      </c>
      <c r="D6720">
        <f>LOG10(3.218236)</f>
        <v>0.50761788865661106</v>
      </c>
    </row>
    <row r="6721" spans="1:4">
      <c r="A6721">
        <v>1.029304</v>
      </c>
      <c r="B6721">
        <v>3.3113649999999999</v>
      </c>
      <c r="C6721">
        <f>LOG10(1.029304)</f>
        <v>1.2543660500067966E-2</v>
      </c>
      <c r="D6721">
        <f>LOG10(3.311365)</f>
        <v>0.52000705412843928</v>
      </c>
    </row>
    <row r="6722" spans="1:4">
      <c r="A6722">
        <v>1.0236179999999999</v>
      </c>
      <c r="B6722">
        <v>3.3336070000000002</v>
      </c>
      <c r="C6722">
        <f>LOG10(1.023618)</f>
        <v>1.013791421391831E-2</v>
      </c>
      <c r="D6722">
        <f>LOG10(3.333607)</f>
        <v>0.52291439939372053</v>
      </c>
    </row>
    <row r="6723" spans="1:4">
      <c r="A6723">
        <v>1.0164010000000001</v>
      </c>
      <c r="B6723">
        <v>3.4007320000000001</v>
      </c>
      <c r="C6723">
        <f>LOG10(1.016401)</f>
        <v>7.0650836650970961E-3</v>
      </c>
      <c r="D6723">
        <f>LOG10(3.400732)</f>
        <v>0.53157240802586714</v>
      </c>
    </row>
    <row r="6724" spans="1:4">
      <c r="A6724">
        <v>1.02136</v>
      </c>
      <c r="B6724">
        <v>3.4873289999999999</v>
      </c>
      <c r="C6724">
        <f>LOG10(1.02136)</f>
        <v>9.178845374385923E-3</v>
      </c>
      <c r="D6724">
        <f>LOG10(3.487329)</f>
        <v>0.542492921320467</v>
      </c>
    </row>
    <row r="6725" spans="1:4">
      <c r="A6725">
        <v>1.0231589999999999</v>
      </c>
      <c r="B6725">
        <v>3.368277</v>
      </c>
      <c r="C6725">
        <f>LOG10(1.023159)</f>
        <v>9.9431287824470454E-3</v>
      </c>
      <c r="D6725">
        <f>LOG10(3.368277)</f>
        <v>0.52740779975895391</v>
      </c>
    </row>
    <row r="6726" spans="1:4">
      <c r="A6726">
        <v>1.0200670000000001</v>
      </c>
      <c r="B6726">
        <v>3.4107750000000001</v>
      </c>
      <c r="C6726">
        <f>LOG10(1.020067)</f>
        <v>8.6286980115926979E-3</v>
      </c>
      <c r="D6726">
        <f>LOG10(3.410775)</f>
        <v>0.53285307106925539</v>
      </c>
    </row>
    <row r="6727" spans="1:4">
      <c r="A6727">
        <v>1.009131</v>
      </c>
      <c r="B6727">
        <v>3.5829119999999999</v>
      </c>
      <c r="C6727">
        <f>LOG10(1.009131)</f>
        <v>3.9475476880742287E-3</v>
      </c>
      <c r="D6727">
        <f>LOG10(3.582912)</f>
        <v>0.55423614157840773</v>
      </c>
    </row>
    <row r="6728" spans="1:4">
      <c r="A6728">
        <v>1.015957</v>
      </c>
      <c r="B6728">
        <v>3.3501120000000002</v>
      </c>
      <c r="C6728">
        <f>LOG10(1.015957)</f>
        <v>6.875326985385369E-3</v>
      </c>
      <c r="D6728">
        <f>LOG10(3.350112)</f>
        <v>0.52505932649024478</v>
      </c>
    </row>
    <row r="6729" spans="1:4">
      <c r="A6729">
        <v>1.022478</v>
      </c>
      <c r="B6729">
        <v>3.406037</v>
      </c>
      <c r="C6729">
        <f>LOG10(1.022478)</f>
        <v>9.6539723455017473E-3</v>
      </c>
      <c r="D6729">
        <f>LOG10(3.406037)</f>
        <v>0.53224936142122448</v>
      </c>
    </row>
    <row r="6730" spans="1:4">
      <c r="A6730">
        <v>1.028165</v>
      </c>
      <c r="B6730">
        <v>3.3436689999999998</v>
      </c>
      <c r="C6730">
        <f>LOG10(1.028165)</f>
        <v>1.2062815864819564E-2</v>
      </c>
      <c r="D6730">
        <f>LOG10(3.343669)</f>
        <v>0.52422327875846386</v>
      </c>
    </row>
    <row r="6731" spans="1:4">
      <c r="A6731">
        <v>1.0124359999999999</v>
      </c>
      <c r="B6731">
        <v>3.2475339999999999</v>
      </c>
      <c r="C6731">
        <f>LOG10(1.012436)</f>
        <v>5.36757931847575E-3</v>
      </c>
      <c r="D6731">
        <f>LOG10(3.247534)</f>
        <v>0.51155370660729438</v>
      </c>
    </row>
    <row r="6732" spans="1:4">
      <c r="A6732">
        <v>1.017655</v>
      </c>
      <c r="B6732">
        <v>3.2421720000000001</v>
      </c>
      <c r="C6732">
        <f>LOG10(1.017655)</f>
        <v>7.6005707404810377E-3</v>
      </c>
      <c r="D6732">
        <f>LOG10(3.242172)</f>
        <v>0.51083605081769001</v>
      </c>
    </row>
    <row r="6733" spans="1:4">
      <c r="A6733">
        <v>1.022308</v>
      </c>
      <c r="B6733">
        <v>3.2565970000000002</v>
      </c>
      <c r="C6733">
        <f>LOG10(1.022308)</f>
        <v>9.5817593490379032E-3</v>
      </c>
      <c r="D6733">
        <f>LOG10(3.256597)</f>
        <v>0.51276401846506947</v>
      </c>
    </row>
    <row r="6734" spans="1:4">
      <c r="A6734">
        <v>1.0358769999999999</v>
      </c>
      <c r="B6734">
        <v>3.430844</v>
      </c>
      <c r="C6734">
        <f>LOG10(1.035877)</f>
        <v>1.5308190358454078E-2</v>
      </c>
      <c r="D6734">
        <f>LOG10(3.430844)</f>
        <v>0.53540097119536201</v>
      </c>
    </row>
    <row r="6735" spans="1:4">
      <c r="A6735">
        <v>1.018162</v>
      </c>
      <c r="B6735">
        <v>3.3999440000000001</v>
      </c>
      <c r="C6735">
        <f>LOG10(1.018162)</f>
        <v>7.816884197807546E-3</v>
      </c>
      <c r="D6735">
        <f>LOG10(3.399944)</f>
        <v>0.53147176389776241</v>
      </c>
    </row>
    <row r="6736" spans="1:4">
      <c r="A6736">
        <v>1.041056</v>
      </c>
      <c r="B6736">
        <v>3.2867959999999998</v>
      </c>
      <c r="C6736">
        <f>LOG10(1.041056)</f>
        <v>1.7474091505595309E-2</v>
      </c>
      <c r="D6736">
        <f>LOG10(3.286796)</f>
        <v>0.51677274976958398</v>
      </c>
    </row>
    <row r="6737" spans="1:4">
      <c r="A6737">
        <v>1.023935</v>
      </c>
      <c r="B6737">
        <v>3.2476720000000001</v>
      </c>
      <c r="C6737">
        <f>LOG10(1.023935)</f>
        <v>1.0272388244005275E-2</v>
      </c>
      <c r="D6737">
        <f>LOG10(3.247672)</f>
        <v>0.51157216102999059</v>
      </c>
    </row>
    <row r="6738" spans="1:4">
      <c r="A6738">
        <v>1.0196080000000001</v>
      </c>
      <c r="B6738">
        <v>3.53769</v>
      </c>
      <c r="C6738">
        <f>LOG10(1.019608)</f>
        <v>8.4332343513933618E-3</v>
      </c>
      <c r="D6738">
        <f>LOG10(3.53769)</f>
        <v>0.54871977396999039</v>
      </c>
    </row>
    <row r="6739" spans="1:4">
      <c r="A6739">
        <v>1.011455</v>
      </c>
      <c r="B6739">
        <v>3.3733780000000002</v>
      </c>
      <c r="C6739">
        <f>LOG10(1.011455)</f>
        <v>4.9465656175280088E-3</v>
      </c>
      <c r="D6739">
        <f>LOG10(3.373378)</f>
        <v>0.52806500828562897</v>
      </c>
    </row>
    <row r="6740" spans="1:4">
      <c r="A6740">
        <v>1.02535</v>
      </c>
      <c r="B6740">
        <v>3.4144830000000002</v>
      </c>
      <c r="C6740">
        <f>LOG10(1.02535)</f>
        <v>1.0872135755508617E-2</v>
      </c>
      <c r="D6740">
        <f>LOG10(3.414483)</f>
        <v>0.53332495479799646</v>
      </c>
    </row>
    <row r="6741" spans="1:4">
      <c r="A6741">
        <v>1.014232</v>
      </c>
      <c r="B6741">
        <v>3.5615920000000001</v>
      </c>
      <c r="C6741">
        <f>LOG10(1.014232)</f>
        <v>6.1373088387327449E-3</v>
      </c>
      <c r="D6741">
        <f>LOG10(3.561592)</f>
        <v>0.55164416714929165</v>
      </c>
    </row>
    <row r="6742" spans="1:4">
      <c r="A6742">
        <v>1.0131840000000001</v>
      </c>
      <c r="B6742">
        <v>3.5961270000000001</v>
      </c>
      <c r="C6742">
        <f>LOG10(1.013184)</f>
        <v>5.6883228806733433E-3</v>
      </c>
      <c r="D6742">
        <f>LOG10(3.596127)</f>
        <v>0.55583502077678137</v>
      </c>
    </row>
    <row r="6743" spans="1:4">
      <c r="A6743">
        <v>1.115499</v>
      </c>
      <c r="B6743">
        <v>3.4206150000000002</v>
      </c>
      <c r="C6743">
        <f>LOG10(1.115499)</f>
        <v>4.746918529249073E-2</v>
      </c>
      <c r="D6743">
        <f>LOG10(3.420615)</f>
        <v>0.53410419584984226</v>
      </c>
    </row>
    <row r="6744" spans="1:4">
      <c r="A6744">
        <v>1.1321479999999999</v>
      </c>
      <c r="B6744">
        <v>3.3596339999999998</v>
      </c>
      <c r="C6744">
        <f>LOG10(1.132148)</f>
        <v>5.3903203691410842E-2</v>
      </c>
      <c r="D6744">
        <f>LOG10(3.359634)</f>
        <v>0.52629196773561771</v>
      </c>
    </row>
    <row r="6745" spans="1:4">
      <c r="A6745">
        <v>1.1470899999999999</v>
      </c>
      <c r="B6745">
        <v>3.3699129999999999</v>
      </c>
      <c r="C6745">
        <f>LOG10(1.14709)</f>
        <v>5.9597493725137986E-2</v>
      </c>
      <c r="D6745">
        <f>LOG10(3.369913)</f>
        <v>0.52761868896996011</v>
      </c>
    </row>
    <row r="6746" spans="1:4">
      <c r="A6746">
        <v>1.1427879999999999</v>
      </c>
      <c r="B6746">
        <v>3.4189150000000001</v>
      </c>
      <c r="C6746">
        <f>LOG10(1.142788)</f>
        <v>5.796567136668633E-2</v>
      </c>
      <c r="D6746">
        <f>LOG10(3.418915)</f>
        <v>0.53388830363665229</v>
      </c>
    </row>
    <row r="6747" spans="1:4">
      <c r="A6747">
        <v>1.1125050000000001</v>
      </c>
      <c r="B6747">
        <v>3.1110570000000002</v>
      </c>
      <c r="C6747">
        <f>LOG10(1.112505)</f>
        <v>4.6301971533894905E-2</v>
      </c>
      <c r="D6747">
        <f>LOG10(3.111057)</f>
        <v>0.4929079682153224</v>
      </c>
    </row>
    <row r="6748" spans="1:4">
      <c r="A6748">
        <v>1.1099079999999999</v>
      </c>
      <c r="B6748">
        <v>3.0826519999999999</v>
      </c>
      <c r="C6748">
        <f>LOG10(1.109908)</f>
        <v>4.5286981716186024E-2</v>
      </c>
      <c r="D6748">
        <f>LOG10(3.082652)</f>
        <v>0.48892450007190147</v>
      </c>
    </row>
    <row r="6749" spans="1:4">
      <c r="A6749">
        <v>1.1108</v>
      </c>
      <c r="B6749">
        <v>3.1757939999999998</v>
      </c>
      <c r="C6749">
        <f>LOG10(1.1108)</f>
        <v>4.5635871078219981E-2</v>
      </c>
      <c r="D6749">
        <f>LOG10(3.175794)</f>
        <v>0.50185232386689682</v>
      </c>
    </row>
    <row r="6750" spans="1:4">
      <c r="A6750">
        <v>1.1177010000000001</v>
      </c>
      <c r="B6750">
        <v>3.2506210000000002</v>
      </c>
      <c r="C6750">
        <f>LOG10(1.117701)</f>
        <v>4.8325639491916129E-2</v>
      </c>
      <c r="D6750">
        <f>LOG10(3.250621)</f>
        <v>0.51196633670506497</v>
      </c>
    </row>
    <row r="6751" spans="1:4">
      <c r="A6751">
        <v>1.116395</v>
      </c>
      <c r="B6751">
        <v>3.3929909999999999</v>
      </c>
      <c r="C6751">
        <f>LOG10(1.116395)</f>
        <v>4.7817882745586467E-2</v>
      </c>
      <c r="D6751">
        <f>LOG10(3.392991)</f>
        <v>0.53058270766883686</v>
      </c>
    </row>
    <row r="6752" spans="1:4">
      <c r="A6752">
        <v>1.1145659999999999</v>
      </c>
      <c r="B6752">
        <v>3.364906</v>
      </c>
      <c r="C6752">
        <f>LOG10(1.114566)</f>
        <v>4.7105790705106815E-2</v>
      </c>
      <c r="D6752">
        <f>LOG10(3.364906)</f>
        <v>0.52697293653874555</v>
      </c>
    </row>
    <row r="6753" spans="1:4">
      <c r="A6753">
        <v>1.125427</v>
      </c>
      <c r="B6753">
        <v>3.4112179999999999</v>
      </c>
      <c r="C6753">
        <f>LOG10(1.125427)</f>
        <v>5.1317330055891244E-2</v>
      </c>
      <c r="D6753">
        <f>LOG10(3.411218)</f>
        <v>0.53290947466150584</v>
      </c>
    </row>
    <row r="6754" spans="1:4">
      <c r="A6754">
        <v>1.098608</v>
      </c>
      <c r="B6754">
        <v>3.4962080000000002</v>
      </c>
      <c r="C6754">
        <f>LOG10(1.098608)</f>
        <v>4.084275720418698E-2</v>
      </c>
      <c r="D6754">
        <f>LOG10(3.496208)</f>
        <v>0.54359726222468907</v>
      </c>
    </row>
    <row r="6755" spans="1:4">
      <c r="A6755">
        <v>1.0947039999999999</v>
      </c>
      <c r="B6755">
        <v>3.4191289999999999</v>
      </c>
      <c r="C6755">
        <f>LOG10(1.094704)</f>
        <v>3.9296704980039024E-2</v>
      </c>
      <c r="D6755">
        <f>LOG10(3.419129)</f>
        <v>0.53391548656181553</v>
      </c>
    </row>
    <row r="6756" spans="1:4">
      <c r="A6756">
        <v>1.114665</v>
      </c>
      <c r="B6756">
        <v>3.240281</v>
      </c>
      <c r="C6756">
        <f>LOG10(1.114665)</f>
        <v>4.7144364683072058E-2</v>
      </c>
      <c r="D6756">
        <f>LOG10(3.240281)</f>
        <v>0.51058267423676496</v>
      </c>
    </row>
    <row r="6757" spans="1:4">
      <c r="A6757">
        <v>1.1087199999999999</v>
      </c>
      <c r="B6757">
        <v>3.8474940000000002</v>
      </c>
      <c r="C6757">
        <f>LOG10(1.10872)</f>
        <v>4.4821881759084602E-2</v>
      </c>
      <c r="D6757">
        <f>LOG10(3.847494)</f>
        <v>0.58517795124063832</v>
      </c>
    </row>
    <row r="6758" spans="1:4">
      <c r="A6758">
        <v>1.103486</v>
      </c>
      <c r="B6758">
        <v>3.205578</v>
      </c>
      <c r="C6758">
        <f>LOG10(1.103486)</f>
        <v>4.2766827609757259E-2</v>
      </c>
      <c r="D6758">
        <f>LOG10(3.205578)</f>
        <v>0.50590634885582997</v>
      </c>
    </row>
    <row r="6759" spans="1:4">
      <c r="A6759">
        <v>1.09331</v>
      </c>
      <c r="B6759">
        <v>3.4512749999999999</v>
      </c>
      <c r="C6759">
        <f>LOG10(1.09331)</f>
        <v>3.8743320413317059E-2</v>
      </c>
      <c r="D6759">
        <f>LOG10(3.451275)</f>
        <v>0.53797956555756188</v>
      </c>
    </row>
    <row r="6760" spans="1:4">
      <c r="A6760">
        <v>1.117888</v>
      </c>
      <c r="B6760">
        <v>3.4689169999999998</v>
      </c>
      <c r="C6760">
        <f>LOG10(1.117888)</f>
        <v>4.8398294231499564E-2</v>
      </c>
      <c r="D6760">
        <f>LOG10(3.468917)</f>
        <v>0.54019390869958872</v>
      </c>
    </row>
    <row r="6761" spans="1:4">
      <c r="A6761">
        <v>1.078846</v>
      </c>
      <c r="B6761">
        <v>3.8869099999999999</v>
      </c>
      <c r="C6761">
        <f>LOG10(1.078846)</f>
        <v>3.2959455689880901E-2</v>
      </c>
      <c r="D6761">
        <f>LOG10(3.88691)</f>
        <v>0.58960448481549976</v>
      </c>
    </row>
    <row r="6762" spans="1:4">
      <c r="A6762">
        <v>1.0957669999999999</v>
      </c>
      <c r="B6762">
        <v>3.3907910000000001</v>
      </c>
      <c r="C6762">
        <f>LOG10(1.095767)</f>
        <v>3.9718217130168515E-2</v>
      </c>
      <c r="D6762">
        <f>LOG10(3.390791)</f>
        <v>0.53030102176157079</v>
      </c>
    </row>
    <row r="6763" spans="1:4">
      <c r="A6763">
        <v>1.035979</v>
      </c>
      <c r="B6763">
        <v>3.6033770000000001</v>
      </c>
      <c r="C6763">
        <f>LOG10(1.035979)</f>
        <v>1.5350952053465643E-2</v>
      </c>
      <c r="D6763">
        <f>LOG10(3.603377)</f>
        <v>0.55670970215986515</v>
      </c>
    </row>
    <row r="6764" spans="1:4">
      <c r="A6764">
        <v>1.1012919999999999</v>
      </c>
      <c r="B6764">
        <v>3.741266</v>
      </c>
      <c r="C6764">
        <f>LOG10(1.101292)</f>
        <v>4.1902484435240583E-2</v>
      </c>
      <c r="D6764">
        <f>LOG10(3.741266)</f>
        <v>0.57301858716782061</v>
      </c>
    </row>
    <row r="6765" spans="1:4">
      <c r="A6765">
        <v>1.1097760000000001</v>
      </c>
      <c r="B6765">
        <v>3.3762120000000002</v>
      </c>
      <c r="C6765">
        <f>LOG10(1.109776)</f>
        <v>4.5235328533409815E-2</v>
      </c>
      <c r="D6765">
        <f>LOG10(3.376212)</f>
        <v>0.52842970914421217</v>
      </c>
    </row>
    <row r="6766" spans="1:4">
      <c r="A6766">
        <v>1.104927</v>
      </c>
      <c r="B6766">
        <v>3.4553699999999998</v>
      </c>
      <c r="C6766">
        <f>LOG10(1.104927)</f>
        <v>4.3333586125704475E-2</v>
      </c>
      <c r="D6766">
        <f>LOG10(3.45537)</f>
        <v>0.53849455832519089</v>
      </c>
    </row>
    <row r="6767" spans="1:4">
      <c r="A6767">
        <v>1.123801</v>
      </c>
      <c r="B6767">
        <v>3.6952280000000002</v>
      </c>
      <c r="C6767">
        <f>LOG10(1.123801)</f>
        <v>5.068941421046376E-2</v>
      </c>
      <c r="D6767">
        <f>LOG10(3.695228)</f>
        <v>0.56764124004803296</v>
      </c>
    </row>
    <row r="6768" spans="1:4">
      <c r="A6768">
        <v>1.1067929999999999</v>
      </c>
      <c r="B6768">
        <v>3.4380739999999999</v>
      </c>
      <c r="C6768">
        <f>LOG10(1.106793)</f>
        <v>4.4066403747748041E-2</v>
      </c>
      <c r="D6768">
        <f>LOG10(3.438074)</f>
        <v>0.53631522006650667</v>
      </c>
    </row>
    <row r="6769" spans="1:4">
      <c r="A6769">
        <v>1.084476</v>
      </c>
      <c r="B6769">
        <v>3.578757</v>
      </c>
      <c r="C6769">
        <f>LOG10(1.084476)</f>
        <v>3.5219945300973984E-2</v>
      </c>
      <c r="D6769">
        <f>LOG10(3.578757)</f>
        <v>0.55373221050458343</v>
      </c>
    </row>
    <row r="6770" spans="1:4">
      <c r="A6770">
        <v>1.0891630000000001</v>
      </c>
      <c r="B6770">
        <v>3.4821979999999999</v>
      </c>
      <c r="C6770">
        <f>LOG10(1.089163)</f>
        <v>3.7092879483235593E-2</v>
      </c>
      <c r="D6770">
        <f>LOG10(3.482198)</f>
        <v>0.54185346174473537</v>
      </c>
    </row>
    <row r="6771" spans="1:4">
      <c r="A6771">
        <v>1.109405</v>
      </c>
      <c r="B6771">
        <v>3.361971</v>
      </c>
      <c r="C6771">
        <f>LOG10(1.109405)</f>
        <v>4.5090118877877235E-2</v>
      </c>
      <c r="D6771">
        <f>LOG10(3.361971)</f>
        <v>0.52659396294215099</v>
      </c>
    </row>
    <row r="6772" spans="1:4">
      <c r="A6772">
        <v>1.108984</v>
      </c>
      <c r="B6772">
        <v>3.5105590000000002</v>
      </c>
      <c r="C6772">
        <f>LOG10(1.108984)</f>
        <v>4.4925280358504599E-2</v>
      </c>
      <c r="D6772">
        <f>LOG10(3.510559)</f>
        <v>0.5453762763762805</v>
      </c>
    </row>
    <row r="6773" spans="1:4">
      <c r="A6773">
        <v>1.12697</v>
      </c>
      <c r="B6773">
        <v>3.3823750000000001</v>
      </c>
      <c r="C6773">
        <f>LOG10(1.12697)</f>
        <v>5.1912355258289619E-2</v>
      </c>
      <c r="D6773">
        <f>LOG10(3.382375)</f>
        <v>0.52922175565743745</v>
      </c>
    </row>
    <row r="6774" spans="1:4">
      <c r="A6774">
        <v>1.10822</v>
      </c>
      <c r="B6774">
        <v>3.3357290000000002</v>
      </c>
      <c r="C6774">
        <f>LOG10(1.10822)</f>
        <v>4.4625983588964128E-2</v>
      </c>
      <c r="D6774">
        <f>LOG10(3.335729)</f>
        <v>0.52319076061519643</v>
      </c>
    </row>
    <row r="6775" spans="1:4">
      <c r="A6775">
        <v>1.1035489999999999</v>
      </c>
      <c r="B6775">
        <v>3.398282</v>
      </c>
      <c r="C6775">
        <f>LOG10(1.103549)</f>
        <v>4.2791621554907469E-2</v>
      </c>
      <c r="D6775">
        <f>LOG10(3.398282)</f>
        <v>0.53125941513403985</v>
      </c>
    </row>
    <row r="6776" spans="1:4">
      <c r="A6776">
        <v>1.11934</v>
      </c>
      <c r="B6776">
        <v>3.2749359999999998</v>
      </c>
      <c r="C6776">
        <f>LOG10(1.11934)</f>
        <v>4.896202370052475E-2</v>
      </c>
      <c r="D6776">
        <f>LOG10(3.274936)</f>
        <v>0.51520281726873973</v>
      </c>
    </row>
    <row r="6777" spans="1:4">
      <c r="A6777">
        <v>1.1152169999999999</v>
      </c>
      <c r="B6777">
        <v>3.172984</v>
      </c>
      <c r="C6777">
        <f>LOG10(1.115217)</f>
        <v>4.7359381046186692E-2</v>
      </c>
      <c r="D6777">
        <f>LOG10(3.172984)</f>
        <v>0.50146788214477711</v>
      </c>
    </row>
    <row r="6778" spans="1:4">
      <c r="A6778">
        <v>1.1035999999999999</v>
      </c>
      <c r="B6778">
        <v>3.0851479999999998</v>
      </c>
      <c r="C6778">
        <f>LOG10(1.1036)</f>
        <v>4.281169180714782E-2</v>
      </c>
      <c r="D6778">
        <f>LOG10(3.085148)</f>
        <v>0.48927600274254746</v>
      </c>
    </row>
    <row r="6779" spans="1:4">
      <c r="A6779">
        <v>1.0977049999999999</v>
      </c>
      <c r="B6779">
        <v>3.3090090000000001</v>
      </c>
      <c r="C6779">
        <f>LOG10(1.097705)</f>
        <v>4.0485642403832102E-2</v>
      </c>
      <c r="D6779">
        <f>LOG10(3.309009)</f>
        <v>0.51969794837623917</v>
      </c>
    </row>
    <row r="6780" spans="1:4">
      <c r="A6780">
        <v>1.1089770000000001</v>
      </c>
      <c r="B6780">
        <v>3.33413</v>
      </c>
      <c r="C6780">
        <f>LOG10(1.108977)</f>
        <v>4.4922539046666134E-2</v>
      </c>
      <c r="D6780">
        <f>LOG10(3.33413)</f>
        <v>0.52298252925982081</v>
      </c>
    </row>
    <row r="6781" spans="1:4">
      <c r="A6781">
        <v>1.086239</v>
      </c>
      <c r="B6781">
        <v>3.2418870000000002</v>
      </c>
      <c r="C6781">
        <f>LOG10(1.086239)</f>
        <v>3.592539151565069E-2</v>
      </c>
      <c r="D6781">
        <f>LOG10(3.241887)</f>
        <v>0.5107978729024607</v>
      </c>
    </row>
    <row r="6782" spans="1:4">
      <c r="A6782">
        <v>1.087785</v>
      </c>
      <c r="B6782">
        <v>3.1679089999999999</v>
      </c>
      <c r="C6782">
        <f>LOG10(1.087785)</f>
        <v>3.6543065821178777E-2</v>
      </c>
      <c r="D6782">
        <f>LOG10(3.167909)</f>
        <v>0.50077269773895949</v>
      </c>
    </row>
    <row r="6783" spans="1:4">
      <c r="A6783">
        <v>1.0937600000000001</v>
      </c>
      <c r="B6783">
        <v>3.1677360000000001</v>
      </c>
      <c r="C6783">
        <f>LOG10(1.09376)</f>
        <v>3.8922036704624033E-2</v>
      </c>
      <c r="D6783">
        <f>LOG10(3.167736)</f>
        <v>0.50074898020257985</v>
      </c>
    </row>
    <row r="6784" spans="1:4">
      <c r="A6784">
        <v>1.075461</v>
      </c>
      <c r="B6784">
        <v>3.195427</v>
      </c>
      <c r="C6784">
        <f>LOG10(1.075461)</f>
        <v>3.1594665963000743E-2</v>
      </c>
      <c r="D6784">
        <f>LOG10(3.195427)</f>
        <v>0.50452890047655963</v>
      </c>
    </row>
    <row r="6785" spans="1:4">
      <c r="A6785">
        <v>1.073304</v>
      </c>
      <c r="B6785">
        <v>3.0432709999999998</v>
      </c>
      <c r="C6785">
        <f>LOG10(1.073304)</f>
        <v>3.0722747896463707E-2</v>
      </c>
      <c r="D6785">
        <f>LOG10(3.043271)</f>
        <v>0.48334062753535639</v>
      </c>
    </row>
    <row r="6786" spans="1:4">
      <c r="A6786">
        <v>1.068513</v>
      </c>
      <c r="B6786">
        <v>3.092803</v>
      </c>
      <c r="C6786">
        <f>LOG10(1.068513)</f>
        <v>2.8779810350270534E-2</v>
      </c>
      <c r="D6786">
        <f>LOG10(3.092803)</f>
        <v>0.49035225794767417</v>
      </c>
    </row>
    <row r="6787" spans="1:4">
      <c r="A6787">
        <v>1.08125</v>
      </c>
      <c r="B6787">
        <v>2.8979889999999999</v>
      </c>
      <c r="C6787">
        <f>LOG10(1.08125)</f>
        <v>3.3926120472870649E-2</v>
      </c>
      <c r="D6787">
        <f>LOG10(2.897989)</f>
        <v>0.46209673267126083</v>
      </c>
    </row>
    <row r="6788" spans="1:4">
      <c r="A6788">
        <v>1.071968</v>
      </c>
      <c r="B6788">
        <v>2.9201869999999999</v>
      </c>
      <c r="C6788">
        <f>LOG10(1.071968)</f>
        <v>3.0181821148869453E-2</v>
      </c>
      <c r="D6788">
        <f>LOG10(2.920187)</f>
        <v>0.46541066325243879</v>
      </c>
    </row>
    <row r="6789" spans="1:4">
      <c r="A6789">
        <v>1.062902</v>
      </c>
      <c r="B6789">
        <v>2.9870860000000001</v>
      </c>
      <c r="C6789">
        <f>LOG10(1.062902)</f>
        <v>2.6493224239919008E-2</v>
      </c>
      <c r="D6789">
        <f>LOG10(2.987086)</f>
        <v>0.47524772638309842</v>
      </c>
    </row>
    <row r="6790" spans="1:4">
      <c r="A6790">
        <v>1.0622739999999999</v>
      </c>
      <c r="B6790">
        <v>3.1553110000000002</v>
      </c>
      <c r="C6790">
        <f>LOG10(1.062274)</f>
        <v>2.6236551905416808E-2</v>
      </c>
      <c r="D6790">
        <f>LOG10(3.155311)</f>
        <v>0.49904217148105734</v>
      </c>
    </row>
    <row r="6791" spans="1:4">
      <c r="A6791">
        <v>1.083871</v>
      </c>
      <c r="B6791">
        <v>3.0292479999999999</v>
      </c>
      <c r="C6791">
        <f>LOG10(1.083871)</f>
        <v>3.4977596481002196E-2</v>
      </c>
      <c r="D6791">
        <f>LOG10(3.029248)</f>
        <v>0.48133482982759551</v>
      </c>
    </row>
    <row r="6792" spans="1:4">
      <c r="A6792">
        <v>1.0583149999999999</v>
      </c>
      <c r="B6792">
        <v>3.199217</v>
      </c>
      <c r="C6792">
        <f>LOG10(1.058315)</f>
        <v>2.461495163167203E-2</v>
      </c>
      <c r="D6792">
        <f>LOG10(3.199217)</f>
        <v>0.50504369888571043</v>
      </c>
    </row>
    <row r="6793" spans="1:4">
      <c r="A6793">
        <v>1.0773600000000001</v>
      </c>
      <c r="B6793">
        <v>3.1769270000000001</v>
      </c>
      <c r="C6793">
        <f>LOG10(1.07736)</f>
        <v>3.2360847113258928E-2</v>
      </c>
      <c r="D6793">
        <f>LOG10(3.176927)</f>
        <v>0.50200723564508243</v>
      </c>
    </row>
    <row r="6794" spans="1:4">
      <c r="A6794">
        <v>1.071418</v>
      </c>
      <c r="B6794">
        <v>3.2191320000000001</v>
      </c>
      <c r="C6794">
        <f>LOG10(1.071418)</f>
        <v>2.9958938317415432E-2</v>
      </c>
      <c r="D6794">
        <f>LOG10(3.219132)</f>
        <v>0.50773878522747606</v>
      </c>
    </row>
    <row r="6795" spans="1:4">
      <c r="A6795">
        <v>1.0839970000000001</v>
      </c>
      <c r="B6795">
        <v>3.2654719999999999</v>
      </c>
      <c r="C6795">
        <f>LOG10(1.083997)</f>
        <v>3.5028080278707095E-2</v>
      </c>
      <c r="D6795">
        <f>LOG10(3.265472)</f>
        <v>0.51394596422673189</v>
      </c>
    </row>
    <row r="6796" spans="1:4">
      <c r="A6796">
        <v>1.0831189999999999</v>
      </c>
      <c r="B6796">
        <v>3.2840250000000002</v>
      </c>
      <c r="C6796">
        <f>LOG10(1.083119)</f>
        <v>3.4676174265393184E-2</v>
      </c>
      <c r="D6796">
        <f>LOG10(3.284025)</f>
        <v>0.51640645457429757</v>
      </c>
    </row>
    <row r="6797" spans="1:4">
      <c r="A6797">
        <v>1.08409</v>
      </c>
      <c r="B6797">
        <v>3.351029</v>
      </c>
      <c r="C6797">
        <f>LOG10(1.08409)</f>
        <v>3.5065338365529004E-2</v>
      </c>
      <c r="D6797">
        <f>LOG10(3.351029)</f>
        <v>0.52517818626125723</v>
      </c>
    </row>
    <row r="6798" spans="1:4">
      <c r="A6798">
        <v>1.0675319999999999</v>
      </c>
      <c r="B6798">
        <v>3.2884039999999999</v>
      </c>
      <c r="C6798">
        <f>LOG10(1.067532)</f>
        <v>2.8380902165563972E-2</v>
      </c>
      <c r="D6798">
        <f>LOG10(3.288404)</f>
        <v>0.51698516780730841</v>
      </c>
    </row>
    <row r="6799" spans="1:4">
      <c r="A6799">
        <v>1.045415</v>
      </c>
      <c r="B6799">
        <v>3.2931520000000001</v>
      </c>
      <c r="C6799">
        <f>LOG10(1.045415)</f>
        <v>1.9288727223844528E-2</v>
      </c>
      <c r="D6799">
        <f>LOG10(3.293152)</f>
        <v>0.5176117766389563</v>
      </c>
    </row>
    <row r="6800" spans="1:4">
      <c r="A6800">
        <v>1.044808</v>
      </c>
      <c r="B6800">
        <v>3.4519980000000001</v>
      </c>
      <c r="C6800">
        <f>LOG10(1.044808)</f>
        <v>1.9036489297148934E-2</v>
      </c>
      <c r="D6800">
        <f>LOG10(3.451998)</f>
        <v>0.53807053542404815</v>
      </c>
    </row>
    <row r="6801" spans="1:4">
      <c r="A6801">
        <v>1.0386310000000001</v>
      </c>
      <c r="B6801">
        <v>3.4060269999999999</v>
      </c>
      <c r="C6801">
        <f>LOG10(1.038631)</f>
        <v>1.646128083175092E-2</v>
      </c>
      <c r="D6801">
        <f>LOG10(3.406027)</f>
        <v>0.53224808634664522</v>
      </c>
    </row>
    <row r="6802" spans="1:4">
      <c r="A6802">
        <v>1.0392490000000001</v>
      </c>
      <c r="B6802">
        <v>3.4276610000000001</v>
      </c>
      <c r="C6802">
        <f>LOG10(1.039249)</f>
        <v>1.6719615285838797E-2</v>
      </c>
      <c r="D6802">
        <f>LOG10(3.427661)</f>
        <v>0.53499786310252129</v>
      </c>
    </row>
    <row r="6803" spans="1:4">
      <c r="A6803">
        <v>1.0524990000000001</v>
      </c>
      <c r="B6803">
        <v>3.3493270000000002</v>
      </c>
      <c r="C6803">
        <f>LOG10(1.052499)</f>
        <v>2.2221691876173198E-2</v>
      </c>
      <c r="D6803">
        <f>LOG10(3.349327)</f>
        <v>0.52495755045501125</v>
      </c>
    </row>
    <row r="6804" spans="1:4">
      <c r="A6804">
        <v>1.051733</v>
      </c>
      <c r="B6804">
        <v>3.4004349999999999</v>
      </c>
      <c r="C6804">
        <f>LOG10(1.051733)</f>
        <v>2.1905500897390764E-2</v>
      </c>
      <c r="D6804">
        <f>LOG10(3.400435)</f>
        <v>0.53153447763503647</v>
      </c>
    </row>
    <row r="6805" spans="1:4">
      <c r="A6805">
        <v>1.0378860000000001</v>
      </c>
      <c r="B6805">
        <v>3.3345090000000002</v>
      </c>
      <c r="C6805">
        <f>LOG10(1.037886)</f>
        <v>1.6149653811215855E-2</v>
      </c>
      <c r="D6805">
        <f>LOG10(3.334509)</f>
        <v>0.52303189393792637</v>
      </c>
    </row>
    <row r="6806" spans="1:4">
      <c r="A6806">
        <v>1.0292300000000001</v>
      </c>
      <c r="B6806">
        <v>3.328633</v>
      </c>
      <c r="C6806">
        <f>LOG10(1.02923)</f>
        <v>1.2512436540031703E-2</v>
      </c>
      <c r="D6806">
        <f>LOG10(3.328633)</f>
        <v>0.52226591445341441</v>
      </c>
    </row>
    <row r="6807" spans="1:4">
      <c r="A6807">
        <v>1.0322169999999999</v>
      </c>
      <c r="B6807">
        <v>3.2754569999999998</v>
      </c>
      <c r="C6807">
        <f>LOG10(1.032217)</f>
        <v>1.3771007364620044E-2</v>
      </c>
      <c r="D6807">
        <f>LOG10(3.275457)</f>
        <v>0.51527190241387488</v>
      </c>
    </row>
    <row r="6808" spans="1:4">
      <c r="A6808">
        <v>1.0345340000000001</v>
      </c>
      <c r="B6808">
        <v>3.2440030000000002</v>
      </c>
      <c r="C6808">
        <f>LOG10(1.034534)</f>
        <v>1.4744768341279057E-2</v>
      </c>
      <c r="D6808">
        <f>LOG10(3.244003)</f>
        <v>0.51108124716761516</v>
      </c>
    </row>
    <row r="6809" spans="1:4">
      <c r="A6809">
        <v>1.0333870000000001</v>
      </c>
      <c r="B6809">
        <v>3.3637980000000001</v>
      </c>
      <c r="C6809">
        <f>LOG10(1.033387)</f>
        <v>1.4262993822980626E-2</v>
      </c>
      <c r="D6809">
        <f>LOG10(3.363798)</f>
        <v>0.52682990801786012</v>
      </c>
    </row>
    <row r="6810" spans="1:4">
      <c r="A6810">
        <v>1.033809</v>
      </c>
      <c r="B6810">
        <v>3.4385119999999998</v>
      </c>
      <c r="C6810">
        <f>LOG10(1.033809)</f>
        <v>1.4440308672573034E-2</v>
      </c>
      <c r="D6810">
        <f>LOG10(3.438512)</f>
        <v>0.53637054431703768</v>
      </c>
    </row>
    <row r="6811" spans="1:4">
      <c r="A6811">
        <v>1.0459719999999999</v>
      </c>
      <c r="B6811">
        <v>3.3522949999999998</v>
      </c>
      <c r="C6811">
        <f>LOG10(1.045972)</f>
        <v>1.9520058901950587E-2</v>
      </c>
      <c r="D6811">
        <f>LOG10(3.352295)</f>
        <v>0.52534222930039021</v>
      </c>
    </row>
    <row r="6812" spans="1:4">
      <c r="A6812">
        <v>1.073815</v>
      </c>
      <c r="B6812">
        <v>3.2302979999999999</v>
      </c>
      <c r="C6812">
        <f>LOG10(1.073815)</f>
        <v>3.092946627997438E-2</v>
      </c>
      <c r="D6812">
        <f>LOG10(3.230298)</f>
        <v>0.50924258851866855</v>
      </c>
    </row>
    <row r="6813" spans="1:4">
      <c r="A6813">
        <v>1.054163</v>
      </c>
      <c r="B6813">
        <v>3.2547779999999999</v>
      </c>
      <c r="C6813">
        <f>LOG10(1.054163)</f>
        <v>2.2907768872082492E-2</v>
      </c>
      <c r="D6813">
        <f>LOG10(3.254778)</f>
        <v>0.512521371809599</v>
      </c>
    </row>
    <row r="6814" spans="1:4">
      <c r="A6814">
        <v>1.035644</v>
      </c>
      <c r="B6814">
        <v>3.1738550000000001</v>
      </c>
      <c r="C6814">
        <f>LOG10(1.035644)</f>
        <v>1.5210493434589772E-2</v>
      </c>
      <c r="D6814">
        <f>LOG10(3.173855)</f>
        <v>0.50158708179553635</v>
      </c>
    </row>
    <row r="6815" spans="1:4">
      <c r="A6815">
        <v>1.0440750000000001</v>
      </c>
      <c r="B6815">
        <v>3.3160409999999998</v>
      </c>
      <c r="C6815">
        <f>LOG10(1.044075)</f>
        <v>1.8731696861860644E-2</v>
      </c>
      <c r="D6815">
        <f>LOG10(3.316041)</f>
        <v>0.52061989158984001</v>
      </c>
    </row>
    <row r="6816" spans="1:4">
      <c r="A6816">
        <v>1.045196</v>
      </c>
      <c r="B6816">
        <v>3.3218380000000001</v>
      </c>
      <c r="C6816">
        <f>LOG10(1.045196)</f>
        <v>1.9197738998981369E-2</v>
      </c>
      <c r="D6816">
        <f>LOG10(3.321838)</f>
        <v>0.52137844887949358</v>
      </c>
    </row>
    <row r="6817" spans="1:4">
      <c r="A6817">
        <v>1.044694</v>
      </c>
      <c r="B6817">
        <v>3.2763460000000002</v>
      </c>
      <c r="C6817">
        <f>LOG10(1.044694)</f>
        <v>1.8989100425555537E-2</v>
      </c>
      <c r="D6817">
        <f>LOG10(3.276346)</f>
        <v>0.51538975937531939</v>
      </c>
    </row>
    <row r="6818" spans="1:4">
      <c r="A6818">
        <v>1.0450489999999999</v>
      </c>
      <c r="B6818">
        <v>3.3527239999999998</v>
      </c>
      <c r="C6818">
        <f>LOG10(1.045049)</f>
        <v>1.9136654017129884E-2</v>
      </c>
      <c r="D6818">
        <f>LOG10(3.352724)</f>
        <v>0.52539780329145291</v>
      </c>
    </row>
    <row r="6819" spans="1:4">
      <c r="A6819">
        <v>1.0477350000000001</v>
      </c>
      <c r="B6819">
        <v>3.267703</v>
      </c>
      <c r="C6819">
        <f>LOG10(1.047735)</f>
        <v>2.0251451931212007E-2</v>
      </c>
      <c r="D6819">
        <f>LOG10(3.267703)</f>
        <v>0.51424257683141161</v>
      </c>
    </row>
    <row r="6820" spans="1:4">
      <c r="A6820">
        <v>1.0377879999999999</v>
      </c>
      <c r="B6820">
        <v>3.4457770000000001</v>
      </c>
      <c r="C6820">
        <f>LOG10(1.037788)</f>
        <v>1.6108644616845053E-2</v>
      </c>
      <c r="D6820">
        <f>LOG10(3.445777)</f>
        <v>0.53728716782958452</v>
      </c>
    </row>
    <row r="6821" spans="1:4">
      <c r="A6821">
        <v>1.0516019999999999</v>
      </c>
      <c r="B6821">
        <v>3.4774609999999999</v>
      </c>
      <c r="C6821">
        <f>LOG10(1.051602)</f>
        <v>2.1851403402504847E-2</v>
      </c>
      <c r="D6821">
        <f>LOG10(3.477461)</f>
        <v>0.54126226804445166</v>
      </c>
    </row>
    <row r="6822" spans="1:4">
      <c r="A6822">
        <v>1.059744</v>
      </c>
      <c r="B6822">
        <v>3.4625409999999999</v>
      </c>
      <c r="C6822">
        <f>LOG10(1.059744)</f>
        <v>2.5200966382728118E-2</v>
      </c>
      <c r="D6822">
        <f>LOG10(3.462541)</f>
        <v>0.53939492459043614</v>
      </c>
    </row>
    <row r="6823" spans="1:4">
      <c r="A6823">
        <v>1.0636479999999999</v>
      </c>
      <c r="B6823">
        <v>3.4789099999999999</v>
      </c>
      <c r="C6823">
        <f>LOG10(1.063648)</f>
        <v>2.6797927817817382E-2</v>
      </c>
      <c r="D6823">
        <f>LOG10(3.47891)</f>
        <v>0.54144319361997917</v>
      </c>
    </row>
    <row r="6824" spans="1:4">
      <c r="A6824">
        <v>1.060837</v>
      </c>
      <c r="B6824">
        <v>3.4131</v>
      </c>
      <c r="C6824">
        <f>LOG10(1.060837)</f>
        <v>2.5648658699838883E-2</v>
      </c>
      <c r="D6824">
        <f>LOG10(3.4131)</f>
        <v>0.53314901280602445</v>
      </c>
    </row>
    <row r="6825" spans="1:4">
      <c r="A6825">
        <v>1.0539369999999999</v>
      </c>
      <c r="B6825">
        <v>3.3612660000000001</v>
      </c>
      <c r="C6825">
        <f>LOG10(1.053937)</f>
        <v>2.2814651322358874E-2</v>
      </c>
      <c r="D6825">
        <f>LOG10(3.361266)</f>
        <v>0.52650288252631439</v>
      </c>
    </row>
    <row r="6826" spans="1:4">
      <c r="A6826">
        <v>1.060449</v>
      </c>
      <c r="B6826">
        <v>3.3264309999999999</v>
      </c>
      <c r="C6826">
        <f>LOG10(1.060449)</f>
        <v>2.5489786901450897E-2</v>
      </c>
      <c r="D6826">
        <f>LOG10(3.326431)</f>
        <v>0.52197851932571926</v>
      </c>
    </row>
    <row r="6827" spans="1:4">
      <c r="A6827">
        <v>1.0432090000000001</v>
      </c>
      <c r="B6827">
        <v>3.4439389999999999</v>
      </c>
      <c r="C6827">
        <f>LOG10(1.043209)</f>
        <v>1.8371325160732917E-2</v>
      </c>
      <c r="D6827">
        <f>LOG10(3.443939)</f>
        <v>0.53705545050577186</v>
      </c>
    </row>
    <row r="6828" spans="1:4">
      <c r="A6828">
        <v>1.0829150000000001</v>
      </c>
      <c r="B6828">
        <v>3.2797269999999998</v>
      </c>
      <c r="C6828">
        <f>LOG10(1.082915)</f>
        <v>3.4594369386457623E-2</v>
      </c>
      <c r="D6828">
        <f>LOG10(3.279727)</f>
        <v>0.51583769513609712</v>
      </c>
    </row>
    <row r="6829" spans="1:4">
      <c r="A6829">
        <v>1.058249</v>
      </c>
      <c r="B6829">
        <v>3.390873</v>
      </c>
      <c r="C6829">
        <f>LOG10(1.058249)</f>
        <v>2.4587866756549084E-2</v>
      </c>
      <c r="D6829">
        <f>LOG10(3.390873)</f>
        <v>0.5303115242422356</v>
      </c>
    </row>
    <row r="6830" spans="1:4">
      <c r="A6830">
        <v>1.053914</v>
      </c>
      <c r="B6830">
        <v>3.401281</v>
      </c>
      <c r="C6830">
        <f>LOG10(1.053914)</f>
        <v>2.2805173638135352E-2</v>
      </c>
      <c r="D6830">
        <f>LOG10(3.401281)</f>
        <v>0.5316425130583281</v>
      </c>
    </row>
    <row r="6831" spans="1:4">
      <c r="A6831">
        <v>1.0749869999999999</v>
      </c>
      <c r="B6831">
        <v>3.366018</v>
      </c>
      <c r="C6831">
        <f>LOG10(1.074987)</f>
        <v>3.1403212286598439E-2</v>
      </c>
      <c r="D6831">
        <f>LOG10(3.366018)</f>
        <v>0.5271164340639799</v>
      </c>
    </row>
    <row r="6832" spans="1:4">
      <c r="A6832">
        <v>1.063868</v>
      </c>
      <c r="B6832">
        <v>3.3969130000000001</v>
      </c>
      <c r="C6832">
        <f>LOG10(1.063868)</f>
        <v>2.6887745977924583E-2</v>
      </c>
      <c r="D6832">
        <f>LOG10(3.396913)</f>
        <v>0.53108442408410839</v>
      </c>
    </row>
    <row r="6833" spans="1:4">
      <c r="A6833">
        <v>1.0829470000000001</v>
      </c>
      <c r="B6833">
        <v>3.295849</v>
      </c>
      <c r="C6833">
        <f>LOG10(1.082947)</f>
        <v>3.4607202543345664E-2</v>
      </c>
      <c r="D6833">
        <f>LOG10(3.295849)</f>
        <v>0.51796730618982634</v>
      </c>
    </row>
    <row r="6834" spans="1:4">
      <c r="A6834">
        <v>1.064721</v>
      </c>
      <c r="B6834">
        <v>3.1027369999999999</v>
      </c>
      <c r="C6834">
        <f>LOG10(1.064721)</f>
        <v>2.7235819948891873E-2</v>
      </c>
      <c r="D6834">
        <f>LOG10(3.102737)</f>
        <v>0.49174496466265583</v>
      </c>
    </row>
    <row r="6835" spans="1:4">
      <c r="A6835">
        <v>1.0822970000000001</v>
      </c>
      <c r="B6835">
        <v>3.0952540000000002</v>
      </c>
      <c r="C6835">
        <f>LOG10(1.082297)</f>
        <v>3.4346454635288189E-2</v>
      </c>
      <c r="D6835">
        <f>LOG10(3.095254)</f>
        <v>0.49069629350869448</v>
      </c>
    </row>
    <row r="6836" spans="1:4">
      <c r="A6836">
        <v>1.0448930000000001</v>
      </c>
      <c r="B6836">
        <v>3.0644610000000001</v>
      </c>
      <c r="C6836">
        <f>LOG10(1.044893)</f>
        <v>1.9071819740099558E-2</v>
      </c>
      <c r="D6836">
        <f>LOG10(3.064461)</f>
        <v>0.48635409865514739</v>
      </c>
    </row>
    <row r="6837" spans="1:4">
      <c r="A6837">
        <v>1.0697479999999999</v>
      </c>
      <c r="B6837">
        <v>3.1154329999999999</v>
      </c>
      <c r="C6837">
        <f>LOG10(1.069748)</f>
        <v>2.928148320011547E-2</v>
      </c>
      <c r="D6837">
        <f>LOG10(3.115433)</f>
        <v>0.49351841582407491</v>
      </c>
    </row>
    <row r="6838" spans="1:4">
      <c r="A6838">
        <v>1.068919</v>
      </c>
      <c r="B6838">
        <v>3.0785269999999998</v>
      </c>
      <c r="C6838">
        <f>LOG10(1.068919)</f>
        <v>2.8944796709390513E-2</v>
      </c>
      <c r="D6838">
        <f>LOG10(3.078527)</f>
        <v>0.48834296689277268</v>
      </c>
    </row>
    <row r="6839" spans="1:4">
      <c r="A6839">
        <v>1.069267</v>
      </c>
      <c r="B6839">
        <v>2.9831259999999999</v>
      </c>
      <c r="C6839">
        <f>LOG10(1.069267)</f>
        <v>2.908616371959151E-2</v>
      </c>
      <c r="D6839">
        <f>LOG10(2.983126)</f>
        <v>0.47467159729403058</v>
      </c>
    </row>
    <row r="6840" spans="1:4">
      <c r="A6840">
        <v>1.082703</v>
      </c>
      <c r="B6840">
        <v>2.8361909999999999</v>
      </c>
      <c r="C6840">
        <f>LOG10(1.082703)</f>
        <v>3.4509340142650412E-2</v>
      </c>
      <c r="D6840">
        <f>LOG10(2.836191)</f>
        <v>0.45273547455506513</v>
      </c>
    </row>
    <row r="6841" spans="1:4">
      <c r="A6841">
        <v>1.0638989999999999</v>
      </c>
      <c r="B6841">
        <v>3.114017</v>
      </c>
      <c r="C6841">
        <f>LOG10(1.063899)</f>
        <v>2.6900400680192178E-2</v>
      </c>
      <c r="D6841">
        <f>LOG10(3.114017)</f>
        <v>0.49332097913320611</v>
      </c>
    </row>
    <row r="6842" spans="1:4">
      <c r="A6842">
        <v>1.05355</v>
      </c>
      <c r="B6842">
        <v>3.0747819999999999</v>
      </c>
      <c r="C6842">
        <f>LOG10(1.05355)</f>
        <v>2.2655151438007826E-2</v>
      </c>
      <c r="D6842">
        <f>LOG10(3.074782)</f>
        <v>0.48781433001282892</v>
      </c>
    </row>
    <row r="6843" spans="1:4">
      <c r="A6843">
        <v>1.0728279999999999</v>
      </c>
      <c r="B6843">
        <v>2.968343</v>
      </c>
      <c r="C6843">
        <f>LOG10(1.072828)</f>
        <v>3.053009974921481E-2</v>
      </c>
      <c r="D6843">
        <f>LOG10(2.968343)</f>
        <v>0.47251408339958501</v>
      </c>
    </row>
    <row r="6844" spans="1:4">
      <c r="A6844">
        <v>1.0673140000000001</v>
      </c>
      <c r="B6844">
        <v>3.0279829999999999</v>
      </c>
      <c r="C6844">
        <f>LOG10(1.067314)</f>
        <v>2.8292206121555259E-2</v>
      </c>
      <c r="D6844">
        <f>LOG10(3.027983)</f>
        <v>0.48115343257608084</v>
      </c>
    </row>
    <row r="6845" spans="1:4">
      <c r="A6845">
        <v>1.080165</v>
      </c>
      <c r="B6845">
        <v>3.0570379999999999</v>
      </c>
      <c r="C6845">
        <f>LOG10(1.080165)</f>
        <v>3.3490100964867743E-2</v>
      </c>
      <c r="D6845">
        <f>LOG10(3.057038)</f>
        <v>0.48530083718462391</v>
      </c>
    </row>
    <row r="6846" spans="1:4">
      <c r="A6846">
        <v>1.0731200000000001</v>
      </c>
      <c r="B6846">
        <v>2.9192100000000001</v>
      </c>
      <c r="C6846">
        <f>LOG10(1.07312)</f>
        <v>3.0648288996576338E-2</v>
      </c>
      <c r="D6846">
        <f>LOG10(2.91921)</f>
        <v>0.46526533807150711</v>
      </c>
    </row>
    <row r="6847" spans="1:4">
      <c r="A6847">
        <v>1.0480259999999999</v>
      </c>
      <c r="B6847">
        <v>3.0041730000000002</v>
      </c>
      <c r="C6847">
        <f>LOG10(1.048026)</f>
        <v>2.0372056995478362E-2</v>
      </c>
      <c r="D6847">
        <f>LOG10(3.004173)</f>
        <v>0.477724938579136</v>
      </c>
    </row>
    <row r="6848" spans="1:4">
      <c r="A6848">
        <v>1.0800529999999999</v>
      </c>
      <c r="B6848">
        <v>3.1205409999999998</v>
      </c>
      <c r="C6848">
        <f>LOG10(1.080053)</f>
        <v>3.3445067563593618E-2</v>
      </c>
      <c r="D6848">
        <f>LOG10(3.120541)</f>
        <v>0.49422989303988923</v>
      </c>
    </row>
    <row r="6849" spans="1:4">
      <c r="A6849">
        <v>1.0722719999999999</v>
      </c>
      <c r="B6849">
        <v>2.9512299999999998</v>
      </c>
      <c r="C6849">
        <f>LOG10(1.072272)</f>
        <v>3.0304965501538099E-2</v>
      </c>
      <c r="D6849">
        <f>LOG10(2.95123)</f>
        <v>0.47000305695452776</v>
      </c>
    </row>
    <row r="6850" spans="1:4">
      <c r="A6850">
        <v>1.055078</v>
      </c>
      <c r="B6850">
        <v>3.0305870000000001</v>
      </c>
      <c r="C6850">
        <f>LOG10(1.055078)</f>
        <v>2.3284567422716299E-2</v>
      </c>
      <c r="D6850">
        <f>LOG10(3.030587)</f>
        <v>0.48152675595123839</v>
      </c>
    </row>
    <row r="6851" spans="1:4">
      <c r="A6851">
        <v>1.073507</v>
      </c>
      <c r="B6851">
        <v>2.9708420000000002</v>
      </c>
      <c r="C6851">
        <f>LOG10(1.073507)</f>
        <v>3.0804880678612766E-2</v>
      </c>
      <c r="D6851">
        <f>LOG10(2.970842)</f>
        <v>0.47287955508444574</v>
      </c>
    </row>
    <row r="6852" spans="1:4">
      <c r="A6852">
        <v>1.0644659999999999</v>
      </c>
      <c r="B6852">
        <v>2.8833389999999999</v>
      </c>
      <c r="C6852">
        <f>LOG10(1.064466)</f>
        <v>2.7131794240097984E-2</v>
      </c>
      <c r="D6852">
        <f>LOG10(2.883339)</f>
        <v>0.45989570627104048</v>
      </c>
    </row>
    <row r="6853" spans="1:4">
      <c r="A6853">
        <v>1.0606260000000001</v>
      </c>
      <c r="B6853">
        <v>3.1177090000000001</v>
      </c>
      <c r="C6853">
        <f>LOG10(1.060626)</f>
        <v>2.5562269131900409E-2</v>
      </c>
      <c r="D6853">
        <f>LOG10(3.117709)</f>
        <v>0.49383557666679029</v>
      </c>
    </row>
    <row r="6854" spans="1:4">
      <c r="A6854">
        <v>1.0657460000000001</v>
      </c>
      <c r="B6854">
        <v>2.998586</v>
      </c>
      <c r="C6854">
        <f>LOG10(1.065746)</f>
        <v>2.7653711311018171E-2</v>
      </c>
      <c r="D6854">
        <f>LOG10(2.998586)</f>
        <v>0.47691650899832572</v>
      </c>
    </row>
    <row r="6855" spans="1:4">
      <c r="A6855">
        <v>1.100422</v>
      </c>
      <c r="B6855">
        <v>2.89161</v>
      </c>
      <c r="C6855">
        <f>LOG10(1.100422)</f>
        <v>4.155926436313219E-2</v>
      </c>
      <c r="D6855">
        <f>LOG10(2.89161)</f>
        <v>0.46113971798989556</v>
      </c>
    </row>
    <row r="6856" spans="1:4">
      <c r="A6856">
        <v>1.10039</v>
      </c>
      <c r="B6856">
        <v>2.918317</v>
      </c>
      <c r="C6856">
        <f>LOG10(1.10039)</f>
        <v>4.1546635003221491E-2</v>
      </c>
      <c r="D6856">
        <f>LOG10(2.918317)</f>
        <v>0.4651324650328505</v>
      </c>
    </row>
    <row r="6857" spans="1:4">
      <c r="A6857">
        <v>1.0650569999999999</v>
      </c>
      <c r="B6857">
        <v>3.0893609999999998</v>
      </c>
      <c r="C6857">
        <f>LOG10(1.065057)</f>
        <v>2.7372851082775384E-2</v>
      </c>
      <c r="D6857">
        <f>LOG10(3.089361)</f>
        <v>0.48986865972505483</v>
      </c>
    </row>
    <row r="6858" spans="1:4">
      <c r="A6858">
        <v>1.052932</v>
      </c>
      <c r="B6858">
        <v>3.0741459999999998</v>
      </c>
      <c r="C6858">
        <f>LOG10(1.052932)</f>
        <v>2.240032467232304E-2</v>
      </c>
      <c r="D6858">
        <f>LOG10(3.074146)</f>
        <v>0.48772448954259556</v>
      </c>
    </row>
    <row r="6859" spans="1:4">
      <c r="A6859">
        <v>1.068405</v>
      </c>
      <c r="B6859">
        <v>2.9423879999999998</v>
      </c>
      <c r="C6859">
        <f>LOG10(1.068405)</f>
        <v>2.8735911797227801E-2</v>
      </c>
      <c r="D6859">
        <f>LOG10(2.942388)</f>
        <v>0.46869994070571713</v>
      </c>
    </row>
    <row r="6860" spans="1:4">
      <c r="A6860">
        <v>1.066187</v>
      </c>
      <c r="B6860">
        <v>2.950024</v>
      </c>
      <c r="C6860">
        <f>LOG10(1.066187)</f>
        <v>2.7833382875979158E-2</v>
      </c>
      <c r="D6860">
        <f>LOG10(2.950024)</f>
        <v>0.46982554920703318</v>
      </c>
    </row>
    <row r="6861" spans="1:4">
      <c r="A6861">
        <v>1.0654729999999999</v>
      </c>
      <c r="B6861">
        <v>3.0225580000000001</v>
      </c>
      <c r="C6861">
        <f>LOG10(1.065473)</f>
        <v>2.7542448794863662E-2</v>
      </c>
      <c r="D6861">
        <f>LOG10(3.022558)</f>
        <v>0.48037464330891261</v>
      </c>
    </row>
    <row r="6862" spans="1:4">
      <c r="A6862">
        <v>1.0719240000000001</v>
      </c>
      <c r="B6862">
        <v>2.9612120000000002</v>
      </c>
      <c r="C6862">
        <f>LOG10(1.071924)</f>
        <v>3.0163994731114831E-2</v>
      </c>
      <c r="D6862">
        <f>LOG10(2.961212)</f>
        <v>0.47146950064641419</v>
      </c>
    </row>
    <row r="6863" spans="1:4">
      <c r="A6863">
        <v>1.0453460000000001</v>
      </c>
      <c r="B6863">
        <v>3.0698460000000001</v>
      </c>
      <c r="C6863">
        <f>LOG10(1.045346)</f>
        <v>1.9260061757765765E-2</v>
      </c>
      <c r="D6863">
        <f>LOG10(3.069846)</f>
        <v>0.4871165894746623</v>
      </c>
    </row>
    <row r="6864" spans="1:4">
      <c r="A6864">
        <v>1.056136</v>
      </c>
      <c r="B6864">
        <v>3.0940889999999999</v>
      </c>
      <c r="C6864">
        <f>LOG10(1.056136)</f>
        <v>2.3719846461523114E-2</v>
      </c>
      <c r="D6864">
        <f>LOG10(3.094089)</f>
        <v>0.49053280181744624</v>
      </c>
    </row>
    <row r="6865" spans="1:4">
      <c r="A6865">
        <v>1.0954969999999999</v>
      </c>
      <c r="B6865">
        <v>3.012537</v>
      </c>
      <c r="C6865">
        <f>LOG10(1.095497)</f>
        <v>3.9611192590261593E-2</v>
      </c>
      <c r="D6865">
        <f>LOG10(3.012537)</f>
        <v>0.47893238962347279</v>
      </c>
    </row>
    <row r="6866" spans="1:4">
      <c r="A6866">
        <v>1.0819989999999999</v>
      </c>
      <c r="B6866">
        <v>3.1673480000000001</v>
      </c>
      <c r="C6866">
        <f>LOG10(1.081999)</f>
        <v>3.4226859389143403E-2</v>
      </c>
      <c r="D6866">
        <f>LOG10(3.167348)</f>
        <v>0.50069578240466939</v>
      </c>
    </row>
    <row r="6867" spans="1:4">
      <c r="A6867">
        <v>1.078892</v>
      </c>
      <c r="B6867">
        <v>3.1148889999999998</v>
      </c>
      <c r="C6867">
        <f>LOG10(1.078892)</f>
        <v>3.2977972809355618E-2</v>
      </c>
      <c r="D6867">
        <f>LOG10(3.114889)</f>
        <v>0.4934425750573358</v>
      </c>
    </row>
    <row r="6868" spans="1:4">
      <c r="A6868">
        <v>1.065237</v>
      </c>
      <c r="B6868">
        <v>3.0487139999999999</v>
      </c>
      <c r="C6868">
        <f>LOG10(1.065237)</f>
        <v>2.7446242837085966E-2</v>
      </c>
      <c r="D6868">
        <f>LOG10(3.048714)</f>
        <v>0.48411668509098527</v>
      </c>
    </row>
    <row r="6869" spans="1:4">
      <c r="A6869">
        <v>1.0345789999999999</v>
      </c>
      <c r="B6869">
        <v>2.9250889999999998</v>
      </c>
      <c r="C6869">
        <f>LOG10(1.034579)</f>
        <v>1.4763658804669566E-2</v>
      </c>
      <c r="D6869">
        <f>LOG10(2.925089)</f>
        <v>0.46613908464755277</v>
      </c>
    </row>
    <row r="6870" spans="1:4">
      <c r="A6870">
        <v>1.04501</v>
      </c>
      <c r="B6870">
        <v>2.9792559999999999</v>
      </c>
      <c r="C6870">
        <f>LOG10(1.04501)</f>
        <v>1.91204463552446E-2</v>
      </c>
      <c r="D6870">
        <f>LOG10(2.979256)</f>
        <v>0.47410782265463652</v>
      </c>
    </row>
    <row r="6871" spans="1:4">
      <c r="A6871">
        <v>1.0718259999999999</v>
      </c>
      <c r="B6871">
        <v>3.13503</v>
      </c>
      <c r="C6871">
        <f>LOG10(1.071826)</f>
        <v>3.0124287807027382E-2</v>
      </c>
      <c r="D6871">
        <f>LOG10(3.13503)</f>
        <v>0.49624170107490706</v>
      </c>
    </row>
    <row r="6872" spans="1:4">
      <c r="A6872">
        <v>1.0761449999999999</v>
      </c>
      <c r="B6872">
        <v>3.1889240000000001</v>
      </c>
      <c r="C6872">
        <f>LOG10(1.076145)</f>
        <v>3.1870792201381587E-2</v>
      </c>
      <c r="D6872">
        <f>LOG10(3.188924)</f>
        <v>0.50364416904730736</v>
      </c>
    </row>
    <row r="6873" spans="1:4">
      <c r="A6873">
        <v>1.084352</v>
      </c>
      <c r="B6873">
        <v>3.1242380000000001</v>
      </c>
      <c r="C6873">
        <f>LOG10(1.084352)</f>
        <v>3.5170284824611001E-2</v>
      </c>
      <c r="D6873">
        <f>LOG10(3.124238)</f>
        <v>0.49474411040039867</v>
      </c>
    </row>
    <row r="6874" spans="1:4">
      <c r="A6874">
        <v>1.0907150000000001</v>
      </c>
      <c r="B6874">
        <v>3.1530369999999999</v>
      </c>
      <c r="C6874">
        <f>LOG10(1.090715)</f>
        <v>3.7711285788359819E-2</v>
      </c>
      <c r="D6874">
        <f>LOG10(3.153037)</f>
        <v>0.49872906710107562</v>
      </c>
    </row>
    <row r="6875" spans="1:4">
      <c r="A6875">
        <v>1.0871550000000001</v>
      </c>
      <c r="B6875">
        <v>3.1593</v>
      </c>
      <c r="C6875">
        <f>LOG10(1.087155)</f>
        <v>3.6291467587433228E-2</v>
      </c>
      <c r="D6875">
        <f>LOG10(3.1593)</f>
        <v>0.49959086748743181</v>
      </c>
    </row>
    <row r="6876" spans="1:4">
      <c r="A6876">
        <v>1.0878669999999999</v>
      </c>
      <c r="B6876">
        <v>2.875321</v>
      </c>
      <c r="C6876">
        <f>LOG10(1.087867)</f>
        <v>3.657580280993699E-2</v>
      </c>
      <c r="D6876">
        <f>LOG10(2.875321)</f>
        <v>0.45868633624187105</v>
      </c>
    </row>
    <row r="6877" spans="1:4">
      <c r="A6877">
        <v>1.0751759999999999</v>
      </c>
      <c r="B6877">
        <v>3.0929419999999999</v>
      </c>
      <c r="C6877">
        <f>LOG10(1.075176)</f>
        <v>3.1479561528298824E-2</v>
      </c>
      <c r="D6877">
        <f>LOG10(3.092942)</f>
        <v>0.4903717760277097</v>
      </c>
    </row>
    <row r="6878" spans="1:4">
      <c r="A6878">
        <v>1.097513</v>
      </c>
      <c r="B6878">
        <v>3.0996229999999998</v>
      </c>
      <c r="C6878">
        <f>LOG10(1.097513)</f>
        <v>4.0409673146347851E-2</v>
      </c>
      <c r="D6878">
        <f>LOG10(3.099623)</f>
        <v>0.49130887480967089</v>
      </c>
    </row>
    <row r="6879" spans="1:4">
      <c r="A6879">
        <v>1.071447</v>
      </c>
      <c r="B6879">
        <v>3.0366149999999998</v>
      </c>
      <c r="C6879">
        <f>LOG10(1.071447)</f>
        <v>2.9970693178291864E-2</v>
      </c>
      <c r="D6879">
        <f>LOG10(3.036615)</f>
        <v>0.4823897329868852</v>
      </c>
    </row>
    <row r="6880" spans="1:4">
      <c r="A6880">
        <v>1.1043480000000001</v>
      </c>
      <c r="B6880">
        <v>2.9984289999999998</v>
      </c>
      <c r="C6880">
        <f>LOG10(1.104348)</f>
        <v>4.3105948995171631E-2</v>
      </c>
      <c r="D6880">
        <f>LOG10(2.998429)</f>
        <v>0.47689376960758734</v>
      </c>
    </row>
    <row r="6881" spans="1:4">
      <c r="A6881">
        <v>1.0942369999999999</v>
      </c>
      <c r="B6881">
        <v>3.0815929999999998</v>
      </c>
      <c r="C6881">
        <f>LOG10(1.094237)</f>
        <v>3.9111395713022745E-2</v>
      </c>
      <c r="D6881">
        <f>LOG10(3.081593)</f>
        <v>0.48877527892288475</v>
      </c>
    </row>
    <row r="6882" spans="1:4">
      <c r="A6882">
        <v>1.0854159999999999</v>
      </c>
      <c r="B6882">
        <v>3.13551</v>
      </c>
      <c r="C6882">
        <f>LOG10(1.085416)</f>
        <v>3.5596219178684087E-2</v>
      </c>
      <c r="D6882">
        <f>LOG10(3.13551)</f>
        <v>0.49630819019760486</v>
      </c>
    </row>
    <row r="6883" spans="1:4">
      <c r="A6883">
        <v>1.0825629999999999</v>
      </c>
      <c r="B6883">
        <v>3.418002</v>
      </c>
      <c r="C6883">
        <f>LOG10(1.082563)</f>
        <v>3.4453179626989801E-2</v>
      </c>
      <c r="D6883">
        <f>LOG10(3.418002)</f>
        <v>0.53377231250663426</v>
      </c>
    </row>
    <row r="6884" spans="1:4">
      <c r="A6884">
        <v>1.0806359999999999</v>
      </c>
      <c r="B6884">
        <v>3.3344800000000001</v>
      </c>
      <c r="C6884">
        <f>LOG10(1.080636)</f>
        <v>3.3679431406880705E-2</v>
      </c>
      <c r="D6884">
        <f>LOG10(3.33448)</f>
        <v>0.52302811689166795</v>
      </c>
    </row>
    <row r="6885" spans="1:4">
      <c r="A6885">
        <v>1.0846610000000001</v>
      </c>
      <c r="B6885">
        <v>3.0762130000000001</v>
      </c>
      <c r="C6885">
        <f>LOG10(1.084661)</f>
        <v>3.52940249735322E-2</v>
      </c>
      <c r="D6885">
        <f>LOG10(3.076213)</f>
        <v>0.48801640314565242</v>
      </c>
    </row>
    <row r="6886" spans="1:4">
      <c r="A6886">
        <v>1.1001939999999999</v>
      </c>
      <c r="B6886">
        <v>3.1573030000000002</v>
      </c>
      <c r="C6886">
        <f>LOG10(1.100194)</f>
        <v>4.1469272158923647E-2</v>
      </c>
      <c r="D6886">
        <f>LOG10(3.157303)</f>
        <v>0.49931626225760933</v>
      </c>
    </row>
    <row r="6887" spans="1:4">
      <c r="A6887">
        <v>1.4452210000000001</v>
      </c>
      <c r="B6887">
        <v>3.4903740000000001</v>
      </c>
      <c r="C6887">
        <f>LOG10(1.445221)</f>
        <v>0.15993426352278961</v>
      </c>
      <c r="D6887">
        <f>LOG10(3.490374)</f>
        <v>0.54287196490582501</v>
      </c>
    </row>
    <row r="6888" spans="1:4">
      <c r="A6888">
        <v>1.0121739999999999</v>
      </c>
      <c r="B6888">
        <v>3.6634000000000002</v>
      </c>
      <c r="C6888">
        <f>LOG10(1.012174)</f>
        <v>5.255177270778854E-3</v>
      </c>
      <c r="D6888">
        <f>LOG10(3.6634)</f>
        <v>0.56388434108017438</v>
      </c>
    </row>
    <row r="6889" spans="1:4">
      <c r="A6889">
        <v>1.0249379999999999</v>
      </c>
      <c r="B6889">
        <v>3.6941739999999998</v>
      </c>
      <c r="C6889">
        <f>LOG10(1.024938)</f>
        <v>1.069759507736725E-2</v>
      </c>
      <c r="D6889">
        <f>LOG10(3.694174)</f>
        <v>0.56751734737389492</v>
      </c>
    </row>
    <row r="6890" spans="1:4">
      <c r="A6890">
        <v>1.03023</v>
      </c>
      <c r="B6890">
        <v>3.7049840000000001</v>
      </c>
      <c r="C6890">
        <f>LOG10(1.03023)</f>
        <v>1.2934192258554796E-2</v>
      </c>
      <c r="D6890">
        <f>LOG10(3.704984)</f>
        <v>0.56878633681555901</v>
      </c>
    </row>
    <row r="6891" spans="1:4">
      <c r="A6891">
        <v>1.0408599999999999</v>
      </c>
      <c r="B6891">
        <v>3.8259599999999998</v>
      </c>
      <c r="C6891">
        <f>LOG10(1.04086)</f>
        <v>1.739231902418438E-2</v>
      </c>
      <c r="D6891">
        <f>LOG10(3.82596)</f>
        <v>0.58274042521294822</v>
      </c>
    </row>
    <row r="6892" spans="1:4">
      <c r="A6892">
        <v>1.0217099999999999</v>
      </c>
      <c r="B6892">
        <v>3.514812</v>
      </c>
      <c r="C6892">
        <f>LOG10(1.02171)</f>
        <v>9.32764406474214E-3</v>
      </c>
      <c r="D6892">
        <f>LOG10(3.514812)</f>
        <v>0.54590210046647358</v>
      </c>
    </row>
    <row r="6893" spans="1:4">
      <c r="A6893">
        <v>1.0205569999999999</v>
      </c>
      <c r="B6893">
        <v>3.3479749999999999</v>
      </c>
      <c r="C6893">
        <f>LOG10(1.020557)</f>
        <v>8.8372658812468433E-3</v>
      </c>
      <c r="D6893">
        <f>LOG10(3.347975)</f>
        <v>0.52478220636943484</v>
      </c>
    </row>
    <row r="6894" spans="1:4">
      <c r="A6894">
        <v>1.025118</v>
      </c>
      <c r="B6894">
        <v>3.4422410000000001</v>
      </c>
      <c r="C6894">
        <f>LOG10(1.025118)</f>
        <v>1.0773859342288307E-2</v>
      </c>
      <c r="D6894">
        <f>LOG10(3.442241)</f>
        <v>0.53684127311127516</v>
      </c>
    </row>
    <row r="6895" spans="1:4">
      <c r="A6895">
        <v>1.0200130000000001</v>
      </c>
      <c r="B6895">
        <v>3.425125</v>
      </c>
      <c r="C6895">
        <f>LOG10(1.020013)</f>
        <v>8.6057068523947722E-3</v>
      </c>
      <c r="D6895">
        <f>LOG10(3.425125)</f>
        <v>0.53467642570278795</v>
      </c>
    </row>
    <row r="6896" spans="1:4">
      <c r="A6896">
        <v>1.0232559999999999</v>
      </c>
      <c r="B6896">
        <v>3.684126</v>
      </c>
      <c r="C6896">
        <f>LOG10(1.023256)</f>
        <v>9.9842998692267759E-3</v>
      </c>
      <c r="D6896">
        <f>LOG10(3.684126)</f>
        <v>0.56633447499086909</v>
      </c>
    </row>
    <row r="6897" spans="1:4">
      <c r="A6897">
        <v>1.0320780000000001</v>
      </c>
      <c r="B6897">
        <v>3.820478</v>
      </c>
      <c r="C6897">
        <f>LOG10(1.032078)</f>
        <v>1.3712520633725729E-2</v>
      </c>
      <c r="D6897">
        <f>LOG10(3.820478)</f>
        <v>0.58211770316702272</v>
      </c>
    </row>
    <row r="6898" spans="1:4">
      <c r="A6898">
        <v>1.026265</v>
      </c>
      <c r="B6898">
        <v>3.6864819999999998</v>
      </c>
      <c r="C6898">
        <f>LOG10(1.026265)</f>
        <v>1.1259517868905807E-2</v>
      </c>
      <c r="D6898">
        <f>LOG10(3.686482)</f>
        <v>0.56661211771293818</v>
      </c>
    </row>
    <row r="6899" spans="1:4">
      <c r="A6899">
        <v>1.0188569999999999</v>
      </c>
      <c r="B6899">
        <v>3.8053159999999999</v>
      </c>
      <c r="C6899">
        <f>LOG10(1.018857)</f>
        <v>8.1132335952698292E-3</v>
      </c>
      <c r="D6899">
        <f>LOG10(3.805316)</f>
        <v>0.58039072716649254</v>
      </c>
    </row>
    <row r="6900" spans="1:4">
      <c r="A6900">
        <v>1.018626</v>
      </c>
      <c r="B6900">
        <v>3.8655560000000002</v>
      </c>
      <c r="C6900">
        <f>LOG10(1.018626)</f>
        <v>8.0147571655283887E-3</v>
      </c>
      <c r="D6900">
        <f>LOG10(3.865556)</f>
        <v>0.58721196924151586</v>
      </c>
    </row>
    <row r="6901" spans="1:4">
      <c r="A6901">
        <v>1.034122</v>
      </c>
      <c r="B6901">
        <v>3.646096</v>
      </c>
      <c r="C6901">
        <f>LOG10(1.034122)</f>
        <v>1.4571777443894499E-2</v>
      </c>
      <c r="D6901">
        <f>LOG10(3.646096)</f>
        <v>0.56182809923979926</v>
      </c>
    </row>
    <row r="6902" spans="1:4">
      <c r="A6902">
        <v>1.021609</v>
      </c>
      <c r="B6902">
        <v>4.058084</v>
      </c>
      <c r="C6902">
        <f>LOG10(1.021609)</f>
        <v>9.284710247058351E-3</v>
      </c>
      <c r="D6902">
        <f>LOG10(4.058084)</f>
        <v>0.60832103243584668</v>
      </c>
    </row>
    <row r="6903" spans="1:4">
      <c r="A6903">
        <v>1.0168809999999999</v>
      </c>
      <c r="B6903">
        <v>3.5997810000000001</v>
      </c>
      <c r="C6903">
        <f>LOG10(1.016881)</f>
        <v>7.270132797667965E-3</v>
      </c>
      <c r="D6903">
        <f>LOG10(3.599781)</f>
        <v>0.55627608038267662</v>
      </c>
    </row>
    <row r="6904" spans="1:4">
      <c r="A6904">
        <v>1.026435</v>
      </c>
      <c r="B6904">
        <v>3.9187660000000002</v>
      </c>
      <c r="C6904">
        <f>LOG10(1.026435)</f>
        <v>1.1331452454663441E-2</v>
      </c>
      <c r="D6904">
        <f>LOG10(3.918766)</f>
        <v>0.59314933136714254</v>
      </c>
    </row>
    <row r="6905" spans="1:4">
      <c r="A6905">
        <v>1.023558</v>
      </c>
      <c r="B6905">
        <v>3.7774909999999999</v>
      </c>
      <c r="C6905">
        <f>LOG10(1.023558)</f>
        <v>1.0112457029072812E-2</v>
      </c>
      <c r="D6905">
        <f>LOG10(3.777491)</f>
        <v>0.57720343829101173</v>
      </c>
    </row>
    <row r="6906" spans="1:4">
      <c r="A6906">
        <v>1.0182580000000001</v>
      </c>
      <c r="B6906">
        <v>4.1808920000000001</v>
      </c>
      <c r="C6906">
        <f>LOG10(1.018258)</f>
        <v>7.8578308299302301E-3</v>
      </c>
      <c r="D6906">
        <f>LOG10(4.180892)</f>
        <v>0.62126894908357777</v>
      </c>
    </row>
    <row r="6907" spans="1:4">
      <c r="A6907">
        <v>1.009061</v>
      </c>
      <c r="B6907">
        <v>3.6728689999999999</v>
      </c>
      <c r="C6907">
        <f>LOG10(1.009061)</f>
        <v>3.9174211057218808E-3</v>
      </c>
      <c r="D6907">
        <f>LOG10(3.672869)</f>
        <v>0.56500543866609165</v>
      </c>
    </row>
    <row r="6908" spans="1:4">
      <c r="A6908">
        <v>1.0101770000000001</v>
      </c>
      <c r="B6908">
        <v>3.9285000000000001</v>
      </c>
      <c r="C6908">
        <f>LOG10(1.010177)</f>
        <v>4.3974761474290455E-3</v>
      </c>
      <c r="D6908">
        <f>LOG10(3.9285)</f>
        <v>0.59422675748091347</v>
      </c>
    </row>
    <row r="6909" spans="1:4">
      <c r="A6909">
        <v>1.0161199999999999</v>
      </c>
      <c r="B6909">
        <v>4.1726460000000003</v>
      </c>
      <c r="C6909">
        <f>LOG10(1.01612)</f>
        <v>6.9449995427756823E-3</v>
      </c>
      <c r="D6909">
        <f>LOG10(4.172646)</f>
        <v>0.62041154148910249</v>
      </c>
    </row>
    <row r="6910" spans="1:4">
      <c r="A6910">
        <v>1.0164770000000001</v>
      </c>
      <c r="B6910">
        <v>3.7592469999999998</v>
      </c>
      <c r="C6910">
        <f>LOG10(1.016477)</f>
        <v>7.0975562292549151E-3</v>
      </c>
      <c r="D6910">
        <f>LOG10(3.759247)</f>
        <v>0.57510086181726017</v>
      </c>
    </row>
    <row r="6911" spans="1:4">
      <c r="A6911">
        <v>1.021639</v>
      </c>
      <c r="B6911">
        <v>3.7532399999999999</v>
      </c>
      <c r="C6911">
        <f>LOG10(1.021639)</f>
        <v>9.2974633092984919E-3</v>
      </c>
      <c r="D6911">
        <f>LOG10(3.75324)</f>
        <v>0.5744063361538454</v>
      </c>
    </row>
    <row r="6912" spans="1:4">
      <c r="A6912">
        <v>1.016124</v>
      </c>
      <c r="B6912">
        <v>3.9851760000000001</v>
      </c>
      <c r="C6912">
        <f>LOG10(1.016124)</f>
        <v>6.9467091582821527E-3</v>
      </c>
      <c r="D6912">
        <f>LOG10(3.985176)</f>
        <v>0.60044750619410026</v>
      </c>
    </row>
    <row r="6913" spans="1:4">
      <c r="A6913">
        <v>1.0151129999999999</v>
      </c>
      <c r="B6913">
        <v>3.7080030000000002</v>
      </c>
      <c r="C6913">
        <f>LOG10(1.015113)</f>
        <v>6.5143895840901475E-3</v>
      </c>
      <c r="D6913">
        <f>LOG10(3.708003)</f>
        <v>0.5691400768432574</v>
      </c>
    </row>
    <row r="6914" spans="1:4">
      <c r="A6914">
        <v>1.020024</v>
      </c>
      <c r="B6914">
        <v>3.8995980000000001</v>
      </c>
      <c r="C6914">
        <f>LOG10(1.020024)</f>
        <v>8.6103903353913804E-3</v>
      </c>
      <c r="D6914">
        <f>LOG10(3.899598)</f>
        <v>0.59101983898027943</v>
      </c>
    </row>
    <row r="6915" spans="1:4">
      <c r="A6915">
        <v>1.021666</v>
      </c>
      <c r="B6915">
        <v>3.8406769999999999</v>
      </c>
      <c r="C6915">
        <f>LOG10(1.021666)</f>
        <v>9.3089407451311945E-3</v>
      </c>
      <c r="D6915">
        <f>LOG10(3.840677)</f>
        <v>0.58440778464080101</v>
      </c>
    </row>
    <row r="6916" spans="1:4">
      <c r="A6916">
        <v>1.0222850000000001</v>
      </c>
      <c r="B6916">
        <v>3.5914869999999999</v>
      </c>
      <c r="C6916">
        <f>LOG10(1.022285)</f>
        <v>9.5719884331792009E-3</v>
      </c>
      <c r="D6916">
        <f>LOG10(3.591487)</f>
        <v>0.55527429876918333</v>
      </c>
    </row>
    <row r="6917" spans="1:4">
      <c r="A6917">
        <v>1.024546</v>
      </c>
      <c r="B6917">
        <v>3.763592</v>
      </c>
      <c r="C6917">
        <f>LOG10(1.024546)</f>
        <v>1.0531462100498852E-2</v>
      </c>
      <c r="D6917">
        <f>LOG10(3.763592)</f>
        <v>0.57560253671252248</v>
      </c>
    </row>
    <row r="6918" spans="1:4">
      <c r="A6918">
        <v>1.0270189999999999</v>
      </c>
      <c r="B6918">
        <v>3.5676060000000001</v>
      </c>
      <c r="C6918">
        <f>LOG10(1.027019)</f>
        <v>1.1578478182310132E-2</v>
      </c>
      <c r="D6918">
        <f>LOG10(3.567606)</f>
        <v>0.55237688564966436</v>
      </c>
    </row>
    <row r="6919" spans="1:4">
      <c r="A6919">
        <v>1.020947</v>
      </c>
      <c r="B6919">
        <v>3.5760610000000002</v>
      </c>
      <c r="C6919">
        <f>LOG10(1.020947)</f>
        <v>9.0031973219912558E-3</v>
      </c>
      <c r="D6919">
        <f>LOG10(3.576061)</f>
        <v>0.55340491832786398</v>
      </c>
    </row>
    <row r="6920" spans="1:4">
      <c r="A6920">
        <v>1.016229</v>
      </c>
      <c r="B6920">
        <v>3.5932789999999999</v>
      </c>
      <c r="C6920">
        <f>LOG10(1.016229)</f>
        <v>6.991584158481846E-3</v>
      </c>
      <c r="D6920">
        <f>LOG10(3.593279)</f>
        <v>0.55549093929100657</v>
      </c>
    </row>
    <row r="6921" spans="1:4">
      <c r="A6921">
        <v>1.0213810000000001</v>
      </c>
      <c r="B6921">
        <v>3.5686789999999999</v>
      </c>
      <c r="C6921">
        <f>LOG10(1.021381)</f>
        <v>9.1877747336344146E-3</v>
      </c>
      <c r="D6921">
        <f>LOG10(3.568679)</f>
        <v>0.55250748524948246</v>
      </c>
    </row>
    <row r="6922" spans="1:4">
      <c r="A6922">
        <v>1.028305</v>
      </c>
      <c r="B6922">
        <v>3.5003510000000002</v>
      </c>
      <c r="C6922">
        <f>LOG10(1.028305)</f>
        <v>1.2121947510367905E-2</v>
      </c>
      <c r="D6922">
        <f>LOG10(3.500351)</f>
        <v>0.54411159569885115</v>
      </c>
    </row>
    <row r="6923" spans="1:4">
      <c r="A6923">
        <v>1.0201819999999999</v>
      </c>
      <c r="B6923">
        <v>3.3654700000000002</v>
      </c>
      <c r="C6923">
        <f>LOG10(1.020182)</f>
        <v>8.6776566097556754E-3</v>
      </c>
      <c r="D6923">
        <f>LOG10(3.36547)</f>
        <v>0.5270457235831445</v>
      </c>
    </row>
    <row r="6924" spans="1:4">
      <c r="A6924">
        <v>1.0247660000000001</v>
      </c>
      <c r="B6924">
        <v>3.4917769999999999</v>
      </c>
      <c r="C6924">
        <f>LOG10(1.024766)</f>
        <v>1.0624707820414419E-2</v>
      </c>
      <c r="D6924">
        <f>LOG10(3.491777)</f>
        <v>0.54304649999288079</v>
      </c>
    </row>
    <row r="6925" spans="1:4">
      <c r="A6925">
        <v>1.014777</v>
      </c>
      <c r="B6925">
        <v>3.6044160000000001</v>
      </c>
      <c r="C6925">
        <f>LOG10(1.014777)</f>
        <v>6.3706153428729814E-3</v>
      </c>
      <c r="D6925">
        <f>LOG10(3.604416)</f>
        <v>0.55683490885484732</v>
      </c>
    </row>
    <row r="6926" spans="1:4">
      <c r="A6926">
        <v>1.0234939999999999</v>
      </c>
      <c r="B6926">
        <v>3.5891329999999999</v>
      </c>
      <c r="C6926">
        <f>LOG10(1.023494)</f>
        <v>1.0085301053698573E-2</v>
      </c>
      <c r="D6926">
        <f>LOG10(3.589133)</f>
        <v>0.55498955197934519</v>
      </c>
    </row>
    <row r="6927" spans="1:4">
      <c r="A6927">
        <v>1.014977</v>
      </c>
      <c r="B6927">
        <v>3.4198170000000001</v>
      </c>
      <c r="C6927">
        <f>LOG10(1.014977)</f>
        <v>6.4562009819817056E-3</v>
      </c>
      <c r="D6927">
        <f>LOG10(3.419817)</f>
        <v>0.53400286686999676</v>
      </c>
    </row>
    <row r="6928" spans="1:4">
      <c r="A6928">
        <v>1.0099340000000001</v>
      </c>
      <c r="B6928">
        <v>3.4126430000000001</v>
      </c>
      <c r="C6928">
        <f>LOG10(1.009934)</f>
        <v>4.2929932159351796E-3</v>
      </c>
      <c r="D6928">
        <f>LOG10(3.412643)</f>
        <v>0.53309085867437134</v>
      </c>
    </row>
    <row r="6929" spans="1:4">
      <c r="A6929">
        <v>1.0199910000000001</v>
      </c>
      <c r="B6929">
        <v>3.4114840000000002</v>
      </c>
      <c r="C6929">
        <f>LOG10(1.019991)</f>
        <v>8.5963397348771328E-3</v>
      </c>
      <c r="D6929">
        <f>LOG10(3.411484)</f>
        <v>0.5329433387617537</v>
      </c>
    </row>
    <row r="6930" spans="1:4">
      <c r="A6930">
        <v>1.0087919999999999</v>
      </c>
      <c r="B6930">
        <v>3.2187649999999999</v>
      </c>
      <c r="C6930">
        <f>LOG10(1.008792)</f>
        <v>3.801629503138281E-3</v>
      </c>
      <c r="D6930">
        <f>LOG10(3.218765)</f>
        <v>0.50768927027716504</v>
      </c>
    </row>
    <row r="6931" spans="1:4">
      <c r="A6931">
        <v>1.0077700000000001</v>
      </c>
      <c r="B6931">
        <v>3.24736</v>
      </c>
      <c r="C6931">
        <f>LOG10(1.00777)</f>
        <v>3.3614258312394223E-3</v>
      </c>
      <c r="D6931">
        <f>LOG10(3.24736)</f>
        <v>0.51153043686959909</v>
      </c>
    </row>
    <row r="6932" spans="1:4">
      <c r="A6932">
        <v>1.0129170000000001</v>
      </c>
      <c r="B6932">
        <v>3.1389109999999998</v>
      </c>
      <c r="C6932">
        <f>LOG10(1.012917)</f>
        <v>5.5738600504991213E-3</v>
      </c>
      <c r="D6932">
        <f>LOG10(3.138911)</f>
        <v>0.49677900198330066</v>
      </c>
    </row>
    <row r="6933" spans="1:4">
      <c r="A6933">
        <v>1.015382</v>
      </c>
      <c r="B6933">
        <v>3.1237849999999998</v>
      </c>
      <c r="C6933">
        <f>LOG10(1.015382)</f>
        <v>6.6294602602705588E-3</v>
      </c>
      <c r="D6933">
        <f>LOG10(3.123785)</f>
        <v>0.49468113515186102</v>
      </c>
    </row>
    <row r="6934" spans="1:4">
      <c r="A6934">
        <v>1.0099560000000001</v>
      </c>
      <c r="B6934">
        <v>3.1167750000000001</v>
      </c>
      <c r="C6934">
        <f>LOG10(1.009956)</f>
        <v>4.3024536109093955E-3</v>
      </c>
      <c r="D6934">
        <f>LOG10(3.116775)</f>
        <v>0.49370545168800062</v>
      </c>
    </row>
    <row r="6935" spans="1:4">
      <c r="A6935">
        <v>1.0086999999999999</v>
      </c>
      <c r="B6935">
        <v>3.1894360000000002</v>
      </c>
      <c r="C6935">
        <f>LOG10(1.0087)</f>
        <v>3.7620208282461019E-3</v>
      </c>
      <c r="D6935">
        <f>LOG10(3.189436)</f>
        <v>0.50371389191500759</v>
      </c>
    </row>
    <row r="6936" spans="1:4">
      <c r="A6936">
        <v>1.052265</v>
      </c>
      <c r="B6936">
        <v>3.2326570000000001</v>
      </c>
      <c r="C6936">
        <f>LOG10(1.052265)</f>
        <v>2.2125125316517016E-2</v>
      </c>
      <c r="D6936">
        <f>LOG10(3.232657)</f>
        <v>0.50955962638395058</v>
      </c>
    </row>
    <row r="6937" spans="1:4">
      <c r="A6937">
        <v>1.0532570000000001</v>
      </c>
      <c r="B6937">
        <v>3.2157330000000002</v>
      </c>
      <c r="C6937">
        <f>LOG10(1.053257)</f>
        <v>2.2534354151860607E-2</v>
      </c>
      <c r="D6937">
        <f>LOG10(3.215733)</f>
        <v>0.5072799824145876</v>
      </c>
    </row>
    <row r="6938" spans="1:4">
      <c r="A6938">
        <v>1.049582</v>
      </c>
      <c r="B6938">
        <v>3.3088160000000002</v>
      </c>
      <c r="C6938">
        <f>LOG10(1.049582)</f>
        <v>2.1016374082170053E-2</v>
      </c>
      <c r="D6938">
        <f>LOG10(3.308816)</f>
        <v>0.51967261714278068</v>
      </c>
    </row>
    <row r="6939" spans="1:4">
      <c r="A6939">
        <v>1.0315529999999999</v>
      </c>
      <c r="B6939">
        <v>3.3534259999999998</v>
      </c>
      <c r="C6939">
        <f>LOG10(1.031553)</f>
        <v>1.3491546430568038E-2</v>
      </c>
      <c r="D6939">
        <f>LOG10(3.353426)</f>
        <v>0.52548872721275197</v>
      </c>
    </row>
    <row r="6940" spans="1:4">
      <c r="A6940">
        <v>1.0317190000000001</v>
      </c>
      <c r="B6940">
        <v>3.3901180000000002</v>
      </c>
      <c r="C6940">
        <f>LOG10(1.031719)</f>
        <v>1.3561428524786871E-2</v>
      </c>
      <c r="D6940">
        <f>LOG10(3.390118)</f>
        <v>0.53021481497505274</v>
      </c>
    </row>
    <row r="6941" spans="1:4">
      <c r="A6941">
        <v>1.030046</v>
      </c>
      <c r="B6941">
        <v>3.4247420000000002</v>
      </c>
      <c r="C6941">
        <f>LOG10(1.030046)</f>
        <v>1.2856619947968606E-2</v>
      </c>
      <c r="D6941">
        <f>LOG10(3.424742)</f>
        <v>0.53462785985859207</v>
      </c>
    </row>
    <row r="6942" spans="1:4">
      <c r="A6942">
        <v>1.0332699999999999</v>
      </c>
      <c r="B6942">
        <v>3.4794019999999999</v>
      </c>
      <c r="C6942">
        <f>LOG10(1.03327)</f>
        <v>1.4213820249971627E-2</v>
      </c>
      <c r="D6942">
        <f>LOG10(3.479402)</f>
        <v>0.54150460876935813</v>
      </c>
    </row>
    <row r="6943" spans="1:4">
      <c r="A6943">
        <v>1.04023</v>
      </c>
      <c r="B6943">
        <v>3.3922370000000002</v>
      </c>
      <c r="C6943">
        <f>LOG10(1.04023)</f>
        <v>1.7129374574922675E-2</v>
      </c>
      <c r="D6943">
        <f>LOG10(3.392237)</f>
        <v>0.53048618680300808</v>
      </c>
    </row>
    <row r="6944" spans="1:4">
      <c r="A6944">
        <v>1.03057</v>
      </c>
      <c r="B6944">
        <v>3.4451839999999998</v>
      </c>
      <c r="C6944">
        <f>LOG10(1.03057)</f>
        <v>1.3077495951476838E-2</v>
      </c>
      <c r="D6944">
        <f>LOG10(3.445184)</f>
        <v>0.53721242161395377</v>
      </c>
    </row>
    <row r="6945" spans="1:4">
      <c r="A6945">
        <v>1.020769</v>
      </c>
      <c r="B6945">
        <v>3.54549</v>
      </c>
      <c r="C6945">
        <f>LOG10(1.020769)</f>
        <v>8.9274723749617584E-3</v>
      </c>
      <c r="D6945">
        <f>LOG10(3.54549)</f>
        <v>0.54967626479137865</v>
      </c>
    </row>
    <row r="6946" spans="1:4">
      <c r="A6946">
        <v>1.0297609999999999</v>
      </c>
      <c r="B6946">
        <v>3.5269560000000002</v>
      </c>
      <c r="C6946">
        <f>LOG10(1.029761)</f>
        <v>1.2736439826110281E-2</v>
      </c>
      <c r="D6946">
        <f>LOG10(3.526956)</f>
        <v>0.54740004172691725</v>
      </c>
    </row>
    <row r="6947" spans="1:4">
      <c r="A6947">
        <v>1.0319529999999999</v>
      </c>
      <c r="B6947">
        <v>3.5177529999999999</v>
      </c>
      <c r="C6947">
        <f>LOG10(1.031953)</f>
        <v>1.3659917925428866E-2</v>
      </c>
      <c r="D6947">
        <f>LOG10(3.517753)</f>
        <v>0.54626534208478406</v>
      </c>
    </row>
    <row r="6948" spans="1:4">
      <c r="A6948">
        <v>1.045302</v>
      </c>
      <c r="B6948">
        <v>3.490253</v>
      </c>
      <c r="C6948">
        <f>LOG10(1.045302)</f>
        <v>1.9241781342117955E-2</v>
      </c>
      <c r="D6948">
        <f>LOG10(3.490253)</f>
        <v>0.54285690905702644</v>
      </c>
    </row>
    <row r="6949" spans="1:4">
      <c r="A6949">
        <v>1.0243009999999999</v>
      </c>
      <c r="B6949">
        <v>3.4337019999999998</v>
      </c>
      <c r="C6949">
        <f>LOG10(1.024301)</f>
        <v>1.042759670833099E-2</v>
      </c>
      <c r="D6949">
        <f>LOG10(3.433702)</f>
        <v>0.53576260143310739</v>
      </c>
    </row>
    <row r="6950" spans="1:4">
      <c r="A6950">
        <v>1.015166</v>
      </c>
      <c r="B6950">
        <v>3.4373309999999999</v>
      </c>
      <c r="C6950">
        <f>LOG10(1.015166)</f>
        <v>6.5370639136243013E-3</v>
      </c>
      <c r="D6950">
        <f>LOG10(3.437331)</f>
        <v>0.53622135481746025</v>
      </c>
    </row>
    <row r="6951" spans="1:4">
      <c r="A6951">
        <v>1.018392</v>
      </c>
      <c r="B6951">
        <v>3.445926</v>
      </c>
      <c r="C6951">
        <f>LOG10(1.018392)</f>
        <v>7.9149790494661802E-3</v>
      </c>
      <c r="D6951">
        <f>LOG10(3.445926)</f>
        <v>0.53730594689705558</v>
      </c>
    </row>
    <row r="6952" spans="1:4">
      <c r="A6952">
        <v>1.0101739999999999</v>
      </c>
      <c r="B6952">
        <v>3.4068309999999999</v>
      </c>
      <c r="C6952">
        <f>LOG10(1.010174)</f>
        <v>4.3961863879310214E-3</v>
      </c>
      <c r="D6952">
        <f>LOG10(3.406831)</f>
        <v>0.53235059039562771</v>
      </c>
    </row>
    <row r="6953" spans="1:4">
      <c r="A6953">
        <v>1.0194669999999999</v>
      </c>
      <c r="B6953">
        <v>3.2440090000000001</v>
      </c>
      <c r="C6953">
        <f>LOG10(1.019467)</f>
        <v>8.3731722918359321E-3</v>
      </c>
      <c r="D6953">
        <f>LOG10(3.244009)</f>
        <v>0.51108205042349431</v>
      </c>
    </row>
    <row r="6954" spans="1:4">
      <c r="A6954">
        <v>1.0164329999999999</v>
      </c>
      <c r="B6954">
        <v>3.4153190000000002</v>
      </c>
      <c r="C6954">
        <f>LOG10(1.016433)</f>
        <v>7.0787566196245872E-3</v>
      </c>
      <c r="D6954">
        <f>LOG10(3.415319)</f>
        <v>0.53343127418725089</v>
      </c>
    </row>
    <row r="6955" spans="1:4">
      <c r="A6955">
        <v>1.0196559999999999</v>
      </c>
      <c r="B6955">
        <v>3.5155560000000001</v>
      </c>
      <c r="C6955">
        <f>LOG10(1.019656)</f>
        <v>8.4536791149307268E-3</v>
      </c>
      <c r="D6955">
        <f>LOG10(3.515556)</f>
        <v>0.54599402029079636</v>
      </c>
    </row>
    <row r="6956" spans="1:4">
      <c r="A6956">
        <v>1.025941</v>
      </c>
      <c r="B6956">
        <v>3.4533399999999999</v>
      </c>
      <c r="C6956">
        <f>LOG10(1.025941)</f>
        <v>1.1122386008550889E-2</v>
      </c>
      <c r="D6956">
        <f>LOG10(3.45334)</f>
        <v>0.53823933909507826</v>
      </c>
    </row>
    <row r="6957" spans="1:4">
      <c r="A6957">
        <v>1.0164930000000001</v>
      </c>
      <c r="B6957">
        <v>3.332522</v>
      </c>
      <c r="C6957">
        <f>LOG10(1.016493)</f>
        <v>7.1043922491771001E-3</v>
      </c>
      <c r="D6957">
        <f>LOG10(3.332522)</f>
        <v>0.52277302513677881</v>
      </c>
    </row>
    <row r="6958" spans="1:4">
      <c r="A6958">
        <v>1.0253350000000001</v>
      </c>
      <c r="B6958">
        <v>3.3011180000000002</v>
      </c>
      <c r="C6958">
        <f>LOG10(1.025335)</f>
        <v>1.0865782349472478E-2</v>
      </c>
      <c r="D6958">
        <f>LOG10(3.301118)</f>
        <v>0.5186610486662504</v>
      </c>
    </row>
    <row r="6959" spans="1:4">
      <c r="A6959">
        <v>1.0189699999999999</v>
      </c>
      <c r="B6959">
        <v>3.2531119999999998</v>
      </c>
      <c r="C6959">
        <f>LOG10(1.01897)</f>
        <v>8.1613979158970257E-3</v>
      </c>
      <c r="D6959">
        <f>LOG10(3.253112)</f>
        <v>0.51229901567799363</v>
      </c>
    </row>
    <row r="6960" spans="1:4">
      <c r="A6960">
        <v>1.0111239999999999</v>
      </c>
      <c r="B6960">
        <v>3.3484289999999999</v>
      </c>
      <c r="C6960">
        <f>LOG10(1.011124)</f>
        <v>4.8044189080117573E-3</v>
      </c>
      <c r="D6960">
        <f>LOG10(3.348429)</f>
        <v>0.5248410946011145</v>
      </c>
    </row>
    <row r="6961" spans="1:4">
      <c r="A6961">
        <v>1.010912</v>
      </c>
      <c r="B6961">
        <v>3.411721</v>
      </c>
      <c r="C6961">
        <f>LOG10(1.010912)</f>
        <v>4.7133518543086622E-3</v>
      </c>
      <c r="D6961">
        <f>LOG10(3.411721)</f>
        <v>0.53297350868695825</v>
      </c>
    </row>
    <row r="6962" spans="1:4">
      <c r="A6962">
        <v>1.0114780000000001</v>
      </c>
      <c r="B6962">
        <v>3.3531409999999999</v>
      </c>
      <c r="C6962">
        <f>LOG10(1.011478)</f>
        <v>4.9564411527872106E-3</v>
      </c>
      <c r="D6962">
        <f>LOG10(3.353141)</f>
        <v>0.52545181595027834</v>
      </c>
    </row>
    <row r="6963" spans="1:4">
      <c r="A6963">
        <v>1.017671</v>
      </c>
      <c r="B6963">
        <v>3.4179430000000002</v>
      </c>
      <c r="C6963">
        <f>LOG10(1.017671)</f>
        <v>7.6073988473401863E-3</v>
      </c>
      <c r="D6963">
        <f>LOG10(3.417943)</f>
        <v>0.5337648158475965</v>
      </c>
    </row>
    <row r="6964" spans="1:4">
      <c r="A6964">
        <v>1.0119039999999999</v>
      </c>
      <c r="B6964">
        <v>3.3287369999999998</v>
      </c>
      <c r="C6964">
        <f>LOG10(1.011904)</f>
        <v>5.1393126540897937E-3</v>
      </c>
      <c r="D6964">
        <f>LOG10(3.328737)</f>
        <v>0.52227948336309549</v>
      </c>
    </row>
    <row r="6965" spans="1:4">
      <c r="A6965">
        <v>1.017781</v>
      </c>
      <c r="B6965">
        <v>3.4818120000000001</v>
      </c>
      <c r="C6965">
        <f>LOG10(1.017781)</f>
        <v>7.6543391761279824E-3</v>
      </c>
      <c r="D6965">
        <f>LOG10(3.481812)</f>
        <v>0.54180531773857044</v>
      </c>
    </row>
    <row r="6966" spans="1:4">
      <c r="A6966">
        <v>1.029515</v>
      </c>
      <c r="B6966">
        <v>3.5152909999999999</v>
      </c>
      <c r="C6966">
        <f>LOG10(1.029515)</f>
        <v>1.2632678656595954E-2</v>
      </c>
      <c r="D6966">
        <f>LOG10(3.515291)</f>
        <v>0.54596128226143548</v>
      </c>
    </row>
    <row r="6967" spans="1:4">
      <c r="A6967">
        <v>1.038732</v>
      </c>
      <c r="B6967">
        <v>3.5283519999999999</v>
      </c>
      <c r="C6967">
        <f>LOG10(1.038732)</f>
        <v>1.6503511046409357E-2</v>
      </c>
      <c r="D6967">
        <f>LOG10(3.528352)</f>
        <v>0.54757190526700628</v>
      </c>
    </row>
    <row r="6968" spans="1:4">
      <c r="A6968">
        <v>1.037536</v>
      </c>
      <c r="B6968">
        <v>3.5466600000000001</v>
      </c>
      <c r="C6968">
        <f>LOG10(1.037536)</f>
        <v>1.6003174617965386E-2</v>
      </c>
      <c r="D6968">
        <f>LOG10(3.54666)</f>
        <v>0.54981955689558859</v>
      </c>
    </row>
    <row r="6969" spans="1:4">
      <c r="A6969">
        <v>1.0316190000000001</v>
      </c>
      <c r="B6969">
        <v>3.5514540000000001</v>
      </c>
      <c r="C6969">
        <f>LOG10(1.031619)</f>
        <v>1.3519332224302584E-2</v>
      </c>
      <c r="D6969">
        <f>LOG10(3.551454)</f>
        <v>0.55040619387065415</v>
      </c>
    </row>
    <row r="6970" spans="1:4">
      <c r="A6970">
        <v>1.021301</v>
      </c>
      <c r="B6970">
        <v>3.4289670000000001</v>
      </c>
      <c r="C6970">
        <f>LOG10(1.021301)</f>
        <v>9.1537571444354499E-3</v>
      </c>
      <c r="D6970">
        <f>LOG10(3.428967)</f>
        <v>0.53516330553288938</v>
      </c>
    </row>
    <row r="6971" spans="1:4">
      <c r="A6971">
        <v>1.0273890000000001</v>
      </c>
      <c r="B6971">
        <v>3.4217379999999999</v>
      </c>
      <c r="C6971">
        <f>LOG10(1.027389)</f>
        <v>1.1734911529572869E-2</v>
      </c>
      <c r="D6971">
        <f>LOG10(3.421738)</f>
        <v>0.53424675286423662</v>
      </c>
    </row>
    <row r="6972" spans="1:4">
      <c r="A6972">
        <v>1.0275259999999999</v>
      </c>
      <c r="B6972">
        <v>3.519803</v>
      </c>
      <c r="C6972">
        <f>LOG10(1.027526)</f>
        <v>1.179281985581393E-2</v>
      </c>
      <c r="D6972">
        <f>LOG10(3.519803)</f>
        <v>0.54651835711246788</v>
      </c>
    </row>
    <row r="6973" spans="1:4">
      <c r="A6973">
        <v>1.039914</v>
      </c>
      <c r="B6973">
        <v>3.3880430000000001</v>
      </c>
      <c r="C6973">
        <f>LOG10(1.039914)</f>
        <v>1.6997425000915192E-2</v>
      </c>
      <c r="D6973">
        <f>LOG10(3.388043)</f>
        <v>0.52994891362567487</v>
      </c>
    </row>
    <row r="6974" spans="1:4">
      <c r="A6974">
        <v>1.0403610000000001</v>
      </c>
      <c r="B6974">
        <v>3.4000710000000001</v>
      </c>
      <c r="C6974">
        <f>LOG10(1.040361)</f>
        <v>1.7184063437082082E-2</v>
      </c>
      <c r="D6974">
        <f>LOG10(3.400071)</f>
        <v>0.53148798603821601</v>
      </c>
    </row>
    <row r="6975" spans="1:4">
      <c r="A6975">
        <v>1.021263</v>
      </c>
      <c r="B6975">
        <v>3.4527380000000001</v>
      </c>
      <c r="C6975">
        <f>LOG10(1.021263)</f>
        <v>9.1375978560956778E-3</v>
      </c>
      <c r="D6975">
        <f>LOG10(3.452738)</f>
        <v>0.53816362454949451</v>
      </c>
    </row>
    <row r="6976" spans="1:4">
      <c r="A6976">
        <v>1.0298909999999999</v>
      </c>
      <c r="B6976">
        <v>3.4788830000000002</v>
      </c>
      <c r="C6976">
        <f>LOG10(1.029891)</f>
        <v>1.2791262954213843E-2</v>
      </c>
      <c r="D6976">
        <f>LOG10(3.478883)</f>
        <v>0.54143982302501859</v>
      </c>
    </row>
    <row r="6977" spans="1:4">
      <c r="A6977">
        <v>1.0313369999999999</v>
      </c>
      <c r="B6977">
        <v>3.440744</v>
      </c>
      <c r="C6977">
        <f>LOG10(1.031337)</f>
        <v>1.3400598674329049E-2</v>
      </c>
      <c r="D6977">
        <f>LOG10(3.440744)</f>
        <v>0.53665236122212812</v>
      </c>
    </row>
    <row r="6978" spans="1:4">
      <c r="A6978">
        <v>1.024381</v>
      </c>
      <c r="B6978">
        <v>3.3952840000000002</v>
      </c>
      <c r="C6978">
        <f>LOG10(1.024381)</f>
        <v>1.0461514669800807E-2</v>
      </c>
      <c r="D6978">
        <f>LOG10(3.395284)</f>
        <v>0.53087610688583364</v>
      </c>
    </row>
    <row r="6979" spans="1:4">
      <c r="A6979">
        <v>1.021488</v>
      </c>
      <c r="B6979">
        <v>3.1734599999999999</v>
      </c>
      <c r="C6979">
        <f>LOG10(1.021488)</f>
        <v>9.2332690943654067E-3</v>
      </c>
      <c r="D6979">
        <f>LOG10(3.17346)</f>
        <v>0.50153302860278537</v>
      </c>
    </row>
    <row r="6980" spans="1:4">
      <c r="A6980">
        <v>1.0404279999999999</v>
      </c>
      <c r="B6980">
        <v>3.066055</v>
      </c>
      <c r="C6980">
        <f>LOG10(1.040428)</f>
        <v>1.7212031414899628E-2</v>
      </c>
      <c r="D6980">
        <f>LOG10(3.066055)</f>
        <v>0.4865799411192252</v>
      </c>
    </row>
    <row r="6981" spans="1:4">
      <c r="A6981">
        <v>1.0255080000000001</v>
      </c>
      <c r="B6981">
        <v>3.1128330000000002</v>
      </c>
      <c r="C6981">
        <f>LOG10(1.025508)</f>
        <v>1.0939052653974057E-2</v>
      </c>
      <c r="D6981">
        <f>LOG10(3.112833)</f>
        <v>0.49315582189551116</v>
      </c>
    </row>
    <row r="6982" spans="1:4">
      <c r="A6982">
        <v>1.0358540000000001</v>
      </c>
      <c r="B6982">
        <v>3.1341939999999999</v>
      </c>
      <c r="C6982">
        <f>LOG10(1.035854)</f>
        <v>1.5298547433688137E-2</v>
      </c>
      <c r="D6982">
        <f>LOG10(3.134194)</f>
        <v>0.49612587487727133</v>
      </c>
    </row>
    <row r="6983" spans="1:4">
      <c r="A6983">
        <v>1.035334</v>
      </c>
      <c r="B6983">
        <v>3.188447</v>
      </c>
      <c r="C6983">
        <f>LOG10(1.035334)</f>
        <v>1.508047632151995E-2</v>
      </c>
      <c r="D6983">
        <f>LOG10(3.188447)</f>
        <v>0.50357920231783404</v>
      </c>
    </row>
    <row r="6984" spans="1:4">
      <c r="A6984">
        <v>1.047774</v>
      </c>
      <c r="B6984">
        <v>3.0096379999999998</v>
      </c>
      <c r="C6984">
        <f>LOG10(1.047774)</f>
        <v>2.026761744020876E-2</v>
      </c>
      <c r="D6984">
        <f>LOG10(3.009638)</f>
        <v>0.47851426168787142</v>
      </c>
    </row>
    <row r="6985" spans="1:4">
      <c r="A6985">
        <v>1.046926</v>
      </c>
      <c r="B6985">
        <v>2.9311159999999998</v>
      </c>
      <c r="C6985">
        <f>LOG10(1.046926)</f>
        <v>1.9915985473079371E-2</v>
      </c>
      <c r="D6985">
        <f>LOG10(2.931116)</f>
        <v>0.46703300614332133</v>
      </c>
    </row>
    <row r="6986" spans="1:4">
      <c r="A6986">
        <v>1.0376840000000001</v>
      </c>
      <c r="B6986">
        <v>3.0895649999999999</v>
      </c>
      <c r="C6986">
        <f>LOG10(1.037684)</f>
        <v>1.6065120419789452E-2</v>
      </c>
      <c r="D6986">
        <f>LOG10(3.089565)</f>
        <v>0.48989733657742063</v>
      </c>
    </row>
    <row r="6987" spans="1:4">
      <c r="A6987">
        <v>1.037393</v>
      </c>
      <c r="B6987">
        <v>3.1783239999999999</v>
      </c>
      <c r="C6987">
        <f>LOG10(1.037393)</f>
        <v>1.5943313185588188E-2</v>
      </c>
      <c r="D6987">
        <f>LOG10(3.178324)</f>
        <v>0.5021981673332222</v>
      </c>
    </row>
    <row r="6988" spans="1:4">
      <c r="A6988">
        <v>1.0495429999999999</v>
      </c>
      <c r="B6988">
        <v>2.9957889999999998</v>
      </c>
      <c r="C6988">
        <f>LOG10(1.049543)</f>
        <v>2.1000236420243078E-2</v>
      </c>
      <c r="D6988">
        <f>LOG10(2.995789)</f>
        <v>0.47651122179022154</v>
      </c>
    </row>
    <row r="6989" spans="1:4">
      <c r="A6989">
        <v>1.047811</v>
      </c>
      <c r="B6989">
        <v>3.1236890000000002</v>
      </c>
      <c r="C6989">
        <f>LOG10(1.047811)</f>
        <v>2.0282953392539129E-2</v>
      </c>
      <c r="D6989">
        <f>LOG10(3.123689)</f>
        <v>0.49466778823108448</v>
      </c>
    </row>
    <row r="6990" spans="1:4">
      <c r="A6990">
        <v>1.0304500000000001</v>
      </c>
      <c r="B6990">
        <v>3.1307170000000002</v>
      </c>
      <c r="C6990">
        <f>LOG10(1.03045)</f>
        <v>1.302692357674274E-2</v>
      </c>
      <c r="D6990">
        <f>LOG10(3.130717)</f>
        <v>0.49564381150282955</v>
      </c>
    </row>
    <row r="6991" spans="1:4">
      <c r="A6991">
        <v>1.0365409999999999</v>
      </c>
      <c r="B6991">
        <v>2.9371559999999999</v>
      </c>
      <c r="C6991">
        <f>LOG10(1.036541)</f>
        <v>1.5586485128960204E-2</v>
      </c>
      <c r="D6991">
        <f>LOG10(2.937156)</f>
        <v>0.46792701364570022</v>
      </c>
    </row>
    <row r="6992" spans="1:4">
      <c r="A6992">
        <v>1.018213</v>
      </c>
      <c r="B6992">
        <v>2.9631669999999999</v>
      </c>
      <c r="C6992">
        <f>LOG10(1.018213)</f>
        <v>7.8386375768086693E-3</v>
      </c>
      <c r="D6992">
        <f>LOG10(2.963167)</f>
        <v>0.47175612840704184</v>
      </c>
    </row>
    <row r="6993" spans="1:4">
      <c r="A6993">
        <v>1.0306519999999999</v>
      </c>
      <c r="B6993">
        <v>3.3174139999999999</v>
      </c>
      <c r="C6993">
        <f>LOG10(1.030652)</f>
        <v>1.3112050354190196E-2</v>
      </c>
      <c r="D6993">
        <f>LOG10(3.317414)</f>
        <v>0.52079967311610897</v>
      </c>
    </row>
    <row r="6994" spans="1:4">
      <c r="A6994">
        <v>1.0253300000000001</v>
      </c>
      <c r="B6994">
        <v>3.0776319999999999</v>
      </c>
      <c r="C6994">
        <f>LOG10(1.02533)</f>
        <v>1.086366452680565E-2</v>
      </c>
      <c r="D6994">
        <f>LOG10(3.077632)</f>
        <v>0.48821668894444747</v>
      </c>
    </row>
    <row r="6995" spans="1:4">
      <c r="A6995">
        <v>1.0225489999999999</v>
      </c>
      <c r="B6995">
        <v>3.1526049999999999</v>
      </c>
      <c r="C6995">
        <f>LOG10(1.022549)</f>
        <v>9.6841283368187224E-3</v>
      </c>
      <c r="D6995">
        <f>LOG10(3.152605)</f>
        <v>0.49866956000680174</v>
      </c>
    </row>
    <row r="6996" spans="1:4">
      <c r="A6996">
        <v>1.017244</v>
      </c>
      <c r="B6996">
        <v>3.150137</v>
      </c>
      <c r="C6996">
        <f>LOG10(1.017244)</f>
        <v>7.4251369381258397E-3</v>
      </c>
      <c r="D6996">
        <f>LOG10(3.150137)</f>
        <v>0.49832944174204663</v>
      </c>
    </row>
    <row r="6997" spans="1:4">
      <c r="A6997">
        <v>1.0239480000000001</v>
      </c>
      <c r="B6997">
        <v>3.0573359999999998</v>
      </c>
      <c r="C6997">
        <f>LOG10(1.023948)</f>
        <v>1.0277902063168613E-2</v>
      </c>
      <c r="D6997">
        <f>LOG10(3.057336)</f>
        <v>0.48534317013831946</v>
      </c>
    </row>
    <row r="6998" spans="1:4">
      <c r="A6998">
        <v>1.0246710000000001</v>
      </c>
      <c r="B6998">
        <v>3.2408039999999998</v>
      </c>
      <c r="C6998">
        <f>LOG10(1.024671)</f>
        <v>1.0584445079173443E-2</v>
      </c>
      <c r="D6998">
        <f>LOG10(3.240804)</f>
        <v>0.51065276620887401</v>
      </c>
    </row>
    <row r="6999" spans="1:4">
      <c r="A6999">
        <v>1.024559</v>
      </c>
      <c r="B6999">
        <v>3.242003</v>
      </c>
      <c r="C6999">
        <f>LOG10(1.024559)</f>
        <v>1.0536972631452451E-2</v>
      </c>
      <c r="D6999">
        <f>LOG10(3.242003)</f>
        <v>0.51081341238875855</v>
      </c>
    </row>
    <row r="7000" spans="1:4">
      <c r="A7000">
        <v>1.0461640000000001</v>
      </c>
      <c r="B7000">
        <v>3.0529730000000002</v>
      </c>
      <c r="C7000">
        <f>LOG10(1.046164)</f>
        <v>1.9599771254072629E-2</v>
      </c>
      <c r="D7000">
        <f>LOG10(3.052973)</f>
        <v>0.4847229634854085</v>
      </c>
    </row>
    <row r="7001" spans="1:4">
      <c r="A7001">
        <v>1.0515760000000001</v>
      </c>
      <c r="B7001">
        <v>3.1040359999999998</v>
      </c>
      <c r="C7001">
        <f>LOG10(1.051576)</f>
        <v>2.1840665693637601E-2</v>
      </c>
      <c r="D7001">
        <f>LOG10(3.104036)</f>
        <v>0.49192674947747961</v>
      </c>
    </row>
    <row r="7002" spans="1:4">
      <c r="A7002">
        <v>1.0233209999999999</v>
      </c>
      <c r="B7002">
        <v>3.2466729999999999</v>
      </c>
      <c r="C7002">
        <f>LOG10(1.023321)</f>
        <v>1.0011886557959421E-2</v>
      </c>
      <c r="D7002">
        <f>LOG10(3.246673)</f>
        <v>0.51143854934448774</v>
      </c>
    </row>
    <row r="7003" spans="1:4">
      <c r="A7003">
        <v>1.025325</v>
      </c>
      <c r="B7003">
        <v>3.3265850000000001</v>
      </c>
      <c r="C7003">
        <f>LOG10(1.025325)</f>
        <v>1.0861546693811281E-2</v>
      </c>
      <c r="D7003">
        <f>LOG10(3.326585)</f>
        <v>0.52199862489895854</v>
      </c>
    </row>
    <row r="7004" spans="1:4">
      <c r="A7004">
        <v>1.023601</v>
      </c>
      <c r="B7004">
        <v>3.1781069999999998</v>
      </c>
      <c r="C7004">
        <f>LOG10(1.023601)</f>
        <v>1.0130701496380522E-2</v>
      </c>
      <c r="D7004">
        <f>LOG10(3.178107)</f>
        <v>0.50216851487491354</v>
      </c>
    </row>
    <row r="7005" spans="1:4">
      <c r="A7005">
        <v>1.042241</v>
      </c>
      <c r="B7005">
        <v>3.2476349999999998</v>
      </c>
      <c r="C7005">
        <f>LOG10(1.042241)</f>
        <v>1.7968153577933785E-2</v>
      </c>
      <c r="D7005">
        <f>LOG10(3.247635)</f>
        <v>0.51156721318200415</v>
      </c>
    </row>
    <row r="7006" spans="1:4">
      <c r="A7006">
        <v>1.0180849999999999</v>
      </c>
      <c r="B7006">
        <v>3.230496</v>
      </c>
      <c r="C7006">
        <f>LOG10(1.018085)</f>
        <v>7.7840387963188894E-3</v>
      </c>
      <c r="D7006">
        <f>LOG10(3.230496)</f>
        <v>0.5092692076331129</v>
      </c>
    </row>
    <row r="7007" spans="1:4">
      <c r="A7007">
        <v>1.0212840000000001</v>
      </c>
      <c r="B7007">
        <v>3.1477179999999998</v>
      </c>
      <c r="C7007">
        <f>LOG10(1.021284)</f>
        <v>9.1465280634498401E-3</v>
      </c>
      <c r="D7007">
        <f>LOG10(3.147718)</f>
        <v>0.49799581754670152</v>
      </c>
    </row>
    <row r="7008" spans="1:4">
      <c r="A7008">
        <v>1.019331</v>
      </c>
      <c r="B7008">
        <v>3.2656550000000002</v>
      </c>
      <c r="C7008">
        <f>LOG10(1.019331)</f>
        <v>8.3152322216314186E-3</v>
      </c>
      <c r="D7008">
        <f>LOG10(3.265655)</f>
        <v>0.51397030179977532</v>
      </c>
    </row>
    <row r="7009" spans="1:4">
      <c r="A7009">
        <v>1.0157620000000001</v>
      </c>
      <c r="B7009">
        <v>3.2565119999999999</v>
      </c>
      <c r="C7009">
        <f>LOG10(1.015762)</f>
        <v>6.7919616930086678E-3</v>
      </c>
      <c r="D7009">
        <f>LOG10(3.256512)</f>
        <v>0.51275268285531261</v>
      </c>
    </row>
    <row r="7010" spans="1:4">
      <c r="A7010">
        <v>1.0341290000000001</v>
      </c>
      <c r="B7010">
        <v>3.1525590000000001</v>
      </c>
      <c r="C7010">
        <f>LOG10(1.034129)</f>
        <v>1.4574717185128396E-2</v>
      </c>
      <c r="D7010">
        <f>LOG10(3.152559)</f>
        <v>0.4986632231228863</v>
      </c>
    </row>
    <row r="7011" spans="1:4">
      <c r="A7011">
        <v>1.0271999999999999</v>
      </c>
      <c r="B7011">
        <v>3.4082759999999999</v>
      </c>
      <c r="C7011">
        <f>LOG10(1.0272)</f>
        <v>1.1655010724778009E-2</v>
      </c>
      <c r="D7011">
        <f>LOG10(3.408276)</f>
        <v>0.53253475640674219</v>
      </c>
    </row>
    <row r="7012" spans="1:4">
      <c r="A7012">
        <v>1.019053</v>
      </c>
      <c r="B7012">
        <v>3.4937040000000001</v>
      </c>
      <c r="C7012">
        <f>LOG10(1.019053)</f>
        <v>8.1967718464345356E-3</v>
      </c>
      <c r="D7012">
        <f>LOG10(3.493704)</f>
        <v>0.54328610711166214</v>
      </c>
    </row>
    <row r="7013" spans="1:4">
      <c r="A7013">
        <v>1.0315129999999999</v>
      </c>
      <c r="B7013">
        <v>3.540375</v>
      </c>
      <c r="C7013">
        <f>LOG10(1.031513)</f>
        <v>1.3474705690350978E-2</v>
      </c>
      <c r="D7013">
        <f>LOG10(3.540375)</f>
        <v>0.54904926536060161</v>
      </c>
    </row>
    <row r="7014" spans="1:4">
      <c r="A7014">
        <v>1.0149520000000001</v>
      </c>
      <c r="B7014">
        <v>3.1647669999999999</v>
      </c>
      <c r="C7014">
        <f>LOG10(1.014952)</f>
        <v>6.445503699418517E-3</v>
      </c>
      <c r="D7014">
        <f>LOG10(3.164767)</f>
        <v>0.50034174141840515</v>
      </c>
    </row>
    <row r="7015" spans="1:4">
      <c r="A7015">
        <v>1.0090570000000001</v>
      </c>
      <c r="B7015">
        <v>3.288627</v>
      </c>
      <c r="C7015">
        <f>LOG10(1.009057)</f>
        <v>3.9156995236066935E-3</v>
      </c>
      <c r="D7015">
        <f>LOG10(3.288627)</f>
        <v>0.51701461807734705</v>
      </c>
    </row>
    <row r="7016" spans="1:4">
      <c r="A7016">
        <v>1.025433</v>
      </c>
      <c r="B7016">
        <v>3.4212150000000001</v>
      </c>
      <c r="C7016">
        <f>LOG10(1.025433)</f>
        <v>1.0907289588964109E-2</v>
      </c>
      <c r="D7016">
        <f>LOG10(3.421215)</f>
        <v>0.53418036748515318</v>
      </c>
    </row>
    <row r="7017" spans="1:4">
      <c r="A7017">
        <v>1.01694</v>
      </c>
      <c r="B7017">
        <v>3.6923010000000001</v>
      </c>
      <c r="C7017">
        <f>LOG10(1.01694)</f>
        <v>7.2953300735732621E-3</v>
      </c>
      <c r="D7017">
        <f>LOG10(3.692301)</f>
        <v>0.56729709790928862</v>
      </c>
    </row>
    <row r="7018" spans="1:4">
      <c r="A7018">
        <v>1.0196160000000001</v>
      </c>
      <c r="B7018">
        <v>3.4962469999999999</v>
      </c>
      <c r="C7018">
        <f>LOG10(1.019616)</f>
        <v>8.4366418788207036E-3</v>
      </c>
      <c r="D7018">
        <f>LOG10(3.496247)</f>
        <v>0.54360210672774101</v>
      </c>
    </row>
    <row r="7019" spans="1:4">
      <c r="A7019">
        <v>1.0516989999999999</v>
      </c>
      <c r="B7019">
        <v>3.4553940000000001</v>
      </c>
      <c r="C7019">
        <f>LOG10(1.051699)</f>
        <v>2.1891460973698405E-2</v>
      </c>
      <c r="D7019">
        <f>LOG10(3.455394)</f>
        <v>0.53849757479849703</v>
      </c>
    </row>
    <row r="7020" spans="1:4">
      <c r="A7020">
        <v>1.073261</v>
      </c>
      <c r="B7020">
        <v>3.5660859999999999</v>
      </c>
      <c r="C7020">
        <f>LOG10(1.073261)</f>
        <v>3.070534831832436E-2</v>
      </c>
      <c r="D7020">
        <f>LOG10(3.566086)</f>
        <v>0.55219181244423776</v>
      </c>
    </row>
    <row r="7021" spans="1:4">
      <c r="A7021">
        <v>1.0300039999999999</v>
      </c>
      <c r="B7021">
        <v>3.1948099999999999</v>
      </c>
      <c r="C7021">
        <f>LOG10(1.030004)</f>
        <v>1.2838911282409512E-2</v>
      </c>
      <c r="D7021">
        <f>LOG10(3.19481)</f>
        <v>0.50444503513755357</v>
      </c>
    </row>
    <row r="7022" spans="1:4">
      <c r="A7022">
        <v>1.0213429999999999</v>
      </c>
      <c r="B7022">
        <v>3.4341499999999998</v>
      </c>
      <c r="C7022">
        <f>LOG10(1.021343)</f>
        <v>9.1716167109996225E-3</v>
      </c>
      <c r="D7022">
        <f>LOG10(3.43415)</f>
        <v>0.53581926075778963</v>
      </c>
    </row>
    <row r="7023" spans="1:4">
      <c r="A7023">
        <v>1.0312349999999999</v>
      </c>
      <c r="B7023">
        <v>3.438564</v>
      </c>
      <c r="C7023">
        <f>LOG10(1.031235)</f>
        <v>1.3357644501393253E-2</v>
      </c>
      <c r="D7023">
        <f>LOG10(3.438564)</f>
        <v>0.53637711202490057</v>
      </c>
    </row>
    <row r="7024" spans="1:4">
      <c r="A7024">
        <v>1.0213970000000001</v>
      </c>
      <c r="B7024">
        <v>3.372064</v>
      </c>
      <c r="C7024">
        <f>LOG10(1.021397)</f>
        <v>9.19457793174072E-3</v>
      </c>
      <c r="D7024">
        <f>LOG10(3.372064)</f>
        <v>0.52789580871162356</v>
      </c>
    </row>
    <row r="7025" spans="1:4">
      <c r="A7025">
        <v>1.0291349999999999</v>
      </c>
      <c r="B7025">
        <v>3.3324310000000001</v>
      </c>
      <c r="C7025">
        <f>LOG10(1.029135)</f>
        <v>1.2472348435336782E-2</v>
      </c>
      <c r="D7025">
        <f>LOG10(3.332431)</f>
        <v>0.52276116584899224</v>
      </c>
    </row>
    <row r="7026" spans="1:4">
      <c r="A7026">
        <v>1.0614920000000001</v>
      </c>
      <c r="B7026">
        <v>3.4287890000000001</v>
      </c>
      <c r="C7026">
        <f>LOG10(1.061492)</f>
        <v>2.5916725427173049E-2</v>
      </c>
      <c r="D7026">
        <f>LOG10(3.428789)</f>
        <v>0.53514076042694037</v>
      </c>
    </row>
    <row r="7027" spans="1:4">
      <c r="A7027">
        <v>1.034451</v>
      </c>
      <c r="B7027">
        <v>3.4752269999999998</v>
      </c>
      <c r="C7027">
        <f>LOG10(1.034451)</f>
        <v>1.4709923775448632E-2</v>
      </c>
      <c r="D7027">
        <f>LOG10(3.475227)</f>
        <v>0.54098317773982096</v>
      </c>
    </row>
    <row r="7028" spans="1:4">
      <c r="A7028">
        <v>1.0245109999999999</v>
      </c>
      <c r="B7028">
        <v>3.7752880000000002</v>
      </c>
      <c r="C7028">
        <f>LOG10(1.024511)</f>
        <v>1.051662570808215E-2</v>
      </c>
      <c r="D7028">
        <f>LOG10(3.775288)</f>
        <v>0.57695008763140276</v>
      </c>
    </row>
    <row r="7029" spans="1:4">
      <c r="A7029">
        <v>1.0198020000000001</v>
      </c>
      <c r="B7029">
        <v>3.861831</v>
      </c>
      <c r="C7029">
        <f>LOG10(1.019802)</f>
        <v>8.5158593554321513E-3</v>
      </c>
      <c r="D7029">
        <f>LOG10(3.861831)</f>
        <v>0.58679326442696544</v>
      </c>
    </row>
    <row r="7030" spans="1:4">
      <c r="A7030">
        <v>1.0273509999999999</v>
      </c>
      <c r="B7030">
        <v>3.5346479999999998</v>
      </c>
      <c r="C7030">
        <f>LOG10(1.027351)</f>
        <v>1.1718847998114588E-2</v>
      </c>
      <c r="D7030">
        <f>LOG10(3.534648)</f>
        <v>0.54834617081487458</v>
      </c>
    </row>
    <row r="7031" spans="1:4">
      <c r="A7031">
        <v>1.1089469999999999</v>
      </c>
      <c r="B7031">
        <v>3.6343489999999998</v>
      </c>
      <c r="C7031">
        <f>LOG10(1.108947)</f>
        <v>4.4910790371366194E-2</v>
      </c>
      <c r="D7031">
        <f>LOG10(3.634349)</f>
        <v>0.56042662949279498</v>
      </c>
    </row>
    <row r="7032" spans="1:4">
      <c r="A7032">
        <v>1.084662</v>
      </c>
      <c r="B7032">
        <v>3.4029280000000002</v>
      </c>
      <c r="C7032">
        <f>LOG10(1.084662)</f>
        <v>3.5294425369860334E-2</v>
      </c>
      <c r="D7032">
        <f>LOG10(3.402928)</f>
        <v>0.53185276028197004</v>
      </c>
    </row>
    <row r="7033" spans="1:4">
      <c r="A7033">
        <v>1.103024</v>
      </c>
      <c r="B7033">
        <v>3.3508619999999998</v>
      </c>
      <c r="C7033">
        <f>LOG10(1.103024)</f>
        <v>4.2584962081324229E-2</v>
      </c>
      <c r="D7033">
        <f>LOG10(3.350862)</f>
        <v>0.52515654246594845</v>
      </c>
    </row>
    <row r="7034" spans="1:4">
      <c r="A7034">
        <v>1.1149249999999999</v>
      </c>
      <c r="B7034">
        <v>3.5049299999999999</v>
      </c>
      <c r="C7034">
        <f>LOG10(1.114925)</f>
        <v>4.7245653768335852E-2</v>
      </c>
      <c r="D7034">
        <f>LOG10(3.50493)</f>
        <v>0.54467934871713974</v>
      </c>
    </row>
    <row r="7035" spans="1:4">
      <c r="A7035">
        <v>1.096427</v>
      </c>
      <c r="B7035">
        <v>3.1777739999999999</v>
      </c>
      <c r="C7035">
        <f>LOG10(1.096427)</f>
        <v>3.9979721692918503E-2</v>
      </c>
      <c r="D7035">
        <f>LOG10(3.177774)</f>
        <v>0.50212300739527194</v>
      </c>
    </row>
    <row r="7036" spans="1:4">
      <c r="A7036">
        <v>1.0932379999999999</v>
      </c>
      <c r="B7036">
        <v>3.0270090000000001</v>
      </c>
      <c r="C7036">
        <f>LOG10(1.093238)</f>
        <v>3.8714718980640196E-2</v>
      </c>
      <c r="D7036">
        <f>LOG10(3.027009)</f>
        <v>0.48101371221674027</v>
      </c>
    </row>
    <row r="7037" spans="1:4">
      <c r="A7037">
        <v>1.0878620000000001</v>
      </c>
      <c r="B7037">
        <v>2.8335400000000002</v>
      </c>
      <c r="C7037">
        <f>LOG10(1.087862)</f>
        <v>3.6573806722731798E-2</v>
      </c>
      <c r="D7037">
        <f>LOG10(2.83354)</f>
        <v>0.4523293477898177</v>
      </c>
    </row>
    <row r="7038" spans="1:4">
      <c r="A7038">
        <v>1.0653859999999999</v>
      </c>
      <c r="B7038">
        <v>3.1362049999999999</v>
      </c>
      <c r="C7038">
        <f>LOG10(1.065386)</f>
        <v>2.7506985519305256E-2</v>
      </c>
      <c r="D7038">
        <f>LOG10(3.136205)</f>
        <v>0.49640444287048879</v>
      </c>
    </row>
    <row r="7039" spans="1:4">
      <c r="A7039">
        <v>1.087995</v>
      </c>
      <c r="B7039">
        <v>3.2771530000000002</v>
      </c>
      <c r="C7039">
        <f>LOG10(1.087995)</f>
        <v>3.6626899518963391E-2</v>
      </c>
      <c r="D7039">
        <f>LOG10(3.277153)</f>
        <v>0.51549671770358574</v>
      </c>
    </row>
    <row r="7040" spans="1:4">
      <c r="A7040">
        <v>1.0667629999999999</v>
      </c>
      <c r="B7040">
        <v>3.3408289999999998</v>
      </c>
      <c r="C7040">
        <f>LOG10(1.066763)</f>
        <v>2.8067944049618626E-2</v>
      </c>
      <c r="D7040">
        <f>LOG10(3.340829)</f>
        <v>0.52385424688716453</v>
      </c>
    </row>
    <row r="7041" spans="1:4">
      <c r="A7041">
        <v>1.0929199999999999</v>
      </c>
      <c r="B7041">
        <v>3.357952</v>
      </c>
      <c r="C7041">
        <f>LOG10(1.09292)</f>
        <v>3.8588373450061615E-2</v>
      </c>
      <c r="D7041">
        <f>LOG10(3.357952)</f>
        <v>0.52607448385559685</v>
      </c>
    </row>
    <row r="7042" spans="1:4">
      <c r="A7042">
        <v>1.0909390000000001</v>
      </c>
      <c r="B7042">
        <v>3.3804270000000001</v>
      </c>
      <c r="C7042">
        <f>LOG10(1.090939)</f>
        <v>3.7800467633224477E-2</v>
      </c>
      <c r="D7042">
        <f>LOG10(3.380427)</f>
        <v>0.52897156182531124</v>
      </c>
    </row>
    <row r="7043" spans="1:4">
      <c r="A7043">
        <v>1.0974159999999999</v>
      </c>
      <c r="B7043">
        <v>3.4127700000000001</v>
      </c>
      <c r="C7043">
        <f>LOG10(1.097416)</f>
        <v>4.0371287791038366E-2</v>
      </c>
      <c r="D7043">
        <f>LOG10(3.41277)</f>
        <v>0.53310702045072333</v>
      </c>
    </row>
    <row r="7044" spans="1:4">
      <c r="A7044">
        <v>1.087178</v>
      </c>
      <c r="B7044">
        <v>3.45031</v>
      </c>
      <c r="C7044">
        <f>LOG10(1.087178)</f>
        <v>3.6300655483752782E-2</v>
      </c>
      <c r="D7044">
        <f>LOG10(3.45031)</f>
        <v>0.53785811688228868</v>
      </c>
    </row>
    <row r="7045" spans="1:4">
      <c r="A7045">
        <v>1.0997159999999999</v>
      </c>
      <c r="B7045">
        <v>3.652431</v>
      </c>
      <c r="C7045">
        <f>LOG10(1.099716)</f>
        <v>4.1280543742200547E-2</v>
      </c>
      <c r="D7045">
        <f>LOG10(3.652431)</f>
        <v>0.56258202019776371</v>
      </c>
    </row>
    <row r="7046" spans="1:4">
      <c r="A7046">
        <v>1.110662</v>
      </c>
      <c r="B7046">
        <v>3.9199730000000002</v>
      </c>
      <c r="C7046">
        <f>LOG10(1.110662)</f>
        <v>4.558191324452332E-2</v>
      </c>
      <c r="D7046">
        <f>LOG10(3.919973)</f>
        <v>0.59328307569612193</v>
      </c>
    </row>
    <row r="7047" spans="1:4">
      <c r="A7047">
        <v>1.0996060000000001</v>
      </c>
      <c r="B7047">
        <v>3.789847</v>
      </c>
      <c r="C7047">
        <f>LOG10(1.099606)</f>
        <v>4.123710090568173E-2</v>
      </c>
      <c r="D7047">
        <f>LOG10(3.789847)</f>
        <v>0.57862167740950221</v>
      </c>
    </row>
    <row r="7048" spans="1:4">
      <c r="A7048">
        <v>1.1021110000000001</v>
      </c>
      <c r="B7048">
        <v>3.057744</v>
      </c>
      <c r="C7048">
        <f>LOG10(1.102111)</f>
        <v>4.2225337038290782E-2</v>
      </c>
      <c r="D7048">
        <f>LOG10(3.057744)</f>
        <v>0.48540112265860685</v>
      </c>
    </row>
    <row r="7049" spans="1:4">
      <c r="A7049">
        <v>1.11236</v>
      </c>
      <c r="B7049">
        <v>3.3812329999999999</v>
      </c>
      <c r="C7049">
        <f>LOG10(1.11236)</f>
        <v>4.6245363425119632E-2</v>
      </c>
      <c r="D7049">
        <f>LOG10(3.381233)</f>
        <v>0.52907509893130944</v>
      </c>
    </row>
    <row r="7050" spans="1:4">
      <c r="A7050">
        <v>1.122107</v>
      </c>
      <c r="B7050">
        <v>3.3737219999999999</v>
      </c>
      <c r="C7050">
        <f>LOG10(1.122107)</f>
        <v>5.0034271620599265E-2</v>
      </c>
      <c r="D7050">
        <f>LOG10(3.373722)</f>
        <v>0.52810929317896216</v>
      </c>
    </row>
    <row r="7051" spans="1:4">
      <c r="A7051">
        <v>1.1115900000000001</v>
      </c>
      <c r="B7051">
        <v>3.451794</v>
      </c>
      <c r="C7051">
        <f>LOG10(1.11159)</f>
        <v>4.5944631156473389E-2</v>
      </c>
      <c r="D7051">
        <f>LOG10(3.451794)</f>
        <v>0.538044869507597</v>
      </c>
    </row>
    <row r="7052" spans="1:4">
      <c r="A7052">
        <v>1.0874239999999999</v>
      </c>
      <c r="B7052">
        <v>3.4476399999999998</v>
      </c>
      <c r="C7052">
        <f>LOG10(1.087424)</f>
        <v>3.6398913871268215E-2</v>
      </c>
      <c r="D7052">
        <f>LOG10(3.44764)</f>
        <v>0.5375219108139373</v>
      </c>
    </row>
    <row r="7053" spans="1:4">
      <c r="A7053">
        <v>1.0826979999999999</v>
      </c>
      <c r="B7053">
        <v>3.3196819999999998</v>
      </c>
      <c r="C7053">
        <f>LOG10(1.082698)</f>
        <v>3.4507334534996645E-2</v>
      </c>
      <c r="D7053">
        <f>LOG10(3.319682)</f>
        <v>0.5210964836257943</v>
      </c>
    </row>
    <row r="7054" spans="1:4">
      <c r="A7054">
        <v>1.096336</v>
      </c>
      <c r="B7054">
        <v>3.3835459999999999</v>
      </c>
      <c r="C7054">
        <f>LOG10(1.096336)</f>
        <v>3.9943675118002828E-2</v>
      </c>
      <c r="D7054">
        <f>LOG10(3.383546)</f>
        <v>0.52937208518194312</v>
      </c>
    </row>
    <row r="7055" spans="1:4">
      <c r="A7055">
        <v>1.089297</v>
      </c>
      <c r="B7055">
        <v>3.579205</v>
      </c>
      <c r="C7055">
        <f>LOG10(1.089297)</f>
        <v>3.7146307556873273E-2</v>
      </c>
      <c r="D7055">
        <f>LOG10(3.579205)</f>
        <v>0.55378657344424331</v>
      </c>
    </row>
    <row r="7056" spans="1:4">
      <c r="A7056">
        <v>1.0915820000000001</v>
      </c>
      <c r="B7056">
        <v>3.3329610000000001</v>
      </c>
      <c r="C7056">
        <f>LOG10(1.091582)</f>
        <v>3.8056365615368216E-2</v>
      </c>
      <c r="D7056">
        <f>LOG10(3.332961)</f>
        <v>0.52283023187718491</v>
      </c>
    </row>
    <row r="7057" spans="1:4">
      <c r="A7057">
        <v>1.072608</v>
      </c>
      <c r="B7057">
        <v>3.2767780000000002</v>
      </c>
      <c r="C7057">
        <f>LOG10(1.072608)</f>
        <v>3.044103180558605E-2</v>
      </c>
      <c r="D7057">
        <f>LOG10(3.276778)</f>
        <v>0.51544701915445801</v>
      </c>
    </row>
    <row r="7058" spans="1:4">
      <c r="A7058">
        <v>1.080238</v>
      </c>
      <c r="B7058">
        <v>3.1517550000000001</v>
      </c>
      <c r="C7058">
        <f>LOG10(1.080238)</f>
        <v>3.3519450578982334E-2</v>
      </c>
      <c r="D7058">
        <f>LOG10(3.151755)</f>
        <v>0.49855245047883867</v>
      </c>
    </row>
    <row r="7059" spans="1:4">
      <c r="A7059">
        <v>1.0812919999999999</v>
      </c>
      <c r="B7059">
        <v>3.2158950000000002</v>
      </c>
      <c r="C7059">
        <f>LOG10(1.081292)</f>
        <v>3.394298984996684E-2</v>
      </c>
      <c r="D7059">
        <f>LOG10(3.215895)</f>
        <v>0.50730186045420156</v>
      </c>
    </row>
    <row r="7060" spans="1:4">
      <c r="A7060">
        <v>1.0768040000000001</v>
      </c>
      <c r="B7060">
        <v>3.2831489999999999</v>
      </c>
      <c r="C7060">
        <f>LOG10(1.076804)</f>
        <v>3.2136660155069816E-2</v>
      </c>
      <c r="D7060">
        <f>LOG10(3.283149)</f>
        <v>0.51629059287536772</v>
      </c>
    </row>
    <row r="7061" spans="1:4">
      <c r="A7061">
        <v>1.0794680000000001</v>
      </c>
      <c r="B7061">
        <v>3.3138939999999999</v>
      </c>
      <c r="C7061">
        <f>LOG10(1.079468)</f>
        <v>3.3209772534623795E-2</v>
      </c>
      <c r="D7061">
        <f>LOG10(3.313894)</f>
        <v>0.52033861272805915</v>
      </c>
    </row>
    <row r="7062" spans="1:4">
      <c r="A7062">
        <v>1.0993790000000001</v>
      </c>
      <c r="B7062">
        <v>3.3047119999999999</v>
      </c>
      <c r="C7062">
        <f>LOG10(1.099379)</f>
        <v>4.1147436949136133E-2</v>
      </c>
      <c r="D7062">
        <f>LOG10(3.304712)</f>
        <v>0.51913361744927022</v>
      </c>
    </row>
    <row r="7063" spans="1:4">
      <c r="A7063">
        <v>1.085337</v>
      </c>
      <c r="B7063">
        <v>3.289202</v>
      </c>
      <c r="C7063">
        <f>LOG10(1.085337)</f>
        <v>3.5564608706110307E-2</v>
      </c>
      <c r="D7063">
        <f>LOG10(3.289202)</f>
        <v>0.51709054566005874</v>
      </c>
    </row>
    <row r="7064" spans="1:4">
      <c r="A7064">
        <v>1.1011880000000001</v>
      </c>
      <c r="B7064">
        <v>3.3910290000000001</v>
      </c>
      <c r="C7064">
        <f>LOG10(1.101188)</f>
        <v>4.1861470100353133E-2</v>
      </c>
      <c r="D7064">
        <f>LOG10(3.391029)</f>
        <v>0.53033150387013028</v>
      </c>
    </row>
    <row r="7065" spans="1:4">
      <c r="A7065">
        <v>1.0777369999999999</v>
      </c>
      <c r="B7065">
        <v>3.3286340000000001</v>
      </c>
      <c r="C7065">
        <f>LOG10(1.077737)</f>
        <v>3.2512792961958643E-2</v>
      </c>
      <c r="D7065">
        <f>LOG10(3.328634)</f>
        <v>0.52226604492571849</v>
      </c>
    </row>
    <row r="7066" spans="1:4">
      <c r="A7066">
        <v>1.1031359999999999</v>
      </c>
      <c r="B7066">
        <v>3.2407089999999998</v>
      </c>
      <c r="C7066">
        <f>LOG10(1.103136)</f>
        <v>4.2629057688184029E-2</v>
      </c>
      <c r="D7066">
        <f>LOG10(3.240709)</f>
        <v>0.51064003523825541</v>
      </c>
    </row>
    <row r="7067" spans="1:4">
      <c r="A7067">
        <v>1.0921609999999999</v>
      </c>
      <c r="B7067">
        <v>3.2315469999999999</v>
      </c>
      <c r="C7067">
        <f>LOG10(1.092161)</f>
        <v>3.8286664245668921E-2</v>
      </c>
      <c r="D7067">
        <f>LOG10(3.231547)</f>
        <v>0.5094104767346973</v>
      </c>
    </row>
    <row r="7068" spans="1:4">
      <c r="A7068">
        <v>1.1111519999999999</v>
      </c>
      <c r="B7068">
        <v>3.1119119999999998</v>
      </c>
      <c r="C7068">
        <f>LOG10(1.111152)</f>
        <v>4.5773472303546871E-2</v>
      </c>
      <c r="D7068">
        <f>LOG10(3.111912)</f>
        <v>0.49302730732318673</v>
      </c>
    </row>
    <row r="7069" spans="1:4">
      <c r="A7069">
        <v>1.056891</v>
      </c>
      <c r="B7069">
        <v>3.3900290000000002</v>
      </c>
      <c r="C7069">
        <f>LOG10(1.056891)</f>
        <v>2.403019966362685E-2</v>
      </c>
      <c r="D7069">
        <f>LOG10(3.390029)</f>
        <v>0.53020341339072374</v>
      </c>
    </row>
    <row r="7070" spans="1:4">
      <c r="A7070">
        <v>1.0635190000000001</v>
      </c>
      <c r="B7070">
        <v>3.174528</v>
      </c>
      <c r="C7070">
        <f>LOG10(1.063519)</f>
        <v>2.67452530741474E-2</v>
      </c>
      <c r="D7070">
        <f>LOG10(3.174528)</f>
        <v>0.50167916199530238</v>
      </c>
    </row>
    <row r="7071" spans="1:4">
      <c r="A7071">
        <v>1.074468</v>
      </c>
      <c r="B7071">
        <v>3.0422210000000001</v>
      </c>
      <c r="C7071">
        <f>LOG10(1.074468)</f>
        <v>3.1193485783379622E-2</v>
      </c>
      <c r="D7071">
        <f>LOG10(3.042221)</f>
        <v>0.48319075987945492</v>
      </c>
    </row>
    <row r="7072" spans="1:4">
      <c r="A7072">
        <v>1.081574</v>
      </c>
      <c r="B7072">
        <v>3.0013420000000002</v>
      </c>
      <c r="C7072">
        <f>LOG10(1.081574)</f>
        <v>3.4056238700881099E-2</v>
      </c>
      <c r="D7072">
        <f>LOG10(3.001342)</f>
        <v>0.47731548567814769</v>
      </c>
    </row>
    <row r="7073" spans="1:4">
      <c r="A7073">
        <v>1.0610740000000001</v>
      </c>
      <c r="B7073">
        <v>3.0424760000000002</v>
      </c>
      <c r="C7073">
        <f>LOG10(1.061074)</f>
        <v>2.5745672940906579E-2</v>
      </c>
      <c r="D7073">
        <f>LOG10(3.042476)</f>
        <v>0.483227161065233</v>
      </c>
    </row>
    <row r="7074" spans="1:4">
      <c r="A7074">
        <v>1.090193</v>
      </c>
      <c r="B7074">
        <v>2.9059119999999998</v>
      </c>
      <c r="C7074">
        <f>LOG10(1.090193)</f>
        <v>3.7503389147251917E-2</v>
      </c>
      <c r="D7074">
        <f>LOG10(2.905912)</f>
        <v>0.46328245838145216</v>
      </c>
    </row>
    <row r="7075" spans="1:4">
      <c r="A7075">
        <v>1.067766</v>
      </c>
      <c r="B7075">
        <v>2.8547400000000001</v>
      </c>
      <c r="C7075">
        <f>LOG10(1.067766)</f>
        <v>2.8476087857839432E-2</v>
      </c>
      <c r="D7075">
        <f>LOG10(2.85474)</f>
        <v>0.45556656032016218</v>
      </c>
    </row>
    <row r="7076" spans="1:4">
      <c r="A7076">
        <v>1.0824659999999999</v>
      </c>
      <c r="B7076">
        <v>2.9194270000000002</v>
      </c>
      <c r="C7076">
        <f>LOG10(1.082466)</f>
        <v>3.4414264153088236E-2</v>
      </c>
      <c r="D7076">
        <f>LOG10(2.919427)</f>
        <v>0.46529762023003707</v>
      </c>
    </row>
    <row r="7077" spans="1:4">
      <c r="A7077">
        <v>1.05854</v>
      </c>
      <c r="B7077">
        <v>2.9276770000000001</v>
      </c>
      <c r="C7077">
        <f>LOG10(1.05854)</f>
        <v>2.4707273740457256E-2</v>
      </c>
      <c r="D7077">
        <f>LOG10(2.927677)</f>
        <v>0.46652316089198836</v>
      </c>
    </row>
    <row r="7078" spans="1:4">
      <c r="A7078">
        <v>1.059212</v>
      </c>
      <c r="B7078">
        <v>3.0051969999999999</v>
      </c>
      <c r="C7078">
        <f>LOG10(1.059212)</f>
        <v>2.4982892322457751E-2</v>
      </c>
      <c r="D7078">
        <f>LOG10(3.005197)</f>
        <v>0.47787294662449625</v>
      </c>
    </row>
    <row r="7079" spans="1:4">
      <c r="A7079">
        <v>1.060819</v>
      </c>
      <c r="B7079">
        <v>3.0838079999999999</v>
      </c>
      <c r="C7079">
        <f>LOG10(1.060819)</f>
        <v>2.5641289644087642E-2</v>
      </c>
      <c r="D7079">
        <f>LOG10(3.083808)</f>
        <v>0.48908733074848454</v>
      </c>
    </row>
    <row r="7080" spans="1:4">
      <c r="A7080">
        <v>1.051855</v>
      </c>
      <c r="B7080">
        <v>3.2284890000000002</v>
      </c>
      <c r="C7080">
        <f>LOG10(1.051855)</f>
        <v>2.1955875711139067E-2</v>
      </c>
      <c r="D7080">
        <f>LOG10(3.228489)</f>
        <v>0.50899931103071094</v>
      </c>
    </row>
    <row r="7081" spans="1:4">
      <c r="A7081">
        <v>1.075828</v>
      </c>
      <c r="B7081">
        <v>3.2680159999999998</v>
      </c>
      <c r="C7081">
        <f>LOG10(1.075828)</f>
        <v>3.1742843243138079E-2</v>
      </c>
      <c r="D7081">
        <f>LOG10(3.268016)</f>
        <v>0.51428417414394589</v>
      </c>
    </row>
    <row r="7082" spans="1:4">
      <c r="A7082">
        <v>1.0692919999999999</v>
      </c>
      <c r="B7082">
        <v>3.3247080000000002</v>
      </c>
      <c r="C7082">
        <f>LOG10(1.069292)</f>
        <v>2.9096317624204896E-2</v>
      </c>
      <c r="D7082">
        <f>LOG10(3.324708)</f>
        <v>0.52175350841884816</v>
      </c>
    </row>
    <row r="7083" spans="1:4">
      <c r="A7083">
        <v>1.1024130000000001</v>
      </c>
      <c r="B7083">
        <v>3.4094120000000001</v>
      </c>
      <c r="C7083">
        <f>LOG10(1.102413)</f>
        <v>4.2344325930546205E-2</v>
      </c>
      <c r="D7083">
        <f>LOG10(3.409412)</f>
        <v>0.53267948539287591</v>
      </c>
    </row>
    <row r="7084" spans="1:4">
      <c r="A7084">
        <v>1.088041</v>
      </c>
      <c r="B7084">
        <v>3.3627820000000002</v>
      </c>
      <c r="C7084">
        <f>LOG10(1.088041)</f>
        <v>3.6645260930420295E-2</v>
      </c>
      <c r="D7084">
        <f>LOG10(3.362782)</f>
        <v>0.52669871409852242</v>
      </c>
    </row>
    <row r="7085" spans="1:4">
      <c r="A7085">
        <v>1.0889599999999999</v>
      </c>
      <c r="B7085">
        <v>3.330333</v>
      </c>
      <c r="C7085">
        <f>LOG10(1.08896)</f>
        <v>3.7011927415715344E-2</v>
      </c>
      <c r="D7085">
        <f>LOG10(3.330333)</f>
        <v>0.52248766078318254</v>
      </c>
    </row>
    <row r="7086" spans="1:4">
      <c r="A7086">
        <v>1.0923780000000001</v>
      </c>
      <c r="B7086">
        <v>3.3062309999999999</v>
      </c>
      <c r="C7086">
        <f>LOG10(1.092378)</f>
        <v>3.8372945060873444E-2</v>
      </c>
      <c r="D7086">
        <f>LOG10(3.306231)</f>
        <v>0.51933319361552077</v>
      </c>
    </row>
    <row r="7087" spans="1:4">
      <c r="A7087">
        <v>1.0849500000000001</v>
      </c>
      <c r="B7087">
        <v>3.4223699999999999</v>
      </c>
      <c r="C7087">
        <f>LOG10(1.08495)</f>
        <v>3.5409724152797382E-2</v>
      </c>
      <c r="D7087">
        <f>LOG10(3.42237)</f>
        <v>0.53432696028157811</v>
      </c>
    </row>
    <row r="7088" spans="1:4">
      <c r="A7088">
        <v>1.097672</v>
      </c>
      <c r="B7088">
        <v>3.3484929999999999</v>
      </c>
      <c r="C7088">
        <f>LOG10(1.097672)</f>
        <v>4.0472586133402134E-2</v>
      </c>
      <c r="D7088">
        <f>LOG10(3.348493)</f>
        <v>0.52484939538372555</v>
      </c>
    </row>
    <row r="7089" spans="1:4">
      <c r="A7089">
        <v>1.0583149999999999</v>
      </c>
      <c r="B7089">
        <v>3.2773780000000001</v>
      </c>
      <c r="C7089">
        <f>LOG10(1.058315)</f>
        <v>2.461495163167203E-2</v>
      </c>
      <c r="D7089">
        <f>LOG10(3.277378)</f>
        <v>0.51552653410340643</v>
      </c>
    </row>
    <row r="7090" spans="1:4">
      <c r="A7090">
        <v>1.0620019999999999</v>
      </c>
      <c r="B7090">
        <v>3.4206859999999999</v>
      </c>
      <c r="C7090">
        <f>LOG10(1.062002)</f>
        <v>2.6125334625060316E-2</v>
      </c>
      <c r="D7090">
        <f>LOG10(3.420686)</f>
        <v>0.53411321019030644</v>
      </c>
    </row>
    <row r="7091" spans="1:4">
      <c r="A7091">
        <v>1.0540229999999999</v>
      </c>
      <c r="B7091">
        <v>3.3415629999999998</v>
      </c>
      <c r="C7091">
        <f>LOG10(1.054023)</f>
        <v>2.2850087787438304E-2</v>
      </c>
      <c r="D7091">
        <f>LOG10(3.341563)</f>
        <v>0.52394965348737566</v>
      </c>
    </row>
    <row r="7092" spans="1:4">
      <c r="A7092">
        <v>1.0550029999999999</v>
      </c>
      <c r="B7092">
        <v>3.2702429999999998</v>
      </c>
      <c r="C7092">
        <f>LOG10(1.055003)</f>
        <v>2.3253694592567615E-2</v>
      </c>
      <c r="D7092">
        <f>LOG10(3.270243)</f>
        <v>0.51458002472086573</v>
      </c>
    </row>
    <row r="7093" spans="1:4">
      <c r="A7093">
        <v>1.0550919999999999</v>
      </c>
      <c r="B7093">
        <v>3.4020600000000001</v>
      </c>
      <c r="C7093">
        <f>LOG10(1.055092)</f>
        <v>2.329033010794708E-2</v>
      </c>
      <c r="D7093">
        <f>LOG10(3.40206)</f>
        <v>0.53174196872367885</v>
      </c>
    </row>
    <row r="7094" spans="1:4">
      <c r="A7094">
        <v>1.0542940000000001</v>
      </c>
      <c r="B7094">
        <v>3.392074</v>
      </c>
      <c r="C7094">
        <f>LOG10(1.054294)</f>
        <v>2.2961734949837529E-2</v>
      </c>
      <c r="D7094">
        <f>LOG10(3.392074)</f>
        <v>0.53046531806613439</v>
      </c>
    </row>
    <row r="7095" spans="1:4">
      <c r="A7095">
        <v>1.064627</v>
      </c>
      <c r="B7095">
        <v>3.3707660000000002</v>
      </c>
      <c r="C7095">
        <f>LOG10(1.064627)</f>
        <v>2.7197476116577531E-2</v>
      </c>
      <c r="D7095">
        <f>LOG10(3.370766)</f>
        <v>0.52772860466095839</v>
      </c>
    </row>
    <row r="7096" spans="1:4">
      <c r="A7096">
        <v>1.0944659999999999</v>
      </c>
      <c r="B7096">
        <v>3.3941140000000001</v>
      </c>
      <c r="C7096">
        <f>LOG10(1.094466)</f>
        <v>3.9202274591261375E-2</v>
      </c>
      <c r="D7096">
        <f>LOG10(3.394114)</f>
        <v>0.5307264251176248</v>
      </c>
    </row>
    <row r="7097" spans="1:4">
      <c r="A7097">
        <v>1.0907610000000001</v>
      </c>
      <c r="B7097">
        <v>3.4752160000000001</v>
      </c>
      <c r="C7097">
        <f>LOG10(1.090761)</f>
        <v>3.772960141151635E-2</v>
      </c>
      <c r="D7097">
        <f>LOG10(3.475216)</f>
        <v>0.54098180308232047</v>
      </c>
    </row>
    <row r="7098" spans="1:4">
      <c r="A7098">
        <v>1.070937</v>
      </c>
      <c r="B7098">
        <v>3.4529990000000002</v>
      </c>
      <c r="C7098">
        <f>LOG10(1.070937)</f>
        <v>2.9763923346222038E-2</v>
      </c>
      <c r="D7098">
        <f>LOG10(3.452999)</f>
        <v>0.53819645257634541</v>
      </c>
    </row>
    <row r="7099" spans="1:4">
      <c r="A7099">
        <v>1.06846</v>
      </c>
      <c r="B7099">
        <v>3.4161769999999998</v>
      </c>
      <c r="C7099">
        <f>LOG10(1.06846)</f>
        <v>2.8758268096301366E-2</v>
      </c>
      <c r="D7099">
        <f>LOG10(3.416177)</f>
        <v>0.53354036439748653</v>
      </c>
    </row>
    <row r="7100" spans="1:4">
      <c r="A7100">
        <v>1.0918650000000001</v>
      </c>
      <c r="B7100">
        <v>3.3744070000000002</v>
      </c>
      <c r="C7100">
        <f>LOG10(1.091865)</f>
        <v>3.8168944797795701E-2</v>
      </c>
      <c r="D7100">
        <f>LOG10(3.374407)</f>
        <v>0.52819746331356554</v>
      </c>
    </row>
    <row r="7101" spans="1:4">
      <c r="A7101">
        <v>1.079097</v>
      </c>
      <c r="B7101">
        <v>3.2988659999999999</v>
      </c>
      <c r="C7101">
        <f>LOG10(1.079097)</f>
        <v>3.3060485156784621E-2</v>
      </c>
      <c r="D7101">
        <f>LOG10(3.298866)</f>
        <v>0.51836467485346471</v>
      </c>
    </row>
    <row r="7102" spans="1:4">
      <c r="A7102">
        <v>1.096838</v>
      </c>
      <c r="B7102">
        <v>3.2662559999999998</v>
      </c>
      <c r="C7102">
        <f>LOG10(1.096838)</f>
        <v>4.0142488193228805E-2</v>
      </c>
      <c r="D7102">
        <f>LOG10(3.266256)</f>
        <v>0.51405022052014993</v>
      </c>
    </row>
    <row r="7103" spans="1:4">
      <c r="A7103">
        <v>1.0720989999999999</v>
      </c>
      <c r="B7103">
        <v>3.267674</v>
      </c>
      <c r="C7103">
        <f>LOG10(1.072099)</f>
        <v>3.0234890924394256E-2</v>
      </c>
      <c r="D7103">
        <f>LOG10(3.267674)</f>
        <v>0.51423872256562853</v>
      </c>
    </row>
    <row r="7104" spans="1:4">
      <c r="A7104">
        <v>1.097971</v>
      </c>
      <c r="B7104">
        <v>3.2292740000000002</v>
      </c>
      <c r="C7104">
        <f>LOG10(1.097971)</f>
        <v>4.0590869525457943E-2</v>
      </c>
      <c r="D7104">
        <f>LOG10(3.229274)</f>
        <v>0.50910489594300123</v>
      </c>
    </row>
    <row r="7105" spans="1:4">
      <c r="A7105">
        <v>1.0826150000000001</v>
      </c>
      <c r="B7105">
        <v>3.3110219999999999</v>
      </c>
      <c r="C7105">
        <f>LOG10(1.082615)</f>
        <v>3.447404009487131E-2</v>
      </c>
      <c r="D7105">
        <f>LOG10(3.311022)</f>
        <v>0.51996206642010212</v>
      </c>
    </row>
    <row r="7106" spans="1:4">
      <c r="A7106">
        <v>1.0546850000000001</v>
      </c>
      <c r="B7106">
        <v>3.2936869999999998</v>
      </c>
      <c r="C7106">
        <f>LOG10(1.054685)</f>
        <v>2.3122769407145794E-2</v>
      </c>
      <c r="D7106">
        <f>LOG10(3.293687)</f>
        <v>0.51768232566811245</v>
      </c>
    </row>
    <row r="7107" spans="1:4">
      <c r="A7107">
        <v>1.0535859999999999</v>
      </c>
      <c r="B7107">
        <v>3.3633730000000002</v>
      </c>
      <c r="C7107">
        <f>LOG10(1.053586)</f>
        <v>2.2669991107919975E-2</v>
      </c>
      <c r="D7107">
        <f>LOG10(3.363373)</f>
        <v>0.52677503349332244</v>
      </c>
    </row>
    <row r="7108" spans="1:4">
      <c r="A7108">
        <v>1.037493</v>
      </c>
      <c r="B7108">
        <v>3.3322020000000001</v>
      </c>
      <c r="C7108">
        <f>LOG10(1.037493)</f>
        <v>1.5985175194608393E-2</v>
      </c>
      <c r="D7108">
        <f>LOG10(3.332202)</f>
        <v>0.52273132071381523</v>
      </c>
    </row>
    <row r="7109" spans="1:4">
      <c r="A7109">
        <v>1.0460069999999999</v>
      </c>
      <c r="B7109">
        <v>3.3869189999999998</v>
      </c>
      <c r="C7109">
        <f>LOG10(1.046007)</f>
        <v>1.9534590889956238E-2</v>
      </c>
      <c r="D7109">
        <f>LOG10(3.386919)</f>
        <v>0.52980481038136495</v>
      </c>
    </row>
    <row r="7110" spans="1:4">
      <c r="A7110">
        <v>1.050214</v>
      </c>
      <c r="B7110">
        <v>3.5061179999999998</v>
      </c>
      <c r="C7110">
        <f>LOG10(1.050214)</f>
        <v>2.1277803402781233E-2</v>
      </c>
      <c r="D7110">
        <f>LOG10(3.506118)</f>
        <v>0.54482652838255896</v>
      </c>
    </row>
    <row r="7111" spans="1:4">
      <c r="A7111">
        <v>1.0440449999999999</v>
      </c>
      <c r="B7111">
        <v>3.4823550000000001</v>
      </c>
      <c r="C7111">
        <f>LOG10(1.044045)</f>
        <v>1.8719217852552674E-2</v>
      </c>
      <c r="D7111">
        <f>LOG10(3.482355)</f>
        <v>0.54187304210651033</v>
      </c>
    </row>
    <row r="7112" spans="1:4">
      <c r="A7112">
        <v>1.0367299999999999</v>
      </c>
      <c r="B7112">
        <v>3.4844650000000001</v>
      </c>
      <c r="C7112">
        <f>LOG10(1.03673)</f>
        <v>1.5665665957040165E-2</v>
      </c>
      <c r="D7112">
        <f>LOG10(3.484465)</f>
        <v>0.54213610657059408</v>
      </c>
    </row>
    <row r="7113" spans="1:4">
      <c r="A7113">
        <v>1.0481149999999999</v>
      </c>
      <c r="B7113">
        <v>3.2503250000000001</v>
      </c>
      <c r="C7113">
        <f>LOG10(1.048115)</f>
        <v>2.0408936393298088E-2</v>
      </c>
      <c r="D7113">
        <f>LOG10(3.250325)</f>
        <v>0.51192678825573712</v>
      </c>
    </row>
    <row r="7114" spans="1:4">
      <c r="A7114">
        <v>1.028181</v>
      </c>
      <c r="B7114">
        <v>3.3251729999999999</v>
      </c>
      <c r="C7114">
        <f>LOG10(1.028181)</f>
        <v>1.2069574174666836E-2</v>
      </c>
      <c r="D7114">
        <f>LOG10(3.325173)</f>
        <v>0.52181424542584542</v>
      </c>
    </row>
    <row r="7115" spans="1:4">
      <c r="A7115">
        <v>1.087898</v>
      </c>
      <c r="B7115">
        <v>3.3648259999999999</v>
      </c>
      <c r="C7115">
        <f>LOG10(1.087898)</f>
        <v>3.6588178345842721E-2</v>
      </c>
      <c r="D7115">
        <f>LOG10(3.364826)</f>
        <v>0.52696261114731724</v>
      </c>
    </row>
    <row r="7116" spans="1:4">
      <c r="A7116">
        <v>1.1199870000000001</v>
      </c>
      <c r="B7116">
        <v>3.415422</v>
      </c>
      <c r="C7116">
        <f>LOG10(1.119987)</f>
        <v>4.9212981722832561E-2</v>
      </c>
      <c r="D7116">
        <f>LOG10(3.415422)</f>
        <v>0.53344437154568958</v>
      </c>
    </row>
    <row r="7117" spans="1:4">
      <c r="A7117">
        <v>1.1893069999999999</v>
      </c>
      <c r="B7117">
        <v>3.5215510000000001</v>
      </c>
      <c r="C7117">
        <f>LOG10(1.189307)</f>
        <v>7.5293975052836359E-2</v>
      </c>
      <c r="D7117">
        <f>LOG10(3.521551)</f>
        <v>0.54673398233737813</v>
      </c>
    </row>
    <row r="7118" spans="1:4">
      <c r="A7118">
        <v>1.1840349999999999</v>
      </c>
      <c r="B7118">
        <v>3.591917</v>
      </c>
      <c r="C7118">
        <f>LOG10(1.184035)</f>
        <v>7.336454029416814E-2</v>
      </c>
      <c r="D7118">
        <f>LOG10(3.591917)</f>
        <v>0.55532629267832212</v>
      </c>
    </row>
    <row r="7119" spans="1:4">
      <c r="A7119">
        <v>1.175689</v>
      </c>
      <c r="B7119">
        <v>3.5197400000000001</v>
      </c>
      <c r="C7119">
        <f>LOG10(1.175689)</f>
        <v>7.0292454863879417E-2</v>
      </c>
      <c r="D7119">
        <f>LOG10(3.51974)</f>
        <v>0.54651058372366679</v>
      </c>
    </row>
    <row r="7120" spans="1:4">
      <c r="A7120">
        <v>1.203368</v>
      </c>
      <c r="B7120">
        <v>3.439676</v>
      </c>
      <c r="C7120">
        <f>LOG10(1.203368)</f>
        <v>8.039845853655804E-2</v>
      </c>
      <c r="D7120">
        <f>LOG10(3.439676)</f>
        <v>0.53651753616482123</v>
      </c>
    </row>
    <row r="7121" spans="1:4">
      <c r="A7121">
        <v>1.228291</v>
      </c>
      <c r="B7121">
        <v>3.4435669999999998</v>
      </c>
      <c r="C7121">
        <f>LOG10(1.228291)</f>
        <v>8.9301269673599817E-2</v>
      </c>
      <c r="D7121">
        <f>LOG10(3.443567)</f>
        <v>0.53700853728422981</v>
      </c>
    </row>
    <row r="7122" spans="1:4">
      <c r="A7122">
        <v>1.3385229999999999</v>
      </c>
      <c r="B7122">
        <v>3.2351809999999999</v>
      </c>
      <c r="C7122">
        <f>LOG10(1.338523)</f>
        <v>0.12662583812083272</v>
      </c>
      <c r="D7122">
        <f>LOG10(3.235181)</f>
        <v>0.50989858333617077</v>
      </c>
    </row>
    <row r="7123" spans="1:4">
      <c r="A7123">
        <v>1.367065</v>
      </c>
      <c r="B7123">
        <v>3.1788240000000001</v>
      </c>
      <c r="C7123">
        <f>LOG10(1.367065)</f>
        <v>0.13578916450945061</v>
      </c>
      <c r="D7123">
        <f>LOG10(3.178824)</f>
        <v>0.50226648326401357</v>
      </c>
    </row>
    <row r="7124" spans="1:4">
      <c r="A7124">
        <v>1.321364</v>
      </c>
      <c r="B7124">
        <v>3.0262129999999998</v>
      </c>
      <c r="C7124">
        <f>LOG10(1.321364)</f>
        <v>0.12102247046509036</v>
      </c>
      <c r="D7124">
        <f>LOG10(3.026213)</f>
        <v>0.48089949257979725</v>
      </c>
    </row>
    <row r="7125" spans="1:4">
      <c r="A7125">
        <v>1.389321</v>
      </c>
      <c r="B7125">
        <v>2.8907090000000002</v>
      </c>
      <c r="C7125">
        <f>LOG10(1.389321)</f>
        <v>0.14280260025339059</v>
      </c>
      <c r="D7125">
        <f>LOG10(2.890709)</f>
        <v>0.46100437459865007</v>
      </c>
    </row>
    <row r="7126" spans="1:4">
      <c r="A7126">
        <v>1.3224549999999999</v>
      </c>
      <c r="B7126">
        <v>2.9180259999999998</v>
      </c>
      <c r="C7126">
        <f>LOG10(1.322455)</f>
        <v>0.12138090294980401</v>
      </c>
      <c r="D7126">
        <f>LOG10(2.918026)</f>
        <v>0.46508915719630334</v>
      </c>
    </row>
    <row r="7127" spans="1:4">
      <c r="A7127">
        <v>1.2870729999999999</v>
      </c>
      <c r="B7127">
        <v>2.934069</v>
      </c>
      <c r="C7127">
        <f>LOG10(1.287073)</f>
        <v>0.10960317984773164</v>
      </c>
      <c r="D7127">
        <f>LOG10(2.934069)</f>
        <v>0.46747032285657952</v>
      </c>
    </row>
    <row r="7128" spans="1:4">
      <c r="A7128">
        <v>1.3591610000000001</v>
      </c>
      <c r="B7128">
        <v>2.8527819999999999</v>
      </c>
      <c r="C7128">
        <f>LOG10(1.359161)</f>
        <v>0.13327090431905611</v>
      </c>
      <c r="D7128">
        <f>LOG10(2.852782)</f>
        <v>0.45526858560226352</v>
      </c>
    </row>
    <row r="7129" spans="1:4">
      <c r="A7129">
        <v>1.3758600000000001</v>
      </c>
      <c r="B7129">
        <v>2.8997799999999998</v>
      </c>
      <c r="C7129">
        <f>LOG10(1.37586)</f>
        <v>0.13857424471289226</v>
      </c>
      <c r="D7129">
        <f>LOG10(2.89978)</f>
        <v>0.46236505017126139</v>
      </c>
    </row>
    <row r="7130" spans="1:4">
      <c r="A7130">
        <v>1.372738</v>
      </c>
      <c r="B7130">
        <v>2.8846530000000001</v>
      </c>
      <c r="C7130">
        <f>LOG10(1.372738)</f>
        <v>0.13758765594611194</v>
      </c>
      <c r="D7130">
        <f>LOG10(2.884653)</f>
        <v>0.46009357858400241</v>
      </c>
    </row>
    <row r="7131" spans="1:4">
      <c r="A7131">
        <v>1.4164950000000001</v>
      </c>
      <c r="B7131">
        <v>2.7631600000000001</v>
      </c>
      <c r="C7131">
        <f>LOG10(1.416495)</f>
        <v>0.15121504586934556</v>
      </c>
      <c r="D7131">
        <f>LOG10(2.76316)</f>
        <v>0.44140603334403572</v>
      </c>
    </row>
    <row r="7132" spans="1:4">
      <c r="A7132">
        <v>1.555223</v>
      </c>
      <c r="B7132">
        <v>3.29372</v>
      </c>
      <c r="C7132">
        <f>LOG10(1.555223)</f>
        <v>0.19179267035690489</v>
      </c>
      <c r="D7132">
        <f>LOG10(3.29372)</f>
        <v>0.51768667691524295</v>
      </c>
    </row>
    <row r="7133" spans="1:4">
      <c r="A7133">
        <v>1.6241969999999999</v>
      </c>
      <c r="B7133">
        <v>3.317755</v>
      </c>
      <c r="C7133">
        <f>LOG10(1.624197)</f>
        <v>0.21063870398406692</v>
      </c>
      <c r="D7133">
        <f>LOG10(3.317755)</f>
        <v>0.52084431234638617</v>
      </c>
    </row>
    <row r="7134" spans="1:4">
      <c r="A7134">
        <v>1.580195</v>
      </c>
      <c r="B7134">
        <v>3.397856</v>
      </c>
      <c r="C7134">
        <f>LOG10(1.580195)</f>
        <v>0.19871068328254707</v>
      </c>
      <c r="D7134">
        <f>LOG10(3.397856)</f>
        <v>0.5312049696682376</v>
      </c>
    </row>
    <row r="7135" spans="1:4">
      <c r="A7135">
        <v>1.590991</v>
      </c>
      <c r="B7135">
        <v>3.411041</v>
      </c>
      <c r="C7135">
        <f>LOG10(1.590991)</f>
        <v>0.20166772291409099</v>
      </c>
      <c r="D7135">
        <f>LOG10(3.411041)</f>
        <v>0.53288693956768596</v>
      </c>
    </row>
    <row r="7136" spans="1:4">
      <c r="A7136">
        <v>1.633372</v>
      </c>
      <c r="B7136">
        <v>3.4069699999999998</v>
      </c>
      <c r="C7136">
        <f>LOG10(1.633372)</f>
        <v>0.21308510644427925</v>
      </c>
      <c r="D7136">
        <f>LOG10(3.40697)</f>
        <v>0.53236830941412938</v>
      </c>
    </row>
    <row r="7137" spans="1:4">
      <c r="A7137">
        <v>1.5406899999999999</v>
      </c>
      <c r="B7137">
        <v>3.562856</v>
      </c>
      <c r="C7137">
        <f>LOG10(1.54069)</f>
        <v>0.18771526374569708</v>
      </c>
      <c r="D7137">
        <f>LOG10(3.562856)</f>
        <v>0.55179826981966984</v>
      </c>
    </row>
    <row r="7138" spans="1:4">
      <c r="A7138">
        <v>1.6099239999999999</v>
      </c>
      <c r="B7138">
        <v>3.492626</v>
      </c>
      <c r="C7138">
        <f>LOG10(1.609924)</f>
        <v>0.20680537469043245</v>
      </c>
      <c r="D7138">
        <f>LOG10(3.492626)</f>
        <v>0.54315208267960491</v>
      </c>
    </row>
    <row r="7139" spans="1:4">
      <c r="A7139">
        <v>1.6804760000000001</v>
      </c>
      <c r="B7139">
        <v>3.4498090000000001</v>
      </c>
      <c r="C7139">
        <f>LOG10(1.680476)</f>
        <v>0.22543231440026287</v>
      </c>
      <c r="D7139">
        <f>LOG10(3.449809)</f>
        <v>0.53779505085811841</v>
      </c>
    </row>
    <row r="7140" spans="1:4">
      <c r="A7140">
        <v>1.637726</v>
      </c>
      <c r="B7140">
        <v>3.6040199999999998</v>
      </c>
      <c r="C7140">
        <f>LOG10(1.637726)</f>
        <v>0.21424124379688686</v>
      </c>
      <c r="D7140">
        <f>LOG10(3.60402)</f>
        <v>0.55678719236960506</v>
      </c>
    </row>
    <row r="7141" spans="1:4">
      <c r="A7141">
        <v>1.7539359999999999</v>
      </c>
      <c r="B7141">
        <v>3.681206</v>
      </c>
      <c r="C7141">
        <f>LOG10(1.753936)</f>
        <v>0.24401374219196942</v>
      </c>
      <c r="D7141">
        <f>LOG10(3.681206)</f>
        <v>0.56599012121194991</v>
      </c>
    </row>
    <row r="7142" spans="1:4">
      <c r="A7142">
        <v>1.648331</v>
      </c>
      <c r="B7142">
        <v>3.582249</v>
      </c>
      <c r="C7142">
        <f>LOG10(1.648331)</f>
        <v>0.21704442643830321</v>
      </c>
      <c r="D7142">
        <f>LOG10(3.582249)</f>
        <v>0.55415577011367068</v>
      </c>
    </row>
    <row r="7143" spans="1:4">
      <c r="A7143">
        <v>1.654409</v>
      </c>
      <c r="B7143">
        <v>3.2657219999999998</v>
      </c>
      <c r="C7143">
        <f>LOG10(1.654409)</f>
        <v>0.21864288398620435</v>
      </c>
      <c r="D7143">
        <f>LOG10(3.265722)</f>
        <v>0.51397921193627139</v>
      </c>
    </row>
    <row r="7144" spans="1:4">
      <c r="A7144">
        <v>1.5109060000000001</v>
      </c>
      <c r="B7144">
        <v>3.5214810000000001</v>
      </c>
      <c r="C7144">
        <f>LOG10(1.510906)</f>
        <v>0.17923744584055981</v>
      </c>
      <c r="D7144">
        <f>LOG10(3.521481)</f>
        <v>0.54672534951738405</v>
      </c>
    </row>
    <row r="7145" spans="1:4">
      <c r="A7145">
        <v>1.524678</v>
      </c>
      <c r="B7145">
        <v>3.56535</v>
      </c>
      <c r="C7145">
        <f>LOG10(1.524678)</f>
        <v>0.1831781337883879</v>
      </c>
      <c r="D7145">
        <f>LOG10(3.56535)</f>
        <v>0.55210216970193016</v>
      </c>
    </row>
    <row r="7146" spans="1:4">
      <c r="A7146">
        <v>1.620498</v>
      </c>
      <c r="B7146">
        <v>3.798889</v>
      </c>
      <c r="C7146">
        <f>LOG10(1.620498)</f>
        <v>0.20964849936730326</v>
      </c>
      <c r="D7146">
        <f>LOG10(3.798889)</f>
        <v>0.5796566040596528</v>
      </c>
    </row>
    <row r="7147" spans="1:4">
      <c r="A7147">
        <v>1.670045</v>
      </c>
      <c r="B7147">
        <v>3.365065</v>
      </c>
      <c r="C7147">
        <f>LOG10(1.670045)</f>
        <v>0.22272817353583663</v>
      </c>
      <c r="D7147">
        <f>LOG10(3.365065)</f>
        <v>0.52699345752542903</v>
      </c>
    </row>
    <row r="7148" spans="1:4">
      <c r="A7148">
        <v>1.5702050000000001</v>
      </c>
      <c r="B7148">
        <v>3.2599279999999999</v>
      </c>
      <c r="C7148">
        <f>LOG10(1.570205)</f>
        <v>0.19595635594859928</v>
      </c>
      <c r="D7148">
        <f>LOG10(3.259928)</f>
        <v>0.51320800818204748</v>
      </c>
    </row>
    <row r="7149" spans="1:4">
      <c r="A7149">
        <v>1.743714</v>
      </c>
      <c r="B7149">
        <v>4.4901239999999998</v>
      </c>
      <c r="C7149">
        <f>LOG10(1.743714)</f>
        <v>0.24147525444549203</v>
      </c>
      <c r="D7149">
        <f>LOG10(4.490124)</f>
        <v>0.65225833471649675</v>
      </c>
    </row>
    <row r="7150" spans="1:4">
      <c r="A7150">
        <v>1.606449</v>
      </c>
      <c r="B7150">
        <v>3.2465419999999998</v>
      </c>
      <c r="C7150">
        <f>LOG10(1.606449)</f>
        <v>0.20586694254227936</v>
      </c>
      <c r="D7150">
        <f>LOG10(3.246542)</f>
        <v>0.51142102564409064</v>
      </c>
    </row>
    <row r="7151" spans="1:4">
      <c r="A7151">
        <v>1.5977589999999999</v>
      </c>
      <c r="B7151">
        <v>3.1833170000000002</v>
      </c>
      <c r="C7151">
        <f>LOG10(1.597759)</f>
        <v>0.20351127256033902</v>
      </c>
      <c r="D7151">
        <f>LOG10(3.183317)</f>
        <v>0.5028798885411303</v>
      </c>
    </row>
    <row r="7152" spans="1:4">
      <c r="A7152">
        <v>1.482699</v>
      </c>
      <c r="B7152">
        <v>3.2744520000000001</v>
      </c>
      <c r="C7152">
        <f>LOG10(1.482699)</f>
        <v>0.17105299465141879</v>
      </c>
      <c r="D7152">
        <f>LOG10(3.274452)</f>
        <v>0.51513862851411907</v>
      </c>
    </row>
    <row r="7153" spans="1:4">
      <c r="A7153">
        <v>1.652827</v>
      </c>
      <c r="B7153">
        <v>3.138236</v>
      </c>
      <c r="C7153">
        <f>LOG10(1.652827)</f>
        <v>0.21822739871525698</v>
      </c>
      <c r="D7153">
        <f>LOG10(3.138236)</f>
        <v>0.49668560006793544</v>
      </c>
    </row>
    <row r="7154" spans="1:4">
      <c r="A7154">
        <v>1.678264</v>
      </c>
      <c r="B7154">
        <v>3.1738710000000001</v>
      </c>
      <c r="C7154">
        <f>LOG10(1.678264)</f>
        <v>0.22486027873637798</v>
      </c>
      <c r="D7154">
        <f>LOG10(3.173871)</f>
        <v>0.50158927115018415</v>
      </c>
    </row>
    <row r="7155" spans="1:4">
      <c r="A7155">
        <v>1.73532</v>
      </c>
      <c r="B7155">
        <v>3.1633200000000001</v>
      </c>
      <c r="C7155">
        <f>LOG10(1.73532)</f>
        <v>0.23937957216419337</v>
      </c>
      <c r="D7155">
        <f>LOG10(3.16332)</f>
        <v>0.50014312716854836</v>
      </c>
    </row>
    <row r="7156" spans="1:4">
      <c r="A7156">
        <v>1.644496</v>
      </c>
      <c r="B7156">
        <v>3.3017300000000001</v>
      </c>
      <c r="C7156">
        <f>LOG10(1.644496)</f>
        <v>0.21603282146109348</v>
      </c>
      <c r="D7156">
        <f>LOG10(3.30173)</f>
        <v>0.51874155581216252</v>
      </c>
    </row>
    <row r="7157" spans="1:4">
      <c r="A7157">
        <v>1.5252300000000001</v>
      </c>
      <c r="B7157">
        <v>3.2921930000000001</v>
      </c>
      <c r="C7157">
        <f>LOG10(1.52523)</f>
        <v>0.18333533889531459</v>
      </c>
      <c r="D7157">
        <f>LOG10(3.292193)</f>
        <v>0.51748528716540876</v>
      </c>
    </row>
    <row r="7158" spans="1:4">
      <c r="A7158">
        <v>1.696054</v>
      </c>
      <c r="B7158">
        <v>3.3753030000000002</v>
      </c>
      <c r="C7158">
        <f>LOG10(1.696054)</f>
        <v>0.22943967547298325</v>
      </c>
      <c r="D7158">
        <f>LOG10(3.375303)</f>
        <v>0.52831276541041738</v>
      </c>
    </row>
    <row r="7159" spans="1:4">
      <c r="A7159">
        <v>1.845958</v>
      </c>
      <c r="B7159">
        <v>3.3746800000000001</v>
      </c>
      <c r="C7159">
        <f>LOG10(1.845958)</f>
        <v>0.26622181555460367</v>
      </c>
      <c r="D7159">
        <f>LOG10(3.37468)</f>
        <v>0.52823259766392261</v>
      </c>
    </row>
    <row r="7160" spans="1:4">
      <c r="A7160">
        <v>1.6508179999999999</v>
      </c>
      <c r="B7160">
        <v>3.1830850000000002</v>
      </c>
      <c r="C7160">
        <f>LOG10(1.650818)</f>
        <v>0.21769919564156406</v>
      </c>
      <c r="D7160">
        <f>LOG10(3.183085)</f>
        <v>0.50284823602536199</v>
      </c>
    </row>
    <row r="7161" spans="1:4">
      <c r="A7161">
        <v>1.7839240000000001</v>
      </c>
      <c r="B7161">
        <v>3.2810169999999999</v>
      </c>
      <c r="C7161">
        <f>LOG10(1.783924)</f>
        <v>0.25137634831157551</v>
      </c>
      <c r="D7161">
        <f>LOG10(3.281017)</f>
        <v>0.51600848061069426</v>
      </c>
    </row>
    <row r="7162" spans="1:4">
      <c r="A7162">
        <v>1.6705829999999999</v>
      </c>
      <c r="B7162">
        <v>3.2007989999999999</v>
      </c>
      <c r="C7162">
        <f>LOG10(1.670583)</f>
        <v>0.22286805767336043</v>
      </c>
      <c r="D7162">
        <f>LOG10(3.200799)</f>
        <v>0.50525840268781474</v>
      </c>
    </row>
    <row r="7163" spans="1:4">
      <c r="A7163">
        <v>1.5689360000000001</v>
      </c>
      <c r="B7163">
        <v>3.0741580000000002</v>
      </c>
      <c r="C7163">
        <f>LOG10(1.568936)</f>
        <v>0.19560522821807919</v>
      </c>
      <c r="D7163">
        <f>LOG10(3.074158)</f>
        <v>0.48772618481783991</v>
      </c>
    </row>
    <row r="7164" spans="1:4">
      <c r="A7164">
        <v>1.5670649999999999</v>
      </c>
      <c r="B7164">
        <v>3.262378</v>
      </c>
      <c r="C7164">
        <f>LOG10(1.567065)</f>
        <v>0.19508701086288491</v>
      </c>
      <c r="D7164">
        <f>LOG10(3.262378)</f>
        <v>0.51353427975860577</v>
      </c>
    </row>
    <row r="7165" spans="1:4">
      <c r="A7165">
        <v>1.4411689999999999</v>
      </c>
      <c r="B7165">
        <v>3.2456109999999998</v>
      </c>
      <c r="C7165">
        <f>LOG10(1.441169)</f>
        <v>0.15871491173963989</v>
      </c>
      <c r="D7165">
        <f>LOG10(3.245611)</f>
        <v>0.51129646660630346</v>
      </c>
    </row>
    <row r="7166" spans="1:4">
      <c r="A7166">
        <v>1.553831</v>
      </c>
      <c r="B7166">
        <v>2.9837579999999999</v>
      </c>
      <c r="C7166">
        <f>LOG10(1.553831)</f>
        <v>0.19140378167294891</v>
      </c>
      <c r="D7166">
        <f>LOG10(2.983758)</f>
        <v>0.47476359643917543</v>
      </c>
    </row>
    <row r="7167" spans="1:4">
      <c r="A7167">
        <v>1.415484</v>
      </c>
      <c r="B7167">
        <v>3.0622699999999998</v>
      </c>
      <c r="C7167">
        <f>LOG10(1.415484)</f>
        <v>0.15090496465768635</v>
      </c>
      <c r="D7167">
        <f>LOG10(3.06227)</f>
        <v>0.48604347974584217</v>
      </c>
    </row>
    <row r="7168" spans="1:4">
      <c r="A7168">
        <v>1.4920020000000001</v>
      </c>
      <c r="B7168">
        <v>3.1232350000000002</v>
      </c>
      <c r="C7168">
        <f>LOG10(1.492002)</f>
        <v>0.17376940530044468</v>
      </c>
      <c r="D7168">
        <f>LOG10(3.123235)</f>
        <v>0.49460466286086024</v>
      </c>
    </row>
    <row r="7169" spans="1:4">
      <c r="A7169">
        <v>1.5120150000000001</v>
      </c>
      <c r="B7169">
        <v>3.2615419999999999</v>
      </c>
      <c r="C7169">
        <f>LOG10(1.512015)</f>
        <v>0.1795560996208195</v>
      </c>
      <c r="D7169">
        <f>LOG10(3.261542)</f>
        <v>0.51342297545418192</v>
      </c>
    </row>
    <row r="7170" spans="1:4">
      <c r="A7170">
        <v>1.5146599999999999</v>
      </c>
      <c r="B7170">
        <v>3.251484</v>
      </c>
      <c r="C7170">
        <f>LOG10(1.51466)</f>
        <v>0.18031515647169058</v>
      </c>
      <c r="D7170">
        <f>LOG10(3.251484)</f>
        <v>0.51208162125986167</v>
      </c>
    </row>
    <row r="7171" spans="1:4">
      <c r="A7171">
        <v>1.4469860000000001</v>
      </c>
      <c r="B7171">
        <v>3.1256119999999998</v>
      </c>
      <c r="C7171">
        <f>LOG10(1.446986)</f>
        <v>0.160464329217061</v>
      </c>
      <c r="D7171">
        <f>LOG10(3.125612)</f>
        <v>0.49493506558420264</v>
      </c>
    </row>
    <row r="7172" spans="1:4">
      <c r="A7172">
        <v>1.476998</v>
      </c>
      <c r="B7172">
        <v>3.0130159999999999</v>
      </c>
      <c r="C7172">
        <f>LOG10(1.476998)</f>
        <v>0.16937990723506943</v>
      </c>
      <c r="D7172">
        <f>LOG10(3.013016)</f>
        <v>0.47900143791074862</v>
      </c>
    </row>
    <row r="7173" spans="1:4">
      <c r="A7173">
        <v>1.4254500000000001</v>
      </c>
      <c r="B7173">
        <v>3.2901250000000002</v>
      </c>
      <c r="C7173">
        <f>LOG10(1.42545)</f>
        <v>0.15395198832037849</v>
      </c>
      <c r="D7173">
        <f>LOG10(3.290125)</f>
        <v>0.51721239818674625</v>
      </c>
    </row>
    <row r="7174" spans="1:4">
      <c r="A7174">
        <v>1.3499159999999999</v>
      </c>
      <c r="B7174">
        <v>3.220186</v>
      </c>
      <c r="C7174">
        <f>LOG10(1.349916)</f>
        <v>0.13030674488650001</v>
      </c>
      <c r="D7174">
        <f>LOG10(3.220186)</f>
        <v>0.50788095754697138</v>
      </c>
    </row>
    <row r="7175" spans="1:4">
      <c r="A7175">
        <v>1.57517</v>
      </c>
      <c r="B7175">
        <v>3.0934089999999999</v>
      </c>
      <c r="C7175">
        <f>LOG10(1.57517)</f>
        <v>0.19732743182576579</v>
      </c>
      <c r="D7175">
        <f>LOG10(3.093409)</f>
        <v>0.4904373447364474</v>
      </c>
    </row>
    <row r="7176" spans="1:4">
      <c r="A7176">
        <v>1.392293</v>
      </c>
      <c r="B7176">
        <v>3.1295139999999999</v>
      </c>
      <c r="C7176">
        <f>LOG10(1.392293)</f>
        <v>0.1437306396516454</v>
      </c>
      <c r="D7176">
        <f>LOG10(3.129514)</f>
        <v>0.49547689872655637</v>
      </c>
    </row>
    <row r="7177" spans="1:4">
      <c r="A7177">
        <v>1.4954430000000001</v>
      </c>
      <c r="B7177">
        <v>3.0651470000000001</v>
      </c>
      <c r="C7177">
        <f>LOG10(1.495443)</f>
        <v>0.1747698642030196</v>
      </c>
      <c r="D7177">
        <f>LOG10(3.065147)</f>
        <v>0.48645130748671689</v>
      </c>
    </row>
    <row r="7178" spans="1:4">
      <c r="A7178">
        <v>1.432048</v>
      </c>
      <c r="B7178">
        <v>3.0290059999999999</v>
      </c>
      <c r="C7178">
        <f>LOG10(1.432048)</f>
        <v>0.15595757508479946</v>
      </c>
      <c r="D7178">
        <f>LOG10(3.029006)</f>
        <v>0.48130013360499524</v>
      </c>
    </row>
    <row r="7179" spans="1:4">
      <c r="A7179">
        <v>1.428974</v>
      </c>
      <c r="B7179">
        <v>3.1526689999999999</v>
      </c>
      <c r="C7179">
        <f>LOG10(1.428974)</f>
        <v>0.15502432693005069</v>
      </c>
      <c r="D7179">
        <f>LOG10(3.152669)</f>
        <v>0.49867837638713436</v>
      </c>
    </row>
    <row r="7180" spans="1:4">
      <c r="A7180">
        <v>1.432118</v>
      </c>
      <c r="B7180">
        <v>3.247722</v>
      </c>
      <c r="C7180">
        <f>LOG10(1.432118)</f>
        <v>0.15597880333325942</v>
      </c>
      <c r="D7180">
        <f>LOG10(3.247722)</f>
        <v>0.5115788472214966</v>
      </c>
    </row>
    <row r="7181" spans="1:4">
      <c r="A7181">
        <v>1.3241750000000001</v>
      </c>
      <c r="B7181">
        <v>3.4597669999999998</v>
      </c>
      <c r="C7181">
        <f>LOG10(1.324175)</f>
        <v>0.12194538428194068</v>
      </c>
      <c r="D7181">
        <f>LOG10(3.459767)</f>
        <v>0.53904685196573121</v>
      </c>
    </row>
    <row r="7182" spans="1:4">
      <c r="A7182">
        <v>1.291015</v>
      </c>
      <c r="B7182">
        <v>3.522249</v>
      </c>
      <c r="C7182">
        <f>LOG10(1.291015)</f>
        <v>0.11093128826129535</v>
      </c>
      <c r="D7182">
        <f>LOG10(3.522249)</f>
        <v>0.54682005449994975</v>
      </c>
    </row>
    <row r="7183" spans="1:4">
      <c r="A7183">
        <v>1.269636</v>
      </c>
      <c r="B7183">
        <v>3.4560849999999999</v>
      </c>
      <c r="C7183">
        <f>LOG10(1.269636)</f>
        <v>0.10367922816053636</v>
      </c>
      <c r="D7183">
        <f>LOG10(3.456085)</f>
        <v>0.53858441510807331</v>
      </c>
    </row>
    <row r="7184" spans="1:4">
      <c r="A7184">
        <v>1.2916879999999999</v>
      </c>
      <c r="B7184">
        <v>3.4557020000000001</v>
      </c>
      <c r="C7184">
        <f>LOG10(1.291688)</f>
        <v>0.11115762492713444</v>
      </c>
      <c r="D7184">
        <f>LOG10(3.455702)</f>
        <v>0.53853628434630674</v>
      </c>
    </row>
    <row r="7185" spans="1:4">
      <c r="A7185">
        <v>1.221711</v>
      </c>
      <c r="B7185">
        <v>3.544238</v>
      </c>
      <c r="C7185">
        <f>LOG10(1.221711)</f>
        <v>8.6968484180557859E-2</v>
      </c>
      <c r="D7185">
        <f>LOG10(3.544238)</f>
        <v>0.54952287761009466</v>
      </c>
    </row>
    <row r="7186" spans="1:4">
      <c r="A7186">
        <v>1.177964</v>
      </c>
      <c r="B7186">
        <v>3.5027170000000001</v>
      </c>
      <c r="C7186">
        <f>LOG10(1.177964)</f>
        <v>7.1132018090936652E-2</v>
      </c>
      <c r="D7186">
        <f>LOG10(3.502717)</f>
        <v>0.54440505016288854</v>
      </c>
    </row>
    <row r="7187" spans="1:4">
      <c r="A7187">
        <v>1.1323369999999999</v>
      </c>
      <c r="B7187">
        <v>3.5230260000000002</v>
      </c>
      <c r="C7187">
        <f>LOG10(1.132337)</f>
        <v>5.3975698459334059E-2</v>
      </c>
      <c r="D7187">
        <f>LOG10(3.523026)</f>
        <v>0.54691584829474327</v>
      </c>
    </row>
    <row r="7188" spans="1:4">
      <c r="A7188">
        <v>1.1351770000000001</v>
      </c>
      <c r="B7188">
        <v>3.530262</v>
      </c>
      <c r="C7188">
        <f>LOG10(1.135177)</f>
        <v>5.5063583229654468E-2</v>
      </c>
      <c r="D7188">
        <f>LOG10(3.530262)</f>
        <v>0.5478069379464191</v>
      </c>
    </row>
    <row r="7189" spans="1:4">
      <c r="A7189">
        <v>1.127149</v>
      </c>
      <c r="B7189">
        <v>3.5304479999999998</v>
      </c>
      <c r="C7189">
        <f>LOG10(1.127149)</f>
        <v>5.198133006611836E-2</v>
      </c>
      <c r="D7189">
        <f>LOG10(3.530448)</f>
        <v>0.54782981915061879</v>
      </c>
    </row>
    <row r="7190" spans="1:4">
      <c r="A7190">
        <v>1.16004</v>
      </c>
      <c r="B7190">
        <v>3.5788579999999999</v>
      </c>
      <c r="C7190">
        <f>LOG10(1.16004)</f>
        <v>6.4472964640512928E-2</v>
      </c>
      <c r="D7190">
        <f>LOG10(3.578858)</f>
        <v>0.55374446702932678</v>
      </c>
    </row>
    <row r="7191" spans="1:4">
      <c r="A7191">
        <v>1.151993</v>
      </c>
      <c r="B7191">
        <v>3.462596</v>
      </c>
      <c r="C7191">
        <f>LOG10(1.151993)</f>
        <v>6.1449840137011262E-2</v>
      </c>
      <c r="D7191">
        <f>LOG10(3.462596)</f>
        <v>0.53940182299446915</v>
      </c>
    </row>
    <row r="7192" spans="1:4">
      <c r="A7192">
        <v>1.205085</v>
      </c>
      <c r="B7192">
        <v>3.5121859999999998</v>
      </c>
      <c r="C7192">
        <f>LOG10(1.205085)</f>
        <v>8.1017680710920859E-2</v>
      </c>
      <c r="D7192">
        <f>LOG10(3.512186)</f>
        <v>0.54557750741476996</v>
      </c>
    </row>
    <row r="7193" spans="1:4">
      <c r="A7193">
        <v>1.236893</v>
      </c>
      <c r="B7193">
        <v>3.443724</v>
      </c>
      <c r="C7193">
        <f>LOG10(1.236893)</f>
        <v>9.2332131707151016E-2</v>
      </c>
      <c r="D7193">
        <f>LOG10(3.443724)</f>
        <v>0.5370283372995539</v>
      </c>
    </row>
    <row r="7194" spans="1:4">
      <c r="A7194">
        <v>1.1489529999999999</v>
      </c>
      <c r="B7194">
        <v>3.6030389999999999</v>
      </c>
      <c r="C7194">
        <f>LOG10(1.148953)</f>
        <v>6.0302263450569396E-2</v>
      </c>
      <c r="D7194">
        <f>LOG10(3.603039)</f>
        <v>0.55666896303656421</v>
      </c>
    </row>
    <row r="7195" spans="1:4">
      <c r="A7195">
        <v>1.1949320000000001</v>
      </c>
      <c r="B7195">
        <v>3.5703109999999998</v>
      </c>
      <c r="C7195">
        <f>LOG10(1.194932)</f>
        <v>7.7343191589559865E-2</v>
      </c>
      <c r="D7195">
        <f>LOG10(3.570311)</f>
        <v>0.55270604796124212</v>
      </c>
    </row>
    <row r="7196" spans="1:4">
      <c r="A7196">
        <v>1.1797200000000001</v>
      </c>
      <c r="B7196">
        <v>3.4982199999999999</v>
      </c>
      <c r="C7196">
        <f>LOG10(1.17972)</f>
        <v>7.1778942149663114E-2</v>
      </c>
      <c r="D7196">
        <f>LOG10(3.49822)</f>
        <v>0.54384711840211786</v>
      </c>
    </row>
    <row r="7197" spans="1:4">
      <c r="A7197">
        <v>1.1442369999999999</v>
      </c>
      <c r="B7197">
        <v>3.514481</v>
      </c>
      <c r="C7197">
        <f>LOG10(1.144237)</f>
        <v>5.8515986984994495E-2</v>
      </c>
      <c r="D7197">
        <f>LOG10(3.514481)</f>
        <v>0.54586119977457859</v>
      </c>
    </row>
    <row r="7198" spans="1:4">
      <c r="A7198">
        <v>1.1601159999999999</v>
      </c>
      <c r="B7198">
        <v>3.5631719999999998</v>
      </c>
      <c r="C7198">
        <f>LOG10(1.160116)</f>
        <v>6.450141650378112E-2</v>
      </c>
      <c r="D7198">
        <f>LOG10(3.563172)</f>
        <v>0.55183678694488214</v>
      </c>
    </row>
    <row r="7199" spans="1:4">
      <c r="A7199">
        <v>1.1245080000000001</v>
      </c>
      <c r="B7199">
        <v>3.4128609999999999</v>
      </c>
      <c r="C7199">
        <f>LOG10(1.124508)</f>
        <v>5.0962549450171715E-2</v>
      </c>
      <c r="D7199">
        <f>LOG10(3.412861)</f>
        <v>0.53311860056627758</v>
      </c>
    </row>
    <row r="7200" spans="1:4">
      <c r="A7200">
        <v>1.179665</v>
      </c>
      <c r="B7200">
        <v>3.4756589999999998</v>
      </c>
      <c r="C7200">
        <f>LOG10(1.179665)</f>
        <v>7.1758694333805106E-2</v>
      </c>
      <c r="D7200">
        <f>LOG10(3.475659)</f>
        <v>0.54103716084828335</v>
      </c>
    </row>
    <row r="7201" spans="1:4">
      <c r="A7201">
        <v>1.3020050000000001</v>
      </c>
      <c r="B7201">
        <v>3.4691019999999999</v>
      </c>
      <c r="C7201">
        <f>LOG10(1.302005)</f>
        <v>0.11461265202652035</v>
      </c>
      <c r="D7201">
        <f>LOG10(3.469102)</f>
        <v>0.54021706933929614</v>
      </c>
    </row>
    <row r="7202" spans="1:4">
      <c r="A7202">
        <v>1.1826490000000001</v>
      </c>
      <c r="B7202">
        <v>3.3642699999999999</v>
      </c>
      <c r="C7202">
        <f>LOG10(1.182649)</f>
        <v>7.2855868903537915E-2</v>
      </c>
      <c r="D7202">
        <f>LOG10(3.36427)</f>
        <v>0.52689084289420041</v>
      </c>
    </row>
    <row r="7203" spans="1:4">
      <c r="A7203">
        <v>1.1517379999999999</v>
      </c>
      <c r="B7203">
        <v>3.4355180000000001</v>
      </c>
      <c r="C7203">
        <f>LOG10(1.151738)</f>
        <v>6.1353696018329289E-2</v>
      </c>
      <c r="D7203">
        <f>LOG10(3.435518)</f>
        <v>0.53599222831869564</v>
      </c>
    </row>
    <row r="7204" spans="1:4">
      <c r="A7204">
        <v>1.17496</v>
      </c>
      <c r="B7204">
        <v>3.3848530000000001</v>
      </c>
      <c r="C7204">
        <f>LOG10(1.17496)</f>
        <v>7.0023081863097456E-2</v>
      </c>
      <c r="D7204">
        <f>LOG10(3.384853)</f>
        <v>0.52953981255584737</v>
      </c>
    </row>
    <row r="7205" spans="1:4">
      <c r="A7205">
        <v>1.1864680000000001</v>
      </c>
      <c r="B7205">
        <v>3.403988</v>
      </c>
      <c r="C7205">
        <f>LOG10(1.186468)</f>
        <v>7.4256029438455523E-2</v>
      </c>
      <c r="D7205">
        <f>LOG10(3.403988)</f>
        <v>0.53198802040697779</v>
      </c>
    </row>
    <row r="7206" spans="1:4">
      <c r="A7206">
        <v>1.132792</v>
      </c>
      <c r="B7206">
        <v>3.4207260000000002</v>
      </c>
      <c r="C7206">
        <f>LOG10(1.132792)</f>
        <v>5.4150173283437901E-2</v>
      </c>
      <c r="D7206">
        <f>LOG10(3.420726)</f>
        <v>0.53411828860957911</v>
      </c>
    </row>
    <row r="7207" spans="1:4">
      <c r="A7207">
        <v>1.108063</v>
      </c>
      <c r="B7207">
        <v>3.4708220000000001</v>
      </c>
      <c r="C7207">
        <f>LOG10(1.108063)</f>
        <v>4.4564453329721199E-2</v>
      </c>
      <c r="D7207">
        <f>LOG10(3.470822)</f>
        <v>0.54043234158843556</v>
      </c>
    </row>
    <row r="7208" spans="1:4">
      <c r="A7208">
        <v>1.1091839999999999</v>
      </c>
      <c r="B7208">
        <v>3.3227329999999999</v>
      </c>
      <c r="C7208">
        <f>LOG10(1.109184)</f>
        <v>4.5003596244962266E-2</v>
      </c>
      <c r="D7208">
        <f>LOG10(3.322733)</f>
        <v>0.52149544471373299</v>
      </c>
    </row>
    <row r="7209" spans="1:4">
      <c r="A7209">
        <v>1.094403</v>
      </c>
      <c r="B7209">
        <v>3.387832</v>
      </c>
      <c r="C7209">
        <f>LOG10(1.094403)</f>
        <v>3.9177274874633815E-2</v>
      </c>
      <c r="D7209">
        <f>LOG10(3.387832)</f>
        <v>0.52992186586115408</v>
      </c>
    </row>
    <row r="7210" spans="1:4">
      <c r="A7210">
        <v>1.104651</v>
      </c>
      <c r="B7210">
        <v>3.484699</v>
      </c>
      <c r="C7210">
        <f>LOG10(1.104651)</f>
        <v>4.3225090043983276E-2</v>
      </c>
      <c r="D7210">
        <f>LOG10(3.484699)</f>
        <v>0.54216527073111709</v>
      </c>
    </row>
    <row r="7211" spans="1:4">
      <c r="A7211">
        <v>1.133375</v>
      </c>
      <c r="B7211">
        <v>3.7500840000000002</v>
      </c>
      <c r="C7211">
        <f>LOG10(1.133375)</f>
        <v>5.4373628737987713E-2</v>
      </c>
      <c r="D7211">
        <f>LOG10(3.750084)</f>
        <v>0.57404099581515933</v>
      </c>
    </row>
    <row r="7212" spans="1:4">
      <c r="A7212">
        <v>1.1557470000000001</v>
      </c>
      <c r="B7212">
        <v>3.4934120000000002</v>
      </c>
      <c r="C7212">
        <f>LOG10(1.155747)</f>
        <v>6.2862774803057589E-2</v>
      </c>
      <c r="D7212">
        <f>LOG10(3.493412)</f>
        <v>0.54324980773183518</v>
      </c>
    </row>
    <row r="7213" spans="1:4">
      <c r="A7213">
        <v>1.161009</v>
      </c>
      <c r="B7213">
        <v>3.5284650000000002</v>
      </c>
      <c r="C7213">
        <f>LOG10(1.161009)</f>
        <v>6.4835586349415678E-2</v>
      </c>
      <c r="D7213">
        <f>LOG10(3.528465)</f>
        <v>0.54758581388230954</v>
      </c>
    </row>
    <row r="7214" spans="1:4">
      <c r="A7214">
        <v>1.1540779999999999</v>
      </c>
      <c r="B7214">
        <v>3.5949309999999999</v>
      </c>
      <c r="C7214">
        <f>LOG10(1.154078)</f>
        <v>6.2235162220768671E-2</v>
      </c>
      <c r="D7214">
        <f>LOG10(3.594931)</f>
        <v>0.55569055908417775</v>
      </c>
    </row>
    <row r="7215" spans="1:4">
      <c r="A7215">
        <v>1.2198610000000001</v>
      </c>
      <c r="B7215">
        <v>3.506802</v>
      </c>
      <c r="C7215">
        <f>LOG10(1.219861)</f>
        <v>8.6310346763123894E-2</v>
      </c>
      <c r="D7215">
        <f>LOG10(3.506802)</f>
        <v>0.54491124556928394</v>
      </c>
    </row>
    <row r="7216" spans="1:4">
      <c r="A7216">
        <v>1.185125</v>
      </c>
      <c r="B7216">
        <v>3.386342</v>
      </c>
      <c r="C7216">
        <f>LOG10(1.185125)</f>
        <v>7.3764159584275291E-2</v>
      </c>
      <c r="D7216">
        <f>LOG10(3.386342)</f>
        <v>0.52973081709610281</v>
      </c>
    </row>
    <row r="7217" spans="1:4">
      <c r="A7217">
        <v>1.2311240000000001</v>
      </c>
      <c r="B7217">
        <v>3.5708359999999999</v>
      </c>
      <c r="C7217">
        <f>LOG10(1.231124)</f>
        <v>9.0301797694619518E-2</v>
      </c>
      <c r="D7217">
        <f>LOG10(3.570836)</f>
        <v>0.55276990453873875</v>
      </c>
    </row>
    <row r="7218" spans="1:4">
      <c r="A7218">
        <v>1.1900280000000001</v>
      </c>
      <c r="B7218">
        <v>3.5711560000000002</v>
      </c>
      <c r="C7218">
        <f>LOG10(1.190028)</f>
        <v>7.5557179966004598E-2</v>
      </c>
      <c r="D7218">
        <f>LOG10(3.571156)</f>
        <v>0.55280882203803083</v>
      </c>
    </row>
    <row r="7219" spans="1:4">
      <c r="A7219">
        <v>1.136506</v>
      </c>
      <c r="B7219">
        <v>3.4830480000000001</v>
      </c>
      <c r="C7219">
        <f>LOG10(1.136506)</f>
        <v>5.5571732854665871E-2</v>
      </c>
      <c r="D7219">
        <f>LOG10(3.483048)</f>
        <v>0.54195945952613467</v>
      </c>
    </row>
    <row r="7220" spans="1:4">
      <c r="A7220">
        <v>1.139848</v>
      </c>
      <c r="B7220">
        <v>3.4210980000000002</v>
      </c>
      <c r="C7220">
        <f>LOG10(1.139848)</f>
        <v>5.6846941544813574E-2</v>
      </c>
      <c r="D7220">
        <f>LOG10(3.421098)</f>
        <v>0.53416551506481302</v>
      </c>
    </row>
    <row r="7221" spans="1:4">
      <c r="A7221">
        <v>1.161527</v>
      </c>
      <c r="B7221">
        <v>3.5426250000000001</v>
      </c>
      <c r="C7221">
        <f>LOG10(1.161527)</f>
        <v>6.5029309542818117E-2</v>
      </c>
      <c r="D7221">
        <f>LOG10(3.542625)</f>
        <v>0.54932518308392519</v>
      </c>
    </row>
    <row r="7222" spans="1:4">
      <c r="A7222">
        <v>1.224556</v>
      </c>
      <c r="B7222">
        <v>3.5448680000000001</v>
      </c>
      <c r="C7222">
        <f>LOG10(1.224556)</f>
        <v>8.7978650575375295E-2</v>
      </c>
      <c r="D7222">
        <f>LOG10(3.544868)</f>
        <v>0.54960006802714279</v>
      </c>
    </row>
    <row r="7223" spans="1:4">
      <c r="A7223">
        <v>1.2487440000000001</v>
      </c>
      <c r="B7223">
        <v>3.4003869999999998</v>
      </c>
      <c r="C7223">
        <f>LOG10(1.248744)</f>
        <v>9.6473414528812293E-2</v>
      </c>
      <c r="D7223">
        <f>LOG10(3.400387)</f>
        <v>0.5315283471598875</v>
      </c>
    </row>
    <row r="7224" spans="1:4">
      <c r="A7224">
        <v>1.3360510000000001</v>
      </c>
      <c r="B7224">
        <v>3.161295</v>
      </c>
      <c r="C7224">
        <f>LOG10(1.336051)</f>
        <v>0.12582303642982132</v>
      </c>
      <c r="D7224">
        <f>LOG10(3.161295)</f>
        <v>0.49986502443631697</v>
      </c>
    </row>
    <row r="7225" spans="1:4">
      <c r="A7225">
        <v>1.4259489999999999</v>
      </c>
      <c r="B7225">
        <v>3.1544620000000001</v>
      </c>
      <c r="C7225">
        <f>LOG10(1.425949)</f>
        <v>0.1541039929669972</v>
      </c>
      <c r="D7225">
        <f>LOG10(3.154462)</f>
        <v>0.49892530007621883</v>
      </c>
    </row>
    <row r="7226" spans="1:4">
      <c r="A7226">
        <v>1.284948</v>
      </c>
      <c r="B7226">
        <v>3.2660049999999998</v>
      </c>
      <c r="C7226">
        <f>LOG10(1.284948)</f>
        <v>0.10888555274901768</v>
      </c>
      <c r="D7226">
        <f>LOG10(3.266005)</f>
        <v>0.51401684527228053</v>
      </c>
    </row>
    <row r="7227" spans="1:4">
      <c r="A7227">
        <v>1.3015840000000001</v>
      </c>
      <c r="B7227">
        <v>3.076676</v>
      </c>
      <c r="C7227">
        <f>LOG10(1.301584)</f>
        <v>0.11447220130371055</v>
      </c>
      <c r="D7227">
        <f>LOG10(3.076676)</f>
        <v>0.48808176377396889</v>
      </c>
    </row>
    <row r="7228" spans="1:4">
      <c r="A7228">
        <v>1.1977249999999999</v>
      </c>
      <c r="B7228">
        <v>3.1287729999999998</v>
      </c>
      <c r="C7228">
        <f>LOG10(1.197725)</f>
        <v>7.8357114637376324E-2</v>
      </c>
      <c r="D7228">
        <f>LOG10(3.128773)</f>
        <v>0.49537405518084032</v>
      </c>
    </row>
    <row r="7229" spans="1:4">
      <c r="A7229">
        <v>1.317385</v>
      </c>
      <c r="B7229">
        <v>3.2458870000000002</v>
      </c>
      <c r="C7229">
        <f>LOG10(1.317385)</f>
        <v>0.11971271417281268</v>
      </c>
      <c r="D7229">
        <f>LOG10(3.245887)</f>
        <v>0.5113333965343656</v>
      </c>
    </row>
    <row r="7230" spans="1:4">
      <c r="A7230">
        <v>1.3864479999999999</v>
      </c>
      <c r="B7230">
        <v>3.3136709999999998</v>
      </c>
      <c r="C7230">
        <f>LOG10(1.386448)</f>
        <v>0.1419035856076723</v>
      </c>
      <c r="D7230">
        <f>LOG10(3.313671)</f>
        <v>0.52030938701107232</v>
      </c>
    </row>
    <row r="7231" spans="1:4">
      <c r="A7231">
        <v>1.3310820000000001</v>
      </c>
      <c r="B7231">
        <v>3.2466849999999998</v>
      </c>
      <c r="C7231">
        <f>LOG10(1.331082)</f>
        <v>0.12420481058404244</v>
      </c>
      <c r="D7231">
        <f>LOG10(3.246685)</f>
        <v>0.51144015453360037</v>
      </c>
    </row>
    <row r="7232" spans="1:4">
      <c r="A7232">
        <v>1.3866700000000001</v>
      </c>
      <c r="B7232">
        <v>3.2086420000000002</v>
      </c>
      <c r="C7232">
        <f>LOG10(1.38667)</f>
        <v>0.1419731198829455</v>
      </c>
      <c r="D7232">
        <f>LOG10(3.208642)</f>
        <v>0.50632126396437505</v>
      </c>
    </row>
    <row r="7233" spans="1:4">
      <c r="A7233">
        <v>1.2835460000000001</v>
      </c>
      <c r="B7233">
        <v>3.474936</v>
      </c>
      <c r="C7233">
        <f>LOG10(1.283546)</f>
        <v>0.10841143762622608</v>
      </c>
      <c r="D7233">
        <f>LOG10(3.474936)</f>
        <v>0.5409468103353996</v>
      </c>
    </row>
    <row r="7234" spans="1:4">
      <c r="A7234">
        <v>1.22322</v>
      </c>
      <c r="B7234">
        <v>3.0924999999999998</v>
      </c>
      <c r="C7234">
        <f>LOG10(1.22322)</f>
        <v>8.7504573302423672E-2</v>
      </c>
      <c r="D7234">
        <f>LOG10(3.0925)</f>
        <v>0.49030970830115822</v>
      </c>
    </row>
    <row r="7235" spans="1:4">
      <c r="A7235">
        <v>1.1735930000000001</v>
      </c>
      <c r="B7235">
        <v>3.1844899999999998</v>
      </c>
      <c r="C7235">
        <f>LOG10(1.173593)</f>
        <v>6.9517510454824419E-2</v>
      </c>
      <c r="D7235">
        <f>LOG10(3.18449)</f>
        <v>0.50303988944349254</v>
      </c>
    </row>
    <row r="7236" spans="1:4">
      <c r="A7236">
        <v>1.225061</v>
      </c>
      <c r="B7236">
        <v>3.2934890000000001</v>
      </c>
      <c r="C7236">
        <f>LOG10(1.225061)</f>
        <v>8.8157714254691807E-2</v>
      </c>
      <c r="D7236">
        <f>LOG10(3.293489)</f>
        <v>0.51765621726978128</v>
      </c>
    </row>
    <row r="7237" spans="1:4">
      <c r="A7237">
        <v>1.450704</v>
      </c>
      <c r="B7237">
        <v>3.0736620000000001</v>
      </c>
      <c r="C7237">
        <f>LOG10(1.450704)</f>
        <v>0.16157880852287118</v>
      </c>
      <c r="D7237">
        <f>LOG10(3.073662)</f>
        <v>0.48765610792440733</v>
      </c>
    </row>
    <row r="7238" spans="1:4">
      <c r="A7238">
        <v>1.4554130000000001</v>
      </c>
      <c r="B7238">
        <v>2.9466869999999998</v>
      </c>
      <c r="C7238">
        <f>LOG10(1.455413)</f>
        <v>0.16298624979599352</v>
      </c>
      <c r="D7238">
        <f>LOG10(2.946687)</f>
        <v>0.46933400711150941</v>
      </c>
    </row>
    <row r="7239" spans="1:4">
      <c r="A7239">
        <v>1.3901749999999999</v>
      </c>
      <c r="B7239">
        <v>3.136215</v>
      </c>
      <c r="C7239">
        <f>LOG10(1.390175)</f>
        <v>0.14306947417529314</v>
      </c>
      <c r="D7239">
        <f>LOG10(3.136215)</f>
        <v>0.49640582764536645</v>
      </c>
    </row>
    <row r="7240" spans="1:4">
      <c r="A7240">
        <v>1.5266500000000001</v>
      </c>
      <c r="B7240">
        <v>2.9968059999999999</v>
      </c>
      <c r="C7240">
        <f>LOG10(1.52665)</f>
        <v>0.18373948205219232</v>
      </c>
      <c r="D7240">
        <f>LOG10(2.996806)</f>
        <v>0.47665862954673971</v>
      </c>
    </row>
    <row r="7241" spans="1:4">
      <c r="A7241">
        <v>1.546284</v>
      </c>
      <c r="B7241">
        <v>2.994561</v>
      </c>
      <c r="C7241">
        <f>LOG10(1.546284)</f>
        <v>0.18928926209557287</v>
      </c>
      <c r="D7241">
        <f>LOG10(2.994561)</f>
        <v>0.47633316420385424</v>
      </c>
    </row>
    <row r="7242" spans="1:4">
      <c r="A7242">
        <v>1.5760609999999999</v>
      </c>
      <c r="B7242">
        <v>3.2611319999999999</v>
      </c>
      <c r="C7242">
        <f>LOG10(1.576061)</f>
        <v>0.19757302244967601</v>
      </c>
      <c r="D7242">
        <f>LOG10(3.261132)</f>
        <v>0.51336837798761692</v>
      </c>
    </row>
    <row r="7243" spans="1:4">
      <c r="A7243">
        <v>1.3918980000000001</v>
      </c>
      <c r="B7243">
        <v>3.0918640000000002</v>
      </c>
      <c r="C7243">
        <f>LOG10(1.391898)</f>
        <v>0.14360741080599315</v>
      </c>
      <c r="D7243">
        <f>LOG10(3.091864)</f>
        <v>0.4902203826109291</v>
      </c>
    </row>
    <row r="7244" spans="1:4">
      <c r="A7244">
        <v>1.259547</v>
      </c>
      <c r="B7244">
        <v>3.090884</v>
      </c>
      <c r="C7244">
        <f>LOG10(1.259547)</f>
        <v>0.10021437783636349</v>
      </c>
      <c r="D7244">
        <f>LOG10(3.090884)</f>
        <v>0.49008270642039714</v>
      </c>
    </row>
    <row r="7245" spans="1:4">
      <c r="A7245">
        <v>1.494229</v>
      </c>
      <c r="B7245">
        <v>3.0578750000000001</v>
      </c>
      <c r="C7245">
        <f>LOG10(1.494229)</f>
        <v>0.1744171609432581</v>
      </c>
      <c r="D7245">
        <f>LOG10(3.057875)</f>
        <v>0.48541972832293556</v>
      </c>
    </row>
    <row r="7246" spans="1:4">
      <c r="A7246">
        <v>1.495244</v>
      </c>
      <c r="B7246">
        <v>3.084857</v>
      </c>
      <c r="C7246">
        <f>LOG10(1.495244)</f>
        <v>0.17471206838418177</v>
      </c>
      <c r="D7246">
        <f>LOG10(3.084857)</f>
        <v>0.48923503691048492</v>
      </c>
    </row>
    <row r="7247" spans="1:4">
      <c r="A7247">
        <v>1.6269450000000001</v>
      </c>
      <c r="B7247">
        <v>3.0435910000000002</v>
      </c>
      <c r="C7247">
        <f>LOG10(1.626945)</f>
        <v>0.21137287155994128</v>
      </c>
      <c r="D7247">
        <f>LOG10(3.043591)</f>
        <v>0.48338629120715876</v>
      </c>
    </row>
    <row r="7248" spans="1:4">
      <c r="A7248">
        <v>1.571674</v>
      </c>
      <c r="B7248">
        <v>3.116012</v>
      </c>
      <c r="C7248">
        <f>LOG10(1.571674)</f>
        <v>0.19636246874950905</v>
      </c>
      <c r="D7248">
        <f>LOG10(3.116012)</f>
        <v>0.49359912150493884</v>
      </c>
    </row>
    <row r="7249" spans="1:4">
      <c r="A7249">
        <v>1.476232</v>
      </c>
      <c r="B7249">
        <v>3.1616279999999999</v>
      </c>
      <c r="C7249">
        <f>LOG10(1.476232)</f>
        <v>0.16915461521203148</v>
      </c>
      <c r="D7249">
        <f>LOG10(3.161628)</f>
        <v>0.49991076912199711</v>
      </c>
    </row>
    <row r="7250" spans="1:4">
      <c r="A7250">
        <v>1.4422509999999999</v>
      </c>
      <c r="B7250">
        <v>3.0971489999999999</v>
      </c>
      <c r="C7250">
        <f>LOG10(1.442251)</f>
        <v>0.15904084875296121</v>
      </c>
      <c r="D7250">
        <f>LOG10(3.097149)</f>
        <v>0.49096209922867007</v>
      </c>
    </row>
    <row r="7251" spans="1:4">
      <c r="A7251">
        <v>1.2688440000000001</v>
      </c>
      <c r="B7251">
        <v>3.102433</v>
      </c>
      <c r="C7251">
        <f>LOG10(1.268844)</f>
        <v>0.10340823036592854</v>
      </c>
      <c r="D7251">
        <f>LOG10(3.102433)</f>
        <v>0.49170241126843645</v>
      </c>
    </row>
    <row r="7252" spans="1:4">
      <c r="A7252">
        <v>1.2671889999999999</v>
      </c>
      <c r="B7252">
        <v>3.3346969999999998</v>
      </c>
      <c r="C7252">
        <f>LOG10(1.267189)</f>
        <v>0.10284139431167803</v>
      </c>
      <c r="D7252">
        <f>LOG10(3.334697)</f>
        <v>0.52305637882042044</v>
      </c>
    </row>
    <row r="7253" spans="1:4">
      <c r="A7253">
        <v>1.261965</v>
      </c>
      <c r="B7253">
        <v>3.2312850000000002</v>
      </c>
      <c r="C7253">
        <f>LOG10(1.261965)</f>
        <v>0.10104731012392271</v>
      </c>
      <c r="D7253">
        <f>LOG10(3.231285)</f>
        <v>0.50937526456940485</v>
      </c>
    </row>
    <row r="7254" spans="1:4">
      <c r="A7254">
        <v>1.369729</v>
      </c>
      <c r="B7254">
        <v>3.0955080000000001</v>
      </c>
      <c r="C7254">
        <f>LOG10(1.369729)</f>
        <v>0.13663465077199091</v>
      </c>
      <c r="D7254">
        <f>LOG10(3.095508)</f>
        <v>0.4907319307367014</v>
      </c>
    </row>
    <row r="7255" spans="1:4">
      <c r="A7255">
        <v>1.4875890000000001</v>
      </c>
      <c r="B7255">
        <v>3.2095199999999999</v>
      </c>
      <c r="C7255">
        <f>LOG10(1.487589)</f>
        <v>0.17248295830150639</v>
      </c>
      <c r="D7255">
        <f>LOG10(3.20952)</f>
        <v>0.50644008631803006</v>
      </c>
    </row>
    <row r="7256" spans="1:4">
      <c r="A7256">
        <v>1.5754090000000001</v>
      </c>
      <c r="B7256">
        <v>3.2448549999999998</v>
      </c>
      <c r="C7256">
        <f>LOG10(1.575409)</f>
        <v>0.19739332217885583</v>
      </c>
      <c r="D7256">
        <f>LOG10(3.244855)</f>
        <v>0.51119529463196334</v>
      </c>
    </row>
    <row r="7257" spans="1:4">
      <c r="A7257">
        <v>1.4928570000000001</v>
      </c>
      <c r="B7257">
        <v>3.2090550000000002</v>
      </c>
      <c r="C7257">
        <f>LOG10(1.492857)</f>
        <v>0.17401820887353345</v>
      </c>
      <c r="D7257">
        <f>LOG10(3.209055)</f>
        <v>0.50637716053327619</v>
      </c>
    </row>
    <row r="7258" spans="1:4">
      <c r="A7258">
        <v>1.4735640000000001</v>
      </c>
      <c r="B7258">
        <v>3.1201270000000001</v>
      </c>
      <c r="C7258">
        <f>LOG10(1.473564)</f>
        <v>0.16836900292312659</v>
      </c>
      <c r="D7258">
        <f>LOG10(3.120127)</f>
        <v>0.49417227167122435</v>
      </c>
    </row>
    <row r="7259" spans="1:4">
      <c r="A7259">
        <v>1.492612</v>
      </c>
      <c r="B7259">
        <v>3.2121759999999999</v>
      </c>
      <c r="C7259">
        <f>LOG10(1.492612)</f>
        <v>0.17394692885132912</v>
      </c>
      <c r="D7259">
        <f>LOG10(3.212176)</f>
        <v>0.50679933291260815</v>
      </c>
    </row>
    <row r="7260" spans="1:4">
      <c r="A7260">
        <v>1.477201</v>
      </c>
      <c r="B7260">
        <v>3.1236670000000002</v>
      </c>
      <c r="C7260">
        <f>LOG10(1.477201)</f>
        <v>0.16943959297727237</v>
      </c>
      <c r="D7260">
        <f>LOG10(3.123667)</f>
        <v>0.49466472950396795</v>
      </c>
    </row>
    <row r="7261" spans="1:4">
      <c r="A7261">
        <v>1.5628979999999999</v>
      </c>
      <c r="B7261">
        <v>3.144199</v>
      </c>
      <c r="C7261">
        <f>LOG10(1.562898)</f>
        <v>0.1939306354199275</v>
      </c>
      <c r="D7261">
        <f>LOG10(3.144199)</f>
        <v>0.49751002523851673</v>
      </c>
    </row>
    <row r="7262" spans="1:4">
      <c r="A7262">
        <v>1.6893320000000001</v>
      </c>
      <c r="B7262">
        <v>3.2340119999999999</v>
      </c>
      <c r="C7262">
        <f>LOG10(1.689332)</f>
        <v>0.22771500871774503</v>
      </c>
      <c r="D7262">
        <f>LOG10(3.234012)</f>
        <v>0.50974162704970016</v>
      </c>
    </row>
    <row r="7263" spans="1:4">
      <c r="A7263">
        <v>1.636131</v>
      </c>
      <c r="B7263">
        <v>3.3294229999999998</v>
      </c>
      <c r="C7263">
        <f>LOG10(1.636131)</f>
        <v>0.2138180733569798</v>
      </c>
      <c r="D7263">
        <f>LOG10(3.329423)</f>
        <v>0.52236897535957494</v>
      </c>
    </row>
    <row r="7264" spans="1:4">
      <c r="A7264">
        <v>1.698947</v>
      </c>
      <c r="B7264">
        <v>3.2093039999999999</v>
      </c>
      <c r="C7264">
        <f>LOG10(1.698947)</f>
        <v>0.230179830919332</v>
      </c>
      <c r="D7264">
        <f>LOG10(3.209304)</f>
        <v>0.50641085741001624</v>
      </c>
    </row>
    <row r="7265" spans="1:4">
      <c r="A7265">
        <v>1.682857</v>
      </c>
      <c r="B7265">
        <v>3.2342059999999999</v>
      </c>
      <c r="C7265">
        <f>LOG10(1.682857)</f>
        <v>0.22604721356972074</v>
      </c>
      <c r="D7265">
        <f>LOG10(3.234206)</f>
        <v>0.50976767846896731</v>
      </c>
    </row>
    <row r="7266" spans="1:4">
      <c r="A7266">
        <v>1.575218</v>
      </c>
      <c r="B7266">
        <v>3.1551520000000002</v>
      </c>
      <c r="C7266">
        <f>LOG10(1.575218)</f>
        <v>0.19734066583702597</v>
      </c>
      <c r="D7266">
        <f>LOG10(3.155152)</f>
        <v>0.49902028629683637</v>
      </c>
    </row>
    <row r="7267" spans="1:4">
      <c r="A7267">
        <v>1.5622450000000001</v>
      </c>
      <c r="B7267">
        <v>3.4924940000000002</v>
      </c>
      <c r="C7267">
        <f>LOG10(1.562245)</f>
        <v>0.19374914337248519</v>
      </c>
      <c r="D7267">
        <f>LOG10(3.492494)</f>
        <v>0.54313566868195906</v>
      </c>
    </row>
    <row r="7268" spans="1:4">
      <c r="A7268">
        <v>1.621855</v>
      </c>
      <c r="B7268">
        <v>3.0709379999999999</v>
      </c>
      <c r="C7268">
        <f>LOG10(1.621855)</f>
        <v>0.21001202403371219</v>
      </c>
      <c r="D7268">
        <f>LOG10(3.070938)</f>
        <v>0.48727104844251956</v>
      </c>
    </row>
    <row r="7269" spans="1:4">
      <c r="A7269">
        <v>1.3503270000000001</v>
      </c>
      <c r="B7269">
        <v>3.390164</v>
      </c>
      <c r="C7269">
        <f>LOG10(1.350327)</f>
        <v>0.13043895153119142</v>
      </c>
      <c r="D7269">
        <f>LOG10(3.390164)</f>
        <v>0.53022070781141784</v>
      </c>
    </row>
    <row r="7270" spans="1:4">
      <c r="A7270">
        <v>1.392423</v>
      </c>
      <c r="B7270">
        <v>3.3624839999999998</v>
      </c>
      <c r="C7270">
        <f>LOG10(1.392423)</f>
        <v>0.14377118833430347</v>
      </c>
      <c r="D7270">
        <f>LOG10(3.362484)</f>
        <v>0.52666022647418398</v>
      </c>
    </row>
    <row r="7271" spans="1:4">
      <c r="A7271">
        <v>1.3297909999999999</v>
      </c>
      <c r="B7271">
        <v>3.450482</v>
      </c>
      <c r="C7271">
        <f>LOG10(1.329791)</f>
        <v>0.12378338932858893</v>
      </c>
      <c r="D7271">
        <f>LOG10(3.450482)</f>
        <v>0.53787976618019617</v>
      </c>
    </row>
    <row r="7272" spans="1:4">
      <c r="A7272">
        <v>1.3633980000000001</v>
      </c>
      <c r="B7272">
        <v>3.2497180000000001</v>
      </c>
      <c r="C7272">
        <f>LOG10(1.363398)</f>
        <v>0.13462265258630363</v>
      </c>
      <c r="D7272">
        <f>LOG10(3.249718)</f>
        <v>0.51184567594577801</v>
      </c>
    </row>
    <row r="7273" spans="1:4">
      <c r="A7273">
        <v>1.321288</v>
      </c>
      <c r="B7273">
        <v>3.4018290000000002</v>
      </c>
      <c r="C7273">
        <f>LOG10(1.321288)</f>
        <v>0.12099749072456173</v>
      </c>
      <c r="D7273">
        <f>LOG10(3.401829)</f>
        <v>0.53171247911108865</v>
      </c>
    </row>
    <row r="7274" spans="1:4">
      <c r="A7274">
        <v>1.29118</v>
      </c>
      <c r="B7274">
        <v>2.8820229999999998</v>
      </c>
      <c r="C7274">
        <f>LOG10(1.29118)</f>
        <v>0.1109867903357797</v>
      </c>
      <c r="D7274">
        <f>LOG10(2.882023)</f>
        <v>0.45969744238124111</v>
      </c>
    </row>
    <row r="7275" spans="1:4">
      <c r="A7275">
        <v>1.020184</v>
      </c>
      <c r="B7275">
        <v>3.4045999999999998</v>
      </c>
      <c r="C7275">
        <f>LOG10(1.020184)</f>
        <v>8.67850801481127E-3</v>
      </c>
      <c r="D7275">
        <f>LOG10(3.4046)</f>
        <v>0.53206609481055178</v>
      </c>
    </row>
    <row r="7276" spans="1:4">
      <c r="A7276">
        <v>1.016586</v>
      </c>
      <c r="B7276">
        <v>3.6165400000000001</v>
      </c>
      <c r="C7276">
        <f>LOG10(1.016586)</f>
        <v>7.1441244847125903E-3</v>
      </c>
      <c r="D7276">
        <f>LOG10(3.61654)</f>
        <v>0.55829327288487207</v>
      </c>
    </row>
    <row r="7277" spans="1:4">
      <c r="A7277">
        <v>1.015604</v>
      </c>
      <c r="B7277">
        <v>3.5502509999999998</v>
      </c>
      <c r="C7277">
        <f>LOG10(1.015604)</f>
        <v>6.7244026925339789E-3</v>
      </c>
      <c r="D7277">
        <f>LOG10(3.550251)</f>
        <v>0.55025905842452483</v>
      </c>
    </row>
    <row r="7278" spans="1:4">
      <c r="A7278">
        <v>1.0191049999999999</v>
      </c>
      <c r="B7278">
        <v>3.715706</v>
      </c>
      <c r="C7278">
        <f>LOG10(1.019105)</f>
        <v>8.2189323590776599E-3</v>
      </c>
      <c r="D7278">
        <f>LOG10(3.715706)</f>
        <v>0.57004134374224502</v>
      </c>
    </row>
    <row r="7279" spans="1:4">
      <c r="A7279">
        <v>1.011846</v>
      </c>
      <c r="B7279">
        <v>3.8552080000000002</v>
      </c>
      <c r="C7279">
        <f>LOG10(1.011846)</f>
        <v>5.1144191840888174E-3</v>
      </c>
      <c r="D7279">
        <f>LOG10(3.855208)</f>
        <v>0.58604781450508669</v>
      </c>
    </row>
    <row r="7280" spans="1:4">
      <c r="A7280">
        <v>1.0159149999999999</v>
      </c>
      <c r="B7280">
        <v>3.6171060000000002</v>
      </c>
      <c r="C7280">
        <f>LOG10(1.015915)</f>
        <v>6.8573727360600406E-3</v>
      </c>
      <c r="D7280">
        <f>LOG10(3.617106)</f>
        <v>0.55836123603298815</v>
      </c>
    </row>
    <row r="7281" spans="1:4">
      <c r="A7281">
        <v>1.0214669999999999</v>
      </c>
      <c r="B7281">
        <v>3.9132630000000002</v>
      </c>
      <c r="C7281">
        <f>LOG10(1.021467)</f>
        <v>9.2243406704693234E-3</v>
      </c>
      <c r="D7281">
        <f>LOG10(3.913263)</f>
        <v>0.59253903665878438</v>
      </c>
    </row>
    <row r="7282" spans="1:4">
      <c r="A7282">
        <v>1.0164759999999999</v>
      </c>
      <c r="B7282">
        <v>3.8431410000000001</v>
      </c>
      <c r="C7282">
        <f>LOG10(1.016476)</f>
        <v>7.0971289744369585E-3</v>
      </c>
      <c r="D7282">
        <f>LOG10(3.843141)</f>
        <v>0.58468631847387453</v>
      </c>
    </row>
    <row r="7283" spans="1:4">
      <c r="A7283">
        <v>1.010159</v>
      </c>
      <c r="B7283">
        <v>3.8328859999999998</v>
      </c>
      <c r="C7283">
        <f>LOG10(1.010159)</f>
        <v>4.3897375329862032E-3</v>
      </c>
      <c r="D7283">
        <f>LOG10(3.832886)</f>
        <v>0.58352590239883384</v>
      </c>
    </row>
    <row r="7284" spans="1:4">
      <c r="A7284">
        <v>1.0154609999999999</v>
      </c>
      <c r="B7284">
        <v>4.1237630000000003</v>
      </c>
      <c r="C7284">
        <f>LOG10(1.015461)</f>
        <v>6.6632484596415948E-3</v>
      </c>
      <c r="D7284">
        <f>LOG10(4.123763)</f>
        <v>0.61529369765176123</v>
      </c>
    </row>
    <row r="7285" spans="1:4">
      <c r="A7285">
        <v>1.0262439999999999</v>
      </c>
      <c r="B7285">
        <v>4.1124210000000003</v>
      </c>
      <c r="C7285">
        <f>LOG10(1.026244)</f>
        <v>1.1250631004955092E-2</v>
      </c>
      <c r="D7285">
        <f>LOG10(4.112421)</f>
        <v>0.61409756819970607</v>
      </c>
    </row>
    <row r="7286" spans="1:4">
      <c r="A7286">
        <v>1.0158389999999999</v>
      </c>
      <c r="B7286">
        <v>4.0284000000000004</v>
      </c>
      <c r="C7286">
        <f>LOG10(1.015839)</f>
        <v>6.8248822075413062E-3</v>
      </c>
      <c r="D7286">
        <f>LOG10(4.0284)</f>
        <v>0.60513258729563735</v>
      </c>
    </row>
    <row r="7287" spans="1:4">
      <c r="A7287">
        <v>1.015674</v>
      </c>
      <c r="B7287">
        <v>3.7351489999999998</v>
      </c>
      <c r="C7287">
        <f>LOG10(1.015674)</f>
        <v>6.754335191921328E-3</v>
      </c>
      <c r="D7287">
        <f>LOG10(3.735149)</f>
        <v>0.57230793107433731</v>
      </c>
    </row>
    <row r="7288" spans="1:4">
      <c r="A7288">
        <v>1.0123120000000001</v>
      </c>
      <c r="B7288">
        <v>3.8394750000000002</v>
      </c>
      <c r="C7288">
        <f>LOG10(1.012312)</f>
        <v>5.3143850287930448E-3</v>
      </c>
      <c r="D7288">
        <f>LOG10(3.839475)</f>
        <v>0.58427184410954325</v>
      </c>
    </row>
    <row r="7289" spans="1:4">
      <c r="A7289">
        <v>1.0156579999999999</v>
      </c>
      <c r="B7289">
        <v>3.9210590000000001</v>
      </c>
      <c r="C7289">
        <f>LOG10(1.015658)</f>
        <v>6.7474936596552066E-3</v>
      </c>
      <c r="D7289">
        <f>LOG10(3.921059)</f>
        <v>0.5934033771590832</v>
      </c>
    </row>
    <row r="7290" spans="1:4">
      <c r="A7290">
        <v>1.010616</v>
      </c>
      <c r="B7290">
        <v>4.1038100000000002</v>
      </c>
      <c r="C7290">
        <f>LOG10(1.010616)</f>
        <v>4.5861696757169184E-3</v>
      </c>
      <c r="D7290">
        <f>LOG10(4.10381)</f>
        <v>0.61318724541230962</v>
      </c>
    </row>
    <row r="7291" spans="1:4">
      <c r="A7291">
        <v>1.009296</v>
      </c>
      <c r="B7291">
        <v>4.0939719999999999</v>
      </c>
      <c r="C7291">
        <f>LOG10(1.009296)</f>
        <v>4.0185520787939773E-3</v>
      </c>
      <c r="D7291">
        <f>LOG10(4.093972)</f>
        <v>0.61214486805607227</v>
      </c>
    </row>
    <row r="7292" spans="1:4">
      <c r="A7292">
        <v>1.0190399999999999</v>
      </c>
      <c r="B7292">
        <v>3.4124059999999998</v>
      </c>
      <c r="C7292">
        <f>LOG10(1.01904)</f>
        <v>8.1912315415859967E-3</v>
      </c>
      <c r="D7292">
        <f>LOG10(3.412406)</f>
        <v>0.53306069690051372</v>
      </c>
    </row>
    <row r="7293" spans="1:4">
      <c r="A7293">
        <v>1.0317620000000001</v>
      </c>
      <c r="B7293">
        <v>4.9533569999999996</v>
      </c>
      <c r="C7293">
        <f>LOG10(1.031762)</f>
        <v>1.3579528679549186E-2</v>
      </c>
      <c r="D7293">
        <f>LOG10(4.953357)</f>
        <v>0.6948996297274076</v>
      </c>
    </row>
    <row r="7294" spans="1:4">
      <c r="A7294">
        <v>1.018583</v>
      </c>
      <c r="B7294">
        <v>3.54148</v>
      </c>
      <c r="C7294">
        <f>LOG10(1.018583)</f>
        <v>7.9964235898131644E-3</v>
      </c>
      <c r="D7294">
        <f>LOG10(3.54148)</f>
        <v>0.54918479352558025</v>
      </c>
    </row>
    <row r="7295" spans="1:4">
      <c r="A7295">
        <v>1.013922</v>
      </c>
      <c r="B7295">
        <v>3.4775429999999998</v>
      </c>
      <c r="C7295">
        <f>LOG10(1.013922)</f>
        <v>6.0045464445176418E-3</v>
      </c>
      <c r="D7295">
        <f>LOG10(3.477543)</f>
        <v>0.54127250877113353</v>
      </c>
    </row>
    <row r="7296" spans="1:4">
      <c r="A7296">
        <v>1.014988</v>
      </c>
      <c r="B7296">
        <v>3.5756830000000002</v>
      </c>
      <c r="C7296">
        <f>LOG10(1.014988)</f>
        <v>6.4609077028374593E-3</v>
      </c>
      <c r="D7296">
        <f>LOG10(3.575683)</f>
        <v>0.55335900971751317</v>
      </c>
    </row>
    <row r="7297" spans="1:4">
      <c r="A7297">
        <v>1.0176460000000001</v>
      </c>
      <c r="B7297">
        <v>3.479635</v>
      </c>
      <c r="C7297">
        <f>LOG10(1.017646)</f>
        <v>7.5967298831954343E-3</v>
      </c>
      <c r="D7297">
        <f>LOG10(3.479635)</f>
        <v>0.54153369055591027</v>
      </c>
    </row>
    <row r="7298" spans="1:4">
      <c r="A7298">
        <v>1.0168379999999999</v>
      </c>
      <c r="B7298">
        <v>3.4064770000000002</v>
      </c>
      <c r="C7298">
        <f>LOG10(1.016838)</f>
        <v>7.2517677602909926E-3</v>
      </c>
      <c r="D7298">
        <f>LOG10(3.406477)</f>
        <v>0.53230546099688869</v>
      </c>
    </row>
    <row r="7299" spans="1:4">
      <c r="A7299">
        <v>1.018079</v>
      </c>
      <c r="B7299">
        <v>3.3329870000000001</v>
      </c>
      <c r="C7299">
        <f>LOG10(1.018079)</f>
        <v>7.7814793100580521E-3</v>
      </c>
      <c r="D7299">
        <f>LOG10(3.332987)</f>
        <v>0.52283361973935538</v>
      </c>
    </row>
    <row r="7300" spans="1:4">
      <c r="A7300">
        <v>1.0279640000000001</v>
      </c>
      <c r="B7300">
        <v>3.5330050000000002</v>
      </c>
      <c r="C7300">
        <f>LOG10(1.027964)</f>
        <v>1.1977905636773974E-2</v>
      </c>
      <c r="D7300">
        <f>LOG10(3.533005)</f>
        <v>0.54814425206005724</v>
      </c>
    </row>
    <row r="7301" spans="1:4">
      <c r="A7301">
        <v>1.014052</v>
      </c>
      <c r="B7301">
        <v>3.662893</v>
      </c>
      <c r="C7301">
        <f>LOG10(1.014052)</f>
        <v>6.060225938164741E-3</v>
      </c>
      <c r="D7301">
        <f>LOG10(3.662893)</f>
        <v>0.56382423229045597</v>
      </c>
    </row>
    <row r="7302" spans="1:4">
      <c r="A7302">
        <v>1.0120659999999999</v>
      </c>
      <c r="B7302">
        <v>3.5462530000000001</v>
      </c>
      <c r="C7302">
        <f>LOG10(1.012066)</f>
        <v>5.2088351333939038E-3</v>
      </c>
      <c r="D7302">
        <f>LOG10(3.546253)</f>
        <v>0.54976971620127058</v>
      </c>
    </row>
    <row r="7303" spans="1:4">
      <c r="A7303">
        <v>1.0144610000000001</v>
      </c>
      <c r="B7303">
        <v>3.6162649999999998</v>
      </c>
      <c r="C7303">
        <f>LOG10(1.014461)</f>
        <v>6.2353556469765476E-3</v>
      </c>
      <c r="D7303">
        <f>LOG10(3.616265)</f>
        <v>0.55826024808119457</v>
      </c>
    </row>
    <row r="7304" spans="1:4">
      <c r="A7304">
        <v>1.0132859999999999</v>
      </c>
      <c r="B7304">
        <v>3.5610759999999999</v>
      </c>
      <c r="C7304">
        <f>LOG10(1.013286)</f>
        <v>5.7320422914630071E-3</v>
      </c>
      <c r="D7304">
        <f>LOG10(3.561076)</f>
        <v>0.55158124242696727</v>
      </c>
    </row>
    <row r="7305" spans="1:4">
      <c r="A7305">
        <v>1.018561</v>
      </c>
      <c r="B7305">
        <v>3.4576289999999998</v>
      </c>
      <c r="C7305">
        <f>LOG10(1.018561)</f>
        <v>7.9870433215530612E-3</v>
      </c>
      <c r="D7305">
        <f>LOG10(3.457629)</f>
        <v>0.53877839209098188</v>
      </c>
    </row>
    <row r="7306" spans="1:4">
      <c r="A7306">
        <v>1.017198</v>
      </c>
      <c r="B7306">
        <v>3.3389009999999999</v>
      </c>
      <c r="C7306">
        <f>LOG10(1.017198)</f>
        <v>7.40549760097988E-3</v>
      </c>
      <c r="D7306">
        <f>LOG10(3.338901)</f>
        <v>0.52360354220767547</v>
      </c>
    </row>
    <row r="7307" spans="1:4">
      <c r="A7307">
        <v>1.0153479999999999</v>
      </c>
      <c r="B7307">
        <v>3.313628</v>
      </c>
      <c r="C7307">
        <f>LOG10(1.015348)</f>
        <v>6.6149176944088938E-3</v>
      </c>
      <c r="D7307">
        <f>LOG10(3.313628)</f>
        <v>0.52030375133272977</v>
      </c>
    </row>
    <row r="7308" spans="1:4">
      <c r="A7308">
        <v>1.0182800000000001</v>
      </c>
      <c r="B7308">
        <v>3.5707429999999998</v>
      </c>
      <c r="C7308">
        <f>LOG10(1.01828)</f>
        <v>7.8672138894186634E-3</v>
      </c>
      <c r="D7308">
        <f>LOG10(3.570743)</f>
        <v>0.55275859348642964</v>
      </c>
    </row>
    <row r="7309" spans="1:4">
      <c r="A7309">
        <v>1.018178</v>
      </c>
      <c r="B7309">
        <v>3.443333</v>
      </c>
      <c r="C7309">
        <f>LOG10(1.018178)</f>
        <v>7.8237089045958049E-3</v>
      </c>
      <c r="D7309">
        <f>LOG10(3.443333)</f>
        <v>0.53697902475789594</v>
      </c>
    </row>
    <row r="7310" spans="1:4">
      <c r="A7310">
        <v>1.0145740000000001</v>
      </c>
      <c r="B7310">
        <v>3.2046999999999999</v>
      </c>
      <c r="C7310">
        <f>LOG10(1.014574)</f>
        <v>6.2837286681475145E-3</v>
      </c>
      <c r="D7310">
        <f>LOG10(3.2047)</f>
        <v>0.50578738036257731</v>
      </c>
    </row>
    <row r="7311" spans="1:4">
      <c r="A7311">
        <v>1.0167679999999999</v>
      </c>
      <c r="B7311">
        <v>3.3559670000000001</v>
      </c>
      <c r="C7311">
        <f>LOG10(1.016768)</f>
        <v>7.2218695265670162E-3</v>
      </c>
      <c r="D7311">
        <f>LOG10(3.355967)</f>
        <v>0.52581768165953335</v>
      </c>
    </row>
    <row r="7312" spans="1:4">
      <c r="A7312">
        <v>1.0158290000000001</v>
      </c>
      <c r="B7312">
        <v>3.3032919999999999</v>
      </c>
      <c r="C7312">
        <f>LOG10(1.015829)</f>
        <v>6.8206069570387641E-3</v>
      </c>
      <c r="D7312">
        <f>LOG10(3.303292)</f>
        <v>0.51894696557260822</v>
      </c>
    </row>
    <row r="7313" spans="1:4">
      <c r="A7313">
        <v>1.022135</v>
      </c>
      <c r="B7313">
        <v>3.5537570000000001</v>
      </c>
      <c r="C7313">
        <f>LOG10(1.022135)</f>
        <v>9.5082596764634354E-3</v>
      </c>
      <c r="D7313">
        <f>LOG10(3.553757)</f>
        <v>0.55068772814932632</v>
      </c>
    </row>
    <row r="7314" spans="1:4">
      <c r="A7314">
        <v>1.0164439999999999</v>
      </c>
      <c r="B7314">
        <v>3.4172989999999999</v>
      </c>
      <c r="C7314">
        <f>LOG10(1.016444)</f>
        <v>7.0834565983256843E-3</v>
      </c>
      <c r="D7314">
        <f>LOG10(3.417299)</f>
        <v>0.53368297949208099</v>
      </c>
    </row>
    <row r="7315" spans="1:4">
      <c r="A7315">
        <v>1.0199069999999999</v>
      </c>
      <c r="B7315">
        <v>3.354393</v>
      </c>
      <c r="C7315">
        <f>LOG10(1.019907)</f>
        <v>8.5605725185745746E-3</v>
      </c>
      <c r="D7315">
        <f>LOG10(3.354393)</f>
        <v>0.52561394310391107</v>
      </c>
    </row>
    <row r="7316" spans="1:4">
      <c r="A7316">
        <v>1.019916</v>
      </c>
      <c r="B7316">
        <v>3.2933569999999999</v>
      </c>
      <c r="C7316">
        <f>LOG10(1.019916)</f>
        <v>8.5644048612211858E-3</v>
      </c>
      <c r="D7316">
        <f>LOG10(3.293357)</f>
        <v>0.51763881079887886</v>
      </c>
    </row>
    <row r="7317" spans="1:4">
      <c r="A7317">
        <v>1.0142800000000001</v>
      </c>
      <c r="B7317">
        <v>3.479355</v>
      </c>
      <c r="C7317">
        <f>LOG10(1.01428)</f>
        <v>6.1578619684507525E-3</v>
      </c>
      <c r="D7317">
        <f>LOG10(3.479355)</f>
        <v>0.5414987422501939</v>
      </c>
    </row>
    <row r="7318" spans="1:4">
      <c r="A7318">
        <v>1.008778</v>
      </c>
      <c r="B7318">
        <v>3.414552</v>
      </c>
      <c r="C7318">
        <f>LOG10(1.008778)</f>
        <v>3.7956023291153477E-3</v>
      </c>
      <c r="D7318">
        <f>LOG10(3.414552)</f>
        <v>0.53333373094843417</v>
      </c>
    </row>
    <row r="7319" spans="1:4">
      <c r="A7319">
        <v>1.016564</v>
      </c>
      <c r="B7319">
        <v>3.2536299999999998</v>
      </c>
      <c r="C7319">
        <f>LOG10(1.016564)</f>
        <v>7.1347257894837776E-3</v>
      </c>
      <c r="D7319">
        <f>LOG10(3.25363)</f>
        <v>0.51236816381452688</v>
      </c>
    </row>
    <row r="7320" spans="1:4">
      <c r="A7320">
        <v>1.013131</v>
      </c>
      <c r="B7320">
        <v>3.3881329999999998</v>
      </c>
      <c r="C7320">
        <f>LOG10(1.013131)</f>
        <v>5.6656041942438826E-3</v>
      </c>
      <c r="D7320">
        <f>LOG10(3.388133)</f>
        <v>0.5299604500743661</v>
      </c>
    </row>
    <row r="7321" spans="1:4">
      <c r="A7321">
        <v>1.013504</v>
      </c>
      <c r="B7321">
        <v>3.237908</v>
      </c>
      <c r="C7321">
        <f>LOG10(1.013504)</f>
        <v>5.8254670640541821E-3</v>
      </c>
      <c r="D7321">
        <f>LOG10(3.237908)</f>
        <v>0.51026450480649643</v>
      </c>
    </row>
    <row r="7322" spans="1:4">
      <c r="A7322">
        <v>1.015741</v>
      </c>
      <c r="B7322">
        <v>3.163564</v>
      </c>
      <c r="C7322">
        <f>LOG10(1.015741)</f>
        <v>6.7829829377517824E-3</v>
      </c>
      <c r="D7322">
        <f>LOG10(3.163564)</f>
        <v>0.50017662481245551</v>
      </c>
    </row>
    <row r="7323" spans="1:4">
      <c r="A7323">
        <v>1.0138609999999999</v>
      </c>
      <c r="B7323">
        <v>3.2393879999999999</v>
      </c>
      <c r="C7323">
        <f>LOG10(1.013861)</f>
        <v>5.9784174520128939E-3</v>
      </c>
      <c r="D7323">
        <f>LOG10(3.239388)</f>
        <v>0.51046296905590005</v>
      </c>
    </row>
    <row r="7324" spans="1:4">
      <c r="A7324">
        <v>1.0153570000000001</v>
      </c>
      <c r="B7324">
        <v>3.2888639999999998</v>
      </c>
      <c r="C7324">
        <f>LOG10(1.015357)</f>
        <v>6.6187672445279103E-3</v>
      </c>
      <c r="D7324">
        <f>LOG10(3.288864)</f>
        <v>0.51704591505434194</v>
      </c>
    </row>
    <row r="7325" spans="1:4">
      <c r="A7325">
        <v>1.0198290000000001</v>
      </c>
      <c r="B7325">
        <v>3.4415520000000002</v>
      </c>
      <c r="C7325">
        <f>LOG10(1.019829)</f>
        <v>8.5273574656413737E-3</v>
      </c>
      <c r="D7325">
        <f>LOG10(3.441552)</f>
        <v>0.53675433589540289</v>
      </c>
    </row>
    <row r="7326" spans="1:4">
      <c r="A7326">
        <v>1.014602</v>
      </c>
      <c r="B7326">
        <v>3.6284559999999999</v>
      </c>
      <c r="C7326">
        <f>LOG10(1.014602)</f>
        <v>6.2957140705906999E-3</v>
      </c>
      <c r="D7326">
        <f>LOG10(3.628456)</f>
        <v>0.55972186103391353</v>
      </c>
    </row>
    <row r="7327" spans="1:4">
      <c r="A7327">
        <v>1.011498</v>
      </c>
      <c r="B7327">
        <v>3.4990350000000001</v>
      </c>
      <c r="C7327">
        <f>LOG10(1.011498)</f>
        <v>4.9650283922189273E-3</v>
      </c>
      <c r="D7327">
        <f>LOG10(3.499035)</f>
        <v>0.54394828664719452</v>
      </c>
    </row>
    <row r="7328" spans="1:4">
      <c r="A7328">
        <v>1.0279149999999999</v>
      </c>
      <c r="B7328">
        <v>3.4961660000000001</v>
      </c>
      <c r="C7328">
        <f>LOG10(1.027915)</f>
        <v>1.1957203611394688E-2</v>
      </c>
      <c r="D7328">
        <f>LOG10(3.496166)</f>
        <v>0.54359204500712022</v>
      </c>
    </row>
    <row r="7329" spans="1:4">
      <c r="A7329">
        <v>1.0296670000000001</v>
      </c>
      <c r="B7329">
        <v>3.622627</v>
      </c>
      <c r="C7329">
        <f>LOG10(1.029667)</f>
        <v>1.2696794175641145E-2</v>
      </c>
      <c r="D7329">
        <f>LOG10(3.622627)</f>
        <v>0.55902361965939906</v>
      </c>
    </row>
    <row r="7330" spans="1:4">
      <c r="A7330">
        <v>1.0257259999999999</v>
      </c>
      <c r="B7330">
        <v>3.5816870000000001</v>
      </c>
      <c r="C7330">
        <f>LOG10(1.025726)</f>
        <v>1.1031364108845892E-2</v>
      </c>
      <c r="D7330">
        <f>LOG10(3.581687)</f>
        <v>0.55408763061624067</v>
      </c>
    </row>
    <row r="7331" spans="1:4">
      <c r="A7331">
        <v>1.0117719999999999</v>
      </c>
      <c r="B7331">
        <v>3.5556220000000001</v>
      </c>
      <c r="C7331">
        <f>LOG10(1.011772)</f>
        <v>5.0826564782073501E-3</v>
      </c>
      <c r="D7331">
        <f>LOG10(3.555622)</f>
        <v>0.55091558468287993</v>
      </c>
    </row>
    <row r="7332" spans="1:4">
      <c r="A7332">
        <v>1.0090490000000001</v>
      </c>
      <c r="B7332">
        <v>3.577976</v>
      </c>
      <c r="C7332">
        <f>LOG10(1.009049)</f>
        <v>3.9122563389025729E-3</v>
      </c>
      <c r="D7332">
        <f>LOG10(3.577976)</f>
        <v>0.55363742312276754</v>
      </c>
    </row>
    <row r="7333" spans="1:4">
      <c r="A7333">
        <v>1.01569</v>
      </c>
      <c r="B7333">
        <v>3.5558489999999998</v>
      </c>
      <c r="C7333">
        <f>LOG10(1.01569)</f>
        <v>6.7611766164130515E-3</v>
      </c>
      <c r="D7333">
        <f>LOG10(3.555849)</f>
        <v>0.55094331026804377</v>
      </c>
    </row>
    <row r="7334" spans="1:4">
      <c r="A7334">
        <v>1.0135670000000001</v>
      </c>
      <c r="B7334">
        <v>3.6123400000000001</v>
      </c>
      <c r="C7334">
        <f>LOG10(1.013567)</f>
        <v>5.8524622234430524E-3</v>
      </c>
      <c r="D7334">
        <f>LOG10(3.61234)</f>
        <v>0.55778862015049635</v>
      </c>
    </row>
    <row r="7335" spans="1:4">
      <c r="A7335">
        <v>1.0117929999999999</v>
      </c>
      <c r="B7335">
        <v>3.6334089999999999</v>
      </c>
      <c r="C7335">
        <f>LOG10(1.011793)</f>
        <v>5.0916704551444061E-3</v>
      </c>
      <c r="D7335">
        <f>LOG10(3.633409)</f>
        <v>0.56031428760819579</v>
      </c>
    </row>
    <row r="7336" spans="1:4">
      <c r="A7336">
        <v>1.019029</v>
      </c>
      <c r="B7336">
        <v>3.611202</v>
      </c>
      <c r="C7336">
        <f>LOG10(1.019029)</f>
        <v>8.1865435361249701E-3</v>
      </c>
      <c r="D7336">
        <f>LOG10(3.611202)</f>
        <v>0.55765178226002798</v>
      </c>
    </row>
    <row r="7337" spans="1:4">
      <c r="A7337">
        <v>1.0325519999999999</v>
      </c>
      <c r="B7337">
        <v>3.5481129999999999</v>
      </c>
      <c r="C7337">
        <f>LOG10(1.032552)</f>
        <v>1.3911932235842129E-2</v>
      </c>
      <c r="D7337">
        <f>LOG10(3.548113)</f>
        <v>0.54999744275353712</v>
      </c>
    </row>
    <row r="7338" spans="1:4">
      <c r="A7338">
        <v>1.0207839999999999</v>
      </c>
      <c r="B7338">
        <v>3.6734149999999999</v>
      </c>
      <c r="C7338">
        <f>LOG10(1.020784)</f>
        <v>8.9338542001983438E-3</v>
      </c>
      <c r="D7338">
        <f>LOG10(3.673415)</f>
        <v>0.56506999505611299</v>
      </c>
    </row>
    <row r="7339" spans="1:4">
      <c r="A7339">
        <v>2.1106039999999999</v>
      </c>
      <c r="B7339">
        <v>3.6421049999999999</v>
      </c>
      <c r="C7339">
        <f>LOG10(2.110604)</f>
        <v>0.32440675687578918</v>
      </c>
      <c r="D7339">
        <f>LOG10(3.642105)</f>
        <v>0.56135246212426859</v>
      </c>
    </row>
    <row r="7340" spans="1:4">
      <c r="A7340">
        <v>1.033657</v>
      </c>
      <c r="B7340">
        <v>3.4888059999999999</v>
      </c>
      <c r="C7340">
        <f>LOG10(1.033657)</f>
        <v>1.4376450053985641E-2</v>
      </c>
      <c r="D7340">
        <f>LOG10(3.488806)</f>
        <v>0.54267682055961752</v>
      </c>
    </row>
    <row r="7341" spans="1:4">
      <c r="A7341">
        <v>1.01877</v>
      </c>
      <c r="B7341">
        <v>3.5680960000000002</v>
      </c>
      <c r="C7341">
        <f>LOG10(1.01877)</f>
        <v>8.0761476909816353E-3</v>
      </c>
      <c r="D7341">
        <f>LOG10(3.568096)</f>
        <v>0.55243653060021503</v>
      </c>
    </row>
    <row r="7342" spans="1:4">
      <c r="A7342">
        <v>1.016059</v>
      </c>
      <c r="B7342">
        <v>3.5352980000000001</v>
      </c>
      <c r="C7342">
        <f>LOG10(1.016059)</f>
        <v>6.9189270723840519E-3</v>
      </c>
      <c r="D7342">
        <f>LOG10(3.535298)</f>
        <v>0.54842602755325209</v>
      </c>
    </row>
    <row r="7343" spans="1:4">
      <c r="A7343">
        <v>1.0124569999999999</v>
      </c>
      <c r="B7343">
        <v>3.490459</v>
      </c>
      <c r="C7343">
        <f>LOG10(1.012457)</f>
        <v>5.3765873837121024E-3</v>
      </c>
      <c r="D7343">
        <f>LOG10(3.490459)</f>
        <v>0.54288254101643052</v>
      </c>
    </row>
    <row r="7344" spans="1:4">
      <c r="A7344">
        <v>1.0186040000000001</v>
      </c>
      <c r="B7344">
        <v>3.4868139999999999</v>
      </c>
      <c r="C7344">
        <f>LOG10(1.018604)</f>
        <v>8.0053772932486486E-3</v>
      </c>
      <c r="D7344">
        <f>LOG10(3.486814)</f>
        <v>0.54242878106449954</v>
      </c>
    </row>
    <row r="7345" spans="1:4">
      <c r="A7345">
        <v>1.044405</v>
      </c>
      <c r="B7345">
        <v>3.4931420000000002</v>
      </c>
      <c r="C7345">
        <f>LOG10(1.044405)</f>
        <v>1.8868942303732997E-2</v>
      </c>
      <c r="D7345">
        <f>LOG10(3.493142)</f>
        <v>0.54321624053685691</v>
      </c>
    </row>
    <row r="7346" spans="1:4">
      <c r="A7346">
        <v>1.0180480000000001</v>
      </c>
      <c r="B7346">
        <v>3.412668</v>
      </c>
      <c r="C7346">
        <f>LOG10(1.018048)</f>
        <v>7.7682550574058413E-3</v>
      </c>
      <c r="D7346">
        <f>LOG10(3.412668)</f>
        <v>0.53309404017395357</v>
      </c>
    </row>
    <row r="7347" spans="1:4">
      <c r="A7347">
        <v>1.0156829999999999</v>
      </c>
      <c r="B7347">
        <v>3.4191400000000001</v>
      </c>
      <c r="C7347">
        <f>LOG10(1.015683)</f>
        <v>6.7581835064589721E-3</v>
      </c>
      <c r="D7347">
        <f>LOG10(3.41914)</f>
        <v>0.53391688376900381</v>
      </c>
    </row>
    <row r="7348" spans="1:4">
      <c r="A7348">
        <v>1.0114620000000001</v>
      </c>
      <c r="B7348">
        <v>3.4189449999999999</v>
      </c>
      <c r="C7348">
        <f>LOG10(1.011462)</f>
        <v>4.9495712389878849E-3</v>
      </c>
      <c r="D7348">
        <f>LOG10(3.418945)</f>
        <v>0.53389211442963636</v>
      </c>
    </row>
    <row r="7349" spans="1:4">
      <c r="A7349">
        <v>1.0298860000000001</v>
      </c>
      <c r="B7349">
        <v>3.4546420000000002</v>
      </c>
      <c r="C7349">
        <f>LOG10(1.029886)</f>
        <v>1.2789154500328361E-2</v>
      </c>
      <c r="D7349">
        <f>LOG10(3.454642)</f>
        <v>0.53840304867687327</v>
      </c>
    </row>
    <row r="7350" spans="1:4">
      <c r="A7350">
        <v>1.0252209999999999</v>
      </c>
      <c r="B7350">
        <v>3.3949669999999998</v>
      </c>
      <c r="C7350">
        <f>LOG10(1.025221)</f>
        <v>1.0817493425894626E-2</v>
      </c>
      <c r="D7350">
        <f>LOG10(3.394967)</f>
        <v>0.53083555717688669</v>
      </c>
    </row>
    <row r="7351" spans="1:4">
      <c r="A7351">
        <v>1.017622</v>
      </c>
      <c r="B7351">
        <v>3.5004430000000002</v>
      </c>
      <c r="C7351">
        <f>LOG10(1.017622)</f>
        <v>7.5864874310307348E-3</v>
      </c>
      <c r="D7351">
        <f>LOG10(3.500443)</f>
        <v>0.54412301014479469</v>
      </c>
    </row>
    <row r="7352" spans="1:4">
      <c r="A7352">
        <v>1.012389</v>
      </c>
      <c r="B7352">
        <v>3.3703660000000002</v>
      </c>
      <c r="C7352">
        <f>LOG10(1.012389)</f>
        <v>5.3474177334962292E-3</v>
      </c>
      <c r="D7352">
        <f>LOG10(3.370366)</f>
        <v>0.52767706501065481</v>
      </c>
    </row>
    <row r="7353" spans="1:4">
      <c r="A7353">
        <v>1.013347</v>
      </c>
      <c r="B7353">
        <v>3.418472</v>
      </c>
      <c r="C7353">
        <f>LOG10(1.013347)</f>
        <v>5.758186110698298E-3</v>
      </c>
      <c r="D7353">
        <f>LOG10(3.418472)</f>
        <v>0.53383202703398158</v>
      </c>
    </row>
    <row r="7354" spans="1:4">
      <c r="A7354">
        <v>1.012108</v>
      </c>
      <c r="B7354">
        <v>3.4679959999999999</v>
      </c>
      <c r="C7354">
        <f>LOG10(1.012108)</f>
        <v>5.2268576633173166E-3</v>
      </c>
      <c r="D7354">
        <f>LOG10(3.467996)</f>
        <v>0.54007858788752638</v>
      </c>
    </row>
    <row r="7355" spans="1:4">
      <c r="A7355">
        <v>1.0239050000000001</v>
      </c>
      <c r="B7355">
        <v>3.8136380000000001</v>
      </c>
      <c r="C7355">
        <f>LOG10(1.023905)</f>
        <v>1.0259663778756018E-2</v>
      </c>
      <c r="D7355">
        <f>LOG10(3.813638)</f>
        <v>0.58133946635450351</v>
      </c>
    </row>
    <row r="7356" spans="1:4">
      <c r="A7356">
        <v>1.035299</v>
      </c>
      <c r="B7356">
        <v>3.5687760000000002</v>
      </c>
      <c r="C7356">
        <f>LOG10(1.035299)</f>
        <v>1.5065794524341924E-2</v>
      </c>
      <c r="D7356">
        <f>LOG10(3.568776)</f>
        <v>0.55251928961525354</v>
      </c>
    </row>
    <row r="7357" spans="1:4">
      <c r="A7357">
        <v>1.022953</v>
      </c>
      <c r="B7357">
        <v>3.6066600000000002</v>
      </c>
      <c r="C7357">
        <f>LOG10(1.022953)</f>
        <v>9.8556803303835056E-3</v>
      </c>
      <c r="D7357">
        <f>LOG10(3.60666)</f>
        <v>0.55710520328770285</v>
      </c>
    </row>
    <row r="7358" spans="1:4">
      <c r="A7358">
        <v>1.0122169999999999</v>
      </c>
      <c r="B7358">
        <v>3.6779999999999999</v>
      </c>
      <c r="C7358">
        <f>LOG10(1.012217)</f>
        <v>5.2736269306762305E-3</v>
      </c>
      <c r="D7358">
        <f>LOG10(3.678)</f>
        <v>0.56561172490205869</v>
      </c>
    </row>
    <row r="7359" spans="1:4">
      <c r="A7359">
        <v>1.013725</v>
      </c>
      <c r="B7359">
        <v>3.5952039999999998</v>
      </c>
      <c r="C7359">
        <f>LOG10(1.013725)</f>
        <v>5.9201569889525043E-3</v>
      </c>
      <c r="D7359">
        <f>LOG10(3.595204)</f>
        <v>0.55572353826846743</v>
      </c>
    </row>
    <row r="7360" spans="1:4">
      <c r="A7360">
        <v>1.0155639999999999</v>
      </c>
      <c r="B7360">
        <v>3.4607960000000002</v>
      </c>
      <c r="C7360">
        <f>LOG10(1.015564)</f>
        <v>6.7072974808740932E-3</v>
      </c>
      <c r="D7360">
        <f>LOG10(3.460796)</f>
        <v>0.53917600013624045</v>
      </c>
    </row>
    <row r="7361" spans="1:4">
      <c r="A7361">
        <v>1.0184930000000001</v>
      </c>
      <c r="B7361">
        <v>3.5724230000000001</v>
      </c>
      <c r="C7361">
        <f>LOG10(1.018493)</f>
        <v>7.9580484841257071E-3</v>
      </c>
      <c r="D7361">
        <f>LOG10(3.572423)</f>
        <v>0.55296287678127398</v>
      </c>
    </row>
    <row r="7362" spans="1:4">
      <c r="A7362">
        <v>1.021447</v>
      </c>
      <c r="B7362">
        <v>3.6402860000000001</v>
      </c>
      <c r="C7362">
        <f>LOG10(1.021447)</f>
        <v>9.2158372389608972E-3</v>
      </c>
      <c r="D7362">
        <f>LOG10(3.640286)</f>
        <v>0.5611355054464382</v>
      </c>
    </row>
    <row r="7363" spans="1:4">
      <c r="A7363">
        <v>1.020878</v>
      </c>
      <c r="B7363">
        <v>3.541639</v>
      </c>
      <c r="C7363">
        <f>LOG10(1.020878)</f>
        <v>8.9738448365796527E-3</v>
      </c>
      <c r="D7363">
        <f>LOG10(3.541639)</f>
        <v>0.54920429138312987</v>
      </c>
    </row>
    <row r="7364" spans="1:4">
      <c r="A7364">
        <v>1.0231110000000001</v>
      </c>
      <c r="B7364">
        <v>3.5576919999999999</v>
      </c>
      <c r="C7364">
        <f>LOG10(1.023111)</f>
        <v>9.9227540174990133E-3</v>
      </c>
      <c r="D7364">
        <f>LOG10(3.557692)</f>
        <v>0.55116834720760921</v>
      </c>
    </row>
    <row r="7365" spans="1:4">
      <c r="A7365">
        <v>1.027382</v>
      </c>
      <c r="B7365">
        <v>3.5815299999999999</v>
      </c>
      <c r="C7365">
        <f>LOG10(1.027382)</f>
        <v>1.1731952502631791E-2</v>
      </c>
      <c r="D7365">
        <f>LOG10(3.58153)</f>
        <v>0.55406859329441449</v>
      </c>
    </row>
    <row r="7366" spans="1:4">
      <c r="A7366">
        <v>1.033013</v>
      </c>
      <c r="B7366">
        <v>3.5140579999999999</v>
      </c>
      <c r="C7366">
        <f>LOG10(1.033013)</f>
        <v>1.410578695305667E-2</v>
      </c>
      <c r="D7366">
        <f>LOG10(3.514058)</f>
        <v>0.54580892530727687</v>
      </c>
    </row>
    <row r="7367" spans="1:4">
      <c r="A7367">
        <v>1.015962</v>
      </c>
      <c r="B7367">
        <v>3.424042</v>
      </c>
      <c r="C7367">
        <f>LOG10(1.015962)</f>
        <v>6.8774643465789355E-3</v>
      </c>
      <c r="D7367">
        <f>LOG10(3.424042)</f>
        <v>0.53453908318279364</v>
      </c>
    </row>
    <row r="7368" spans="1:4">
      <c r="A7368">
        <v>1.00613</v>
      </c>
      <c r="B7368">
        <v>3.2106439999999998</v>
      </c>
      <c r="C7368">
        <f>LOG10(1.00613)</f>
        <v>2.6540986474042965E-3</v>
      </c>
      <c r="D7368">
        <f>LOG10(3.210644)</f>
        <v>0.50659215315079209</v>
      </c>
    </row>
    <row r="7369" spans="1:4">
      <c r="A7369">
        <v>1.026011</v>
      </c>
      <c r="B7369">
        <v>3.2670680000000001</v>
      </c>
      <c r="C7369">
        <f>LOG10(1.026011)</f>
        <v>1.1152016929493511E-2</v>
      </c>
      <c r="D7369">
        <f>LOG10(3.267068)</f>
        <v>0.5141581738747123</v>
      </c>
    </row>
    <row r="7370" spans="1:4">
      <c r="A7370">
        <v>1.0199739999999999</v>
      </c>
      <c r="B7370">
        <v>3.284875</v>
      </c>
      <c r="C7370">
        <f>LOG10(1.019974)</f>
        <v>8.5891013693242015E-3</v>
      </c>
      <c r="D7370">
        <f>LOG10(3.284875)</f>
        <v>0.51651884791615932</v>
      </c>
    </row>
    <row r="7371" spans="1:4">
      <c r="A7371">
        <v>1.023536</v>
      </c>
      <c r="B7371">
        <v>3.2050269999999998</v>
      </c>
      <c r="C7371">
        <f>LOG10(1.023536)</f>
        <v>1.0103122354063042E-2</v>
      </c>
      <c r="D7371">
        <f>LOG10(3.205027)</f>
        <v>0.50583169248248672</v>
      </c>
    </row>
    <row r="7372" spans="1:4">
      <c r="A7372">
        <v>1.015374</v>
      </c>
      <c r="B7372">
        <v>3.0903999999999998</v>
      </c>
      <c r="C7372">
        <f>LOG10(1.015374)</f>
        <v>6.6260385238775628E-3</v>
      </c>
      <c r="D7372">
        <f>LOG10(3.0904)</f>
        <v>0.49001469513676388</v>
      </c>
    </row>
    <row r="7373" spans="1:4">
      <c r="A7373">
        <v>1.0242420000000001</v>
      </c>
      <c r="B7373">
        <v>3.123828</v>
      </c>
      <c r="C7373">
        <f>LOG10(1.024242)</f>
        <v>1.040258051444168E-2</v>
      </c>
      <c r="D7373">
        <f>LOG10(3.123828)</f>
        <v>0.49468711332711685</v>
      </c>
    </row>
    <row r="7374" spans="1:4">
      <c r="A7374">
        <v>1.0264390000000001</v>
      </c>
      <c r="B7374">
        <v>3.1308910000000001</v>
      </c>
      <c r="C7374">
        <f>LOG10(1.026439)</f>
        <v>1.1333144889686404E-2</v>
      </c>
      <c r="D7374">
        <f>LOG10(3.130891)</f>
        <v>0.49566794819099991</v>
      </c>
    </row>
    <row r="7375" spans="1:4">
      <c r="A7375">
        <v>1.0210429999999999</v>
      </c>
      <c r="B7375">
        <v>3.1080890000000001</v>
      </c>
      <c r="C7375">
        <f>LOG10(1.021043)</f>
        <v>9.0440322627043587E-3</v>
      </c>
      <c r="D7375">
        <f>LOG10(3.108089)</f>
        <v>0.49249344631146413</v>
      </c>
    </row>
    <row r="7376" spans="1:4">
      <c r="A7376">
        <v>1.0112049999999999</v>
      </c>
      <c r="B7376">
        <v>3.0665879999999999</v>
      </c>
      <c r="C7376">
        <f>LOG10(1.011205)</f>
        <v>4.8392083542917385E-3</v>
      </c>
      <c r="D7376">
        <f>LOG10(3.066588)</f>
        <v>0.48665543188542082</v>
      </c>
    </row>
    <row r="7377" spans="1:4">
      <c r="A7377">
        <v>1.020956</v>
      </c>
      <c r="B7377">
        <v>3.3470650000000002</v>
      </c>
      <c r="C7377">
        <f>LOG10(1.020956)</f>
        <v>9.0070257607928264E-3</v>
      </c>
      <c r="D7377">
        <f>LOG10(3.347065)</f>
        <v>0.52466414643821246</v>
      </c>
    </row>
    <row r="7378" spans="1:4">
      <c r="A7378">
        <v>1.0202830000000001</v>
      </c>
      <c r="B7378">
        <v>3.0228619999999999</v>
      </c>
      <c r="C7378">
        <f>LOG10(1.020283)</f>
        <v>8.7206504790042112E-3</v>
      </c>
      <c r="D7378">
        <f>LOG10(3.022862)</f>
        <v>0.48041832117500294</v>
      </c>
    </row>
    <row r="7379" spans="1:4">
      <c r="A7379">
        <v>1.0178769999999999</v>
      </c>
      <c r="B7379">
        <v>3.042761</v>
      </c>
      <c r="C7379">
        <f>LOG10(1.017877)</f>
        <v>7.6953011356453134E-3</v>
      </c>
      <c r="D7379">
        <f>LOG10(3.042761)</f>
        <v>0.48326784113321819</v>
      </c>
    </row>
    <row r="7380" spans="1:4">
      <c r="A7380">
        <v>1.0106219999999999</v>
      </c>
      <c r="B7380">
        <v>3.2645040000000001</v>
      </c>
      <c r="C7380">
        <f>LOG10(1.010622)</f>
        <v>4.5887480627167729E-3</v>
      </c>
      <c r="D7380">
        <f>LOG10(3.264504)</f>
        <v>0.51381720508226902</v>
      </c>
    </row>
    <row r="7381" spans="1:4">
      <c r="A7381">
        <v>1.0255650000000001</v>
      </c>
      <c r="B7381">
        <v>3.0516779999999999</v>
      </c>
      <c r="C7381">
        <f>LOG10(1.025565)</f>
        <v>1.0963191029814259E-2</v>
      </c>
      <c r="D7381">
        <f>LOG10(3.051678)</f>
        <v>0.48453870680554223</v>
      </c>
    </row>
    <row r="7382" spans="1:4">
      <c r="A7382">
        <v>1.0094860000000001</v>
      </c>
      <c r="B7382">
        <v>2.9183400000000002</v>
      </c>
      <c r="C7382">
        <f>LOG10(1.009486)</f>
        <v>4.1003003327464236E-3</v>
      </c>
      <c r="D7382">
        <f>LOG10(2.91834)</f>
        <v>0.46513588780485299</v>
      </c>
    </row>
    <row r="7383" spans="1:4">
      <c r="A7383">
        <v>1.011069</v>
      </c>
      <c r="B7383">
        <v>2.9931869999999998</v>
      </c>
      <c r="C7383">
        <f>LOG10(1.011069)</f>
        <v>4.7807948557966303E-3</v>
      </c>
      <c r="D7383">
        <f>LOG10(2.993187)</f>
        <v>0.4761338503287183</v>
      </c>
    </row>
    <row r="7384" spans="1:4">
      <c r="A7384">
        <v>1.0073829999999999</v>
      </c>
      <c r="B7384">
        <v>2.9609260000000002</v>
      </c>
      <c r="C7384">
        <f>LOG10(1.007383)</f>
        <v>3.194617686584546E-3</v>
      </c>
      <c r="D7384">
        <f>LOG10(2.960926)</f>
        <v>0.47142755355841293</v>
      </c>
    </row>
    <row r="7385" spans="1:4">
      <c r="A7385">
        <v>1.018713</v>
      </c>
      <c r="B7385">
        <v>2.886171</v>
      </c>
      <c r="C7385">
        <f>LOG10(1.018713)</f>
        <v>8.0518483123120394E-3</v>
      </c>
      <c r="D7385">
        <f>LOG10(2.886171)</f>
        <v>0.46032205862038356</v>
      </c>
    </row>
    <row r="7386" spans="1:4">
      <c r="A7386">
        <v>1.0161960000000001</v>
      </c>
      <c r="B7386">
        <v>3.1303209999999999</v>
      </c>
      <c r="C7386">
        <f>LOG10(1.016196)</f>
        <v>6.9774810866301959E-3</v>
      </c>
      <c r="D7386">
        <f>LOG10(3.130321)</f>
        <v>0.4955888747287473</v>
      </c>
    </row>
    <row r="7387" spans="1:4">
      <c r="A7387">
        <v>1.0135909999999999</v>
      </c>
      <c r="B7387">
        <v>3.0413839999999999</v>
      </c>
      <c r="C7387">
        <f>LOG10(1.013591)</f>
        <v>5.8627456523282981E-3</v>
      </c>
      <c r="D7387">
        <f>LOG10(3.041384)</f>
        <v>0.48307125689277297</v>
      </c>
    </row>
    <row r="7388" spans="1:4">
      <c r="A7388">
        <v>1.007925</v>
      </c>
      <c r="B7388">
        <v>3.0917059999999998</v>
      </c>
      <c r="C7388">
        <f>LOG10(1.007925)</f>
        <v>3.4282173297822513E-3</v>
      </c>
      <c r="D7388">
        <f>LOG10(3.091706)</f>
        <v>0.49019818878821642</v>
      </c>
    </row>
    <row r="7389" spans="1:4">
      <c r="A7389">
        <v>1.01664</v>
      </c>
      <c r="B7389">
        <v>3.0589209999999998</v>
      </c>
      <c r="C7389">
        <f>LOG10(1.01664)</f>
        <v>7.1671931470534108E-3</v>
      </c>
      <c r="D7389">
        <f>LOG10(3.058921)</f>
        <v>0.48556826099674016</v>
      </c>
    </row>
    <row r="7390" spans="1:4">
      <c r="A7390">
        <v>1.0105409999999999</v>
      </c>
      <c r="B7390">
        <v>2.9970279999999998</v>
      </c>
      <c r="C7390">
        <f>LOG10(1.010541)</f>
        <v>4.5539385465590007E-3</v>
      </c>
      <c r="D7390">
        <f>LOG10(2.997028)</f>
        <v>0.4766908003993281</v>
      </c>
    </row>
    <row r="7391" spans="1:4">
      <c r="A7391">
        <v>1.014032</v>
      </c>
      <c r="B7391">
        <v>3.1261800000000002</v>
      </c>
      <c r="C7391">
        <f>LOG10(1.014032)</f>
        <v>6.0516603268406469E-3</v>
      </c>
      <c r="D7391">
        <f>LOG10(3.12618)</f>
        <v>0.49501398032301669</v>
      </c>
    </row>
    <row r="7392" spans="1:4">
      <c r="A7392">
        <v>1.009012</v>
      </c>
      <c r="B7392">
        <v>2.9978950000000002</v>
      </c>
      <c r="C7392">
        <f>LOG10(1.009012)</f>
        <v>3.8963312545446183E-3</v>
      </c>
      <c r="D7392">
        <f>LOG10(2.997895)</f>
        <v>0.47681641779872935</v>
      </c>
    </row>
    <row r="7393" spans="1:4">
      <c r="A7393">
        <v>1.033442</v>
      </c>
      <c r="B7393">
        <v>3.2012070000000001</v>
      </c>
      <c r="C7393">
        <f>LOG10(1.033442)</f>
        <v>1.4286107681466528E-2</v>
      </c>
      <c r="D7393">
        <f>LOG10(3.201207)</f>
        <v>0.50531375788393806</v>
      </c>
    </row>
    <row r="7394" spans="1:4">
      <c r="A7394">
        <v>1.029979</v>
      </c>
      <c r="B7394">
        <v>3.1409029999999998</v>
      </c>
      <c r="C7394">
        <f>LOG10(1.029979)</f>
        <v>1.2828370067216873E-2</v>
      </c>
      <c r="D7394">
        <f>LOG10(3.140903)</f>
        <v>0.49705452435927144</v>
      </c>
    </row>
    <row r="7395" spans="1:4">
      <c r="A7395">
        <v>1.0140279999999999</v>
      </c>
      <c r="B7395">
        <v>3.125105</v>
      </c>
      <c r="C7395">
        <f>LOG10(1.014028)</f>
        <v>6.0499471843027874E-3</v>
      </c>
      <c r="D7395">
        <f>LOG10(3.125105)</f>
        <v>0.49486461372954094</v>
      </c>
    </row>
    <row r="7396" spans="1:4">
      <c r="A7396">
        <v>1.0178149999999999</v>
      </c>
      <c r="B7396">
        <v>3.4445890000000001</v>
      </c>
      <c r="C7396">
        <f>LOG10(1.017815)</f>
        <v>7.6688469786448136E-3</v>
      </c>
      <c r="D7396">
        <f>LOG10(3.444589)</f>
        <v>0.53713741037123952</v>
      </c>
    </row>
    <row r="7397" spans="1:4">
      <c r="A7397">
        <v>1.033655</v>
      </c>
      <c r="B7397">
        <v>3.2808709999999999</v>
      </c>
      <c r="C7397">
        <f>LOG10(1.033655)</f>
        <v>1.4375609746413458E-2</v>
      </c>
      <c r="D7397">
        <f>LOG10(3.280871)</f>
        <v>0.51598915477204288</v>
      </c>
    </row>
    <row r="7398" spans="1:4">
      <c r="A7398">
        <v>1.04718</v>
      </c>
      <c r="B7398">
        <v>3.1772230000000001</v>
      </c>
      <c r="C7398">
        <f>LOG10(1.04718)</f>
        <v>2.0021339069262543E-2</v>
      </c>
      <c r="D7398">
        <f>LOG10(3.177223)</f>
        <v>0.5020476977577919</v>
      </c>
    </row>
    <row r="7399" spans="1:4">
      <c r="A7399">
        <v>1.0361629999999999</v>
      </c>
      <c r="B7399">
        <v>3.2114349999999998</v>
      </c>
      <c r="C7399">
        <f>LOG10(1.036163)</f>
        <v>1.5428080150748754E-2</v>
      </c>
      <c r="D7399">
        <f>LOG10(3.211435)</f>
        <v>0.50669913624362628</v>
      </c>
    </row>
    <row r="7400" spans="1:4">
      <c r="A7400">
        <v>1.0500640000000001</v>
      </c>
      <c r="B7400">
        <v>3.2580170000000002</v>
      </c>
      <c r="C7400">
        <f>LOG10(1.050064)</f>
        <v>2.1215769545933526E-2</v>
      </c>
      <c r="D7400">
        <f>LOG10(3.258017)</f>
        <v>0.51295334608265952</v>
      </c>
    </row>
    <row r="7401" spans="1:4">
      <c r="A7401">
        <v>1.0352110000000001</v>
      </c>
      <c r="B7401">
        <v>3.3797440000000001</v>
      </c>
      <c r="C7401">
        <f>LOG10(1.035211)</f>
        <v>1.5028878098504386E-2</v>
      </c>
      <c r="D7401">
        <f>LOG10(3.379744)</f>
        <v>0.52888380572205607</v>
      </c>
    </row>
    <row r="7402" spans="1:4">
      <c r="A7402">
        <v>1.02162</v>
      </c>
      <c r="B7402">
        <v>3.1290629999999999</v>
      </c>
      <c r="C7402">
        <f>LOG10(1.02162)</f>
        <v>9.28938641336274E-3</v>
      </c>
      <c r="D7402">
        <f>LOG10(3.129063)</f>
        <v>0.49541430724236518</v>
      </c>
    </row>
    <row r="7403" spans="1:4">
      <c r="A7403">
        <v>1.009266</v>
      </c>
      <c r="B7403">
        <v>3.2117200000000001</v>
      </c>
      <c r="C7403">
        <f>LOG10(1.009266)</f>
        <v>4.0056430530042856E-3</v>
      </c>
      <c r="D7403">
        <f>LOG10(3.21172)</f>
        <v>0.50673767615973409</v>
      </c>
    </row>
    <row r="7404" spans="1:4">
      <c r="A7404">
        <v>1.0102439999999999</v>
      </c>
      <c r="B7404">
        <v>3.2424689999999998</v>
      </c>
      <c r="C7404">
        <f>LOG10(1.010244)</f>
        <v>4.4262797782546057E-3</v>
      </c>
      <c r="D7404">
        <f>LOG10(3.242469)</f>
        <v>0.51087583265332759</v>
      </c>
    </row>
    <row r="7405" spans="1:4">
      <c r="A7405">
        <v>1.0093559999999999</v>
      </c>
      <c r="B7405">
        <v>3.1885520000000001</v>
      </c>
      <c r="C7405">
        <f>LOG10(1.009356)</f>
        <v>4.0443689793016888E-3</v>
      </c>
      <c r="D7405">
        <f>LOG10(3.188552)</f>
        <v>0.50359350400444369</v>
      </c>
    </row>
    <row r="7406" spans="1:4">
      <c r="A7406">
        <v>1.022848</v>
      </c>
      <c r="B7406">
        <v>3.2325849999999998</v>
      </c>
      <c r="C7406">
        <f>LOG10(1.022848)</f>
        <v>9.8111003143996518E-3</v>
      </c>
      <c r="D7406">
        <f>LOG10(3.232585)</f>
        <v>0.50954995336546238</v>
      </c>
    </row>
    <row r="7407" spans="1:4">
      <c r="A7407">
        <v>1.0174700000000001</v>
      </c>
      <c r="B7407">
        <v>3.5524650000000002</v>
      </c>
      <c r="C7407">
        <f>LOG10(1.01747)</f>
        <v>7.5216129571769588E-3</v>
      </c>
      <c r="D7407">
        <f>LOG10(3.552465)</f>
        <v>0.55052980781506111</v>
      </c>
    </row>
    <row r="7408" spans="1:4">
      <c r="A7408">
        <v>1.016383</v>
      </c>
      <c r="B7408">
        <v>3.2369569999999999</v>
      </c>
      <c r="C7408">
        <f>LOG10(1.016383)</f>
        <v>7.0573924390007715E-3</v>
      </c>
      <c r="D7408">
        <f>LOG10(3.236957)</f>
        <v>0.51013693023767992</v>
      </c>
    </row>
    <row r="7409" spans="1:4">
      <c r="A7409">
        <v>1.0114829999999999</v>
      </c>
      <c r="B7409">
        <v>3.253822</v>
      </c>
      <c r="C7409">
        <f>LOG10(1.011483)</f>
        <v>4.9585879785633263E-3</v>
      </c>
      <c r="D7409">
        <f>LOG10(3.253822)</f>
        <v>0.51239379121540507</v>
      </c>
    </row>
    <row r="7410" spans="1:4">
      <c r="A7410">
        <v>1.006813</v>
      </c>
      <c r="B7410">
        <v>3.1955100000000001</v>
      </c>
      <c r="C7410">
        <f>LOG10(1.006813)</f>
        <v>2.9488145360539609E-3</v>
      </c>
      <c r="D7410">
        <f>LOG10(3.19551)</f>
        <v>0.50454018096391229</v>
      </c>
    </row>
    <row r="7411" spans="1:4">
      <c r="A7411">
        <v>1.006634</v>
      </c>
      <c r="B7411">
        <v>3.3821650000000001</v>
      </c>
      <c r="C7411">
        <f>LOG10(1.006634)</f>
        <v>2.8715950090781256E-3</v>
      </c>
      <c r="D7411">
        <f>LOG10(3.382165)</f>
        <v>0.52919479097359223</v>
      </c>
    </row>
    <row r="7412" spans="1:4">
      <c r="A7412">
        <v>1.0145770000000001</v>
      </c>
      <c r="B7412">
        <v>3.247757</v>
      </c>
      <c r="C7412">
        <f>LOG10(1.014577)</f>
        <v>6.2850128342304724E-3</v>
      </c>
      <c r="D7412">
        <f>LOG10(3.247757)</f>
        <v>0.51158352749430391</v>
      </c>
    </row>
    <row r="7413" spans="1:4">
      <c r="A7413">
        <v>1.0099130000000001</v>
      </c>
      <c r="B7413">
        <v>3.6983809999999999</v>
      </c>
      <c r="C7413">
        <f>LOG10(1.009913)</f>
        <v>4.2839626466689741E-3</v>
      </c>
      <c r="D7413">
        <f>LOG10(3.698381)</f>
        <v>0.56801164929863013</v>
      </c>
    </row>
    <row r="7414" spans="1:4">
      <c r="A7414">
        <v>1.007185</v>
      </c>
      <c r="B7414">
        <v>3.4408650000000001</v>
      </c>
      <c r="C7414">
        <f>LOG10(1.007185)</f>
        <v>3.1092492029258247E-3</v>
      </c>
      <c r="D7414">
        <f>LOG10(3.440865)</f>
        <v>0.53666763370631487</v>
      </c>
    </row>
    <row r="7415" spans="1:4">
      <c r="A7415">
        <v>1.0094799999999999</v>
      </c>
      <c r="B7415">
        <v>3.583507</v>
      </c>
      <c r="C7415">
        <f>LOG10(1.00948)</f>
        <v>4.0977190442140739E-3</v>
      </c>
      <c r="D7415">
        <f>LOG10(3.583507)</f>
        <v>0.55430825715449283</v>
      </c>
    </row>
    <row r="7416" spans="1:4">
      <c r="A7416">
        <v>1.013603</v>
      </c>
      <c r="B7416">
        <v>3.529623</v>
      </c>
      <c r="C7416">
        <f>LOG10(1.013603)</f>
        <v>5.8678872754615091E-3</v>
      </c>
      <c r="D7416">
        <f>LOG10(3.529623)</f>
        <v>0.54772832075231637</v>
      </c>
    </row>
    <row r="7417" spans="1:4">
      <c r="A7417">
        <v>1.011355</v>
      </c>
      <c r="B7417">
        <v>3.380477</v>
      </c>
      <c r="C7417">
        <f>LOG10(1.011355)</f>
        <v>4.9036258968170173E-3</v>
      </c>
      <c r="D7417">
        <f>LOG10(3.380477)</f>
        <v>0.52897798544087959</v>
      </c>
    </row>
    <row r="7418" spans="1:4">
      <c r="A7418">
        <v>1.009198</v>
      </c>
      <c r="B7418">
        <v>3.4128790000000002</v>
      </c>
      <c r="C7418">
        <f>LOG10(1.009198)</f>
        <v>3.9763811738916782E-3</v>
      </c>
      <c r="D7418">
        <f>LOG10(3.412879)</f>
        <v>0.53312089110200689</v>
      </c>
    </row>
    <row r="7419" spans="1:4">
      <c r="A7419">
        <v>1.306969</v>
      </c>
      <c r="B7419">
        <v>3.1789670000000001</v>
      </c>
      <c r="C7419">
        <f>LOG10(1.306969)</f>
        <v>0.11626528667113059</v>
      </c>
      <c r="D7419">
        <f>LOG10(3.178967)</f>
        <v>0.50228601964415653</v>
      </c>
    </row>
    <row r="7420" spans="1:4">
      <c r="A7420">
        <v>1.3577049999999999</v>
      </c>
      <c r="B7420">
        <v>3.3289240000000002</v>
      </c>
      <c r="C7420">
        <f>LOG10(1.357705)</f>
        <v>0.13280541737477047</v>
      </c>
      <c r="D7420">
        <f>LOG10(3.328924)</f>
        <v>0.52230388024005792</v>
      </c>
    </row>
    <row r="7421" spans="1:4">
      <c r="A7421">
        <v>1.3307739999999999</v>
      </c>
      <c r="B7421">
        <v>3.427451</v>
      </c>
      <c r="C7421">
        <f>LOG10(1.330774)</f>
        <v>0.12410430725026085</v>
      </c>
      <c r="D7421">
        <f>LOG10(3.427451)</f>
        <v>0.53497125468497009</v>
      </c>
    </row>
    <row r="7422" spans="1:4">
      <c r="A7422">
        <v>1.566103</v>
      </c>
      <c r="B7422">
        <v>3.613791</v>
      </c>
      <c r="C7422">
        <f>LOG10(1.566103)</f>
        <v>0.19482032148987996</v>
      </c>
      <c r="D7422">
        <f>LOG10(3.613791)</f>
        <v>0.55796303196276797</v>
      </c>
    </row>
    <row r="7423" spans="1:4">
      <c r="A7423">
        <v>1.598185</v>
      </c>
      <c r="B7423">
        <v>3.4310960000000001</v>
      </c>
      <c r="C7423">
        <f>LOG10(1.598185)</f>
        <v>0.20362705021500788</v>
      </c>
      <c r="D7423">
        <f>LOG10(3.431096)</f>
        <v>0.53543286952425706</v>
      </c>
    </row>
    <row r="7424" spans="1:4">
      <c r="A7424">
        <v>1.50285</v>
      </c>
      <c r="B7424">
        <v>3.314314</v>
      </c>
      <c r="C7424">
        <f>LOG10(1.50285)</f>
        <v>0.17691563566128674</v>
      </c>
      <c r="D7424">
        <f>LOG10(3.314314)</f>
        <v>0.52039365133959448</v>
      </c>
    </row>
    <row r="7425" spans="1:4">
      <c r="A7425">
        <v>1.75421</v>
      </c>
      <c r="B7425">
        <v>3.489576</v>
      </c>
      <c r="C7425">
        <f>LOG10(1.75421)</f>
        <v>0.24408158240630684</v>
      </c>
      <c r="D7425">
        <f>LOG10(3.489576)</f>
        <v>0.54277266132970514</v>
      </c>
    </row>
    <row r="7426" spans="1:4">
      <c r="A7426">
        <v>1.4811019999999999</v>
      </c>
      <c r="B7426">
        <v>3.4021270000000001</v>
      </c>
      <c r="C7426">
        <f>LOG10(1.481102)</f>
        <v>0.17058496838735868</v>
      </c>
      <c r="D7426">
        <f>LOG10(3.402127)</f>
        <v>0.53175052161333003</v>
      </c>
    </row>
    <row r="7427" spans="1:4">
      <c r="A7427">
        <v>1.528351</v>
      </c>
      <c r="B7427">
        <v>3.6427640000000001</v>
      </c>
      <c r="C7427">
        <f>LOG10(1.528351)</f>
        <v>0.1842231054552993</v>
      </c>
      <c r="D7427">
        <f>LOG10(3.642764)</f>
        <v>0.56143103596392308</v>
      </c>
    </row>
    <row r="7428" spans="1:4">
      <c r="A7428">
        <v>1.490516</v>
      </c>
      <c r="B7428">
        <v>3.5690300000000001</v>
      </c>
      <c r="C7428">
        <f>LOG10(1.490516)</f>
        <v>0.17333664234410393</v>
      </c>
      <c r="D7428">
        <f>LOG10(3.56903)</f>
        <v>0.5525501984963439</v>
      </c>
    </row>
    <row r="7429" spans="1:4">
      <c r="A7429">
        <v>1.6410830000000001</v>
      </c>
      <c r="B7429">
        <v>3.5087280000000001</v>
      </c>
      <c r="C7429">
        <f>LOG10(1.641083)</f>
        <v>0.21513054664141359</v>
      </c>
      <c r="D7429">
        <f>LOG10(3.508728)</f>
        <v>0.54514970259053819</v>
      </c>
    </row>
    <row r="7430" spans="1:4">
      <c r="A7430">
        <v>1.664782</v>
      </c>
      <c r="B7430">
        <v>3.6792799999999999</v>
      </c>
      <c r="C7430">
        <f>LOG10(1.664782)</f>
        <v>0.22135737153866464</v>
      </c>
      <c r="D7430">
        <f>LOG10(3.67928)</f>
        <v>0.56576283970058339</v>
      </c>
    </row>
    <row r="7431" spans="1:4">
      <c r="A7431">
        <v>1.5818049999999999</v>
      </c>
      <c r="B7431">
        <v>3.55315</v>
      </c>
      <c r="C7431">
        <f>LOG10(1.581805)</f>
        <v>0.19915294398861239</v>
      </c>
      <c r="D7431">
        <f>LOG10(3.55315)</f>
        <v>0.55061354207902702</v>
      </c>
    </row>
    <row r="7432" spans="1:4">
      <c r="A7432">
        <v>1.6546590000000001</v>
      </c>
      <c r="B7432">
        <v>3.5082049999999998</v>
      </c>
      <c r="C7432">
        <f>LOG10(1.654659)</f>
        <v>0.21870850585960341</v>
      </c>
      <c r="D7432">
        <f>LOG10(3.508205)</f>
        <v>0.54508496319101529</v>
      </c>
    </row>
    <row r="7433" spans="1:4">
      <c r="A7433">
        <v>1.6313979999999999</v>
      </c>
      <c r="B7433">
        <v>3.414647</v>
      </c>
      <c r="C7433">
        <f>LOG10(1.631398)</f>
        <v>0.21255992555144518</v>
      </c>
      <c r="D7433">
        <f>LOG10(3.414647)</f>
        <v>0.53334581376393964</v>
      </c>
    </row>
    <row r="7434" spans="1:4">
      <c r="A7434">
        <v>1.608967</v>
      </c>
      <c r="B7434">
        <v>3.9682909999999998</v>
      </c>
      <c r="C7434">
        <f>LOG10(1.608967)</f>
        <v>0.20654713678711287</v>
      </c>
      <c r="D7434">
        <f>LOG10(3.968291)</f>
        <v>0.59860351203565054</v>
      </c>
    </row>
    <row r="7435" spans="1:4">
      <c r="A7435">
        <v>1.686536</v>
      </c>
      <c r="B7435">
        <v>4.2542059999999999</v>
      </c>
      <c r="C7435">
        <f>LOG10(1.686536)</f>
        <v>0.22699561586882117</v>
      </c>
      <c r="D7435">
        <f>LOG10(4.254206)</f>
        <v>0.62881851577291104</v>
      </c>
    </row>
    <row r="7436" spans="1:4">
      <c r="A7436">
        <v>1.581555</v>
      </c>
      <c r="B7436">
        <v>3.477973</v>
      </c>
      <c r="C7436">
        <f>LOG10(1.581555)</f>
        <v>0.19908429949623604</v>
      </c>
      <c r="D7436">
        <f>LOG10(3.477973)</f>
        <v>0.54132620618983152</v>
      </c>
    </row>
    <row r="7437" spans="1:4">
      <c r="A7437">
        <v>1.5871040000000001</v>
      </c>
      <c r="B7437">
        <v>3.6605620000000001</v>
      </c>
      <c r="C7437">
        <f>LOG10(1.587104)</f>
        <v>0.20060538620427654</v>
      </c>
      <c r="D7437">
        <f>LOG10(3.660562)</f>
        <v>0.56354776702331</v>
      </c>
    </row>
    <row r="7438" spans="1:4">
      <c r="A7438">
        <v>1.5854090000000001</v>
      </c>
      <c r="B7438">
        <v>3.625</v>
      </c>
      <c r="C7438">
        <f>LOG10(1.585409)</f>
        <v>0.20014131925364836</v>
      </c>
      <c r="D7438">
        <f>LOG10(3.625)</f>
        <v>0.55930801090701254</v>
      </c>
    </row>
    <row r="7439" spans="1:4">
      <c r="A7439">
        <v>1.4882679999999999</v>
      </c>
      <c r="B7439">
        <v>3.7672099999999999</v>
      </c>
      <c r="C7439">
        <f>LOG10(1.488268)</f>
        <v>0.1726811438718007</v>
      </c>
      <c r="D7439">
        <f>LOG10(3.76721)</f>
        <v>0.57601983026410297</v>
      </c>
    </row>
    <row r="7440" spans="1:4">
      <c r="A7440">
        <v>1.567007</v>
      </c>
      <c r="B7440">
        <v>3.711141</v>
      </c>
      <c r="C7440">
        <f>LOG10(1.567007)</f>
        <v>0.19507093651618629</v>
      </c>
      <c r="D7440">
        <f>LOG10(3.711141)</f>
        <v>0.5695074551191015</v>
      </c>
    </row>
    <row r="7441" spans="1:4">
      <c r="A7441">
        <v>1.5364169999999999</v>
      </c>
      <c r="B7441">
        <v>3.4473539999999998</v>
      </c>
      <c r="C7441">
        <f>LOG10(1.536417)</f>
        <v>0.18650910385980529</v>
      </c>
      <c r="D7441">
        <f>LOG10(3.447354)</f>
        <v>0.53748588229182526</v>
      </c>
    </row>
    <row r="7442" spans="1:4">
      <c r="A7442">
        <v>1.534483</v>
      </c>
      <c r="B7442">
        <v>3.5008119999999998</v>
      </c>
      <c r="C7442">
        <f>LOG10(1.534483)</f>
        <v>0.18596208139795606</v>
      </c>
      <c r="D7442">
        <f>LOG10(3.500812)</f>
        <v>0.54416878898415144</v>
      </c>
    </row>
    <row r="7443" spans="1:4">
      <c r="A7443">
        <v>1.565758</v>
      </c>
      <c r="B7443">
        <v>3.273876</v>
      </c>
      <c r="C7443">
        <f>LOG10(1.565758)</f>
        <v>0.19472463933996162</v>
      </c>
      <c r="D7443">
        <f>LOG10(3.273876)</f>
        <v>0.51506222622571152</v>
      </c>
    </row>
    <row r="7444" spans="1:4">
      <c r="A7444">
        <v>1.5931960000000001</v>
      </c>
      <c r="B7444">
        <v>3.5488309999999998</v>
      </c>
      <c r="C7444">
        <f>LOG10(1.593196)</f>
        <v>0.20226920736564319</v>
      </c>
      <c r="D7444">
        <f>LOG10(3.548831)</f>
        <v>0.55008531816556538</v>
      </c>
    </row>
    <row r="7445" spans="1:4">
      <c r="A7445">
        <v>1.4684120000000001</v>
      </c>
      <c r="B7445">
        <v>3.6786059999999998</v>
      </c>
      <c r="C7445">
        <f>LOG10(1.468412)</f>
        <v>0.16684792494151621</v>
      </c>
      <c r="D7445">
        <f>LOG10(3.678606)</f>
        <v>0.56568327486861347</v>
      </c>
    </row>
    <row r="7446" spans="1:4">
      <c r="A7446">
        <v>1.388876</v>
      </c>
      <c r="B7446">
        <v>3.5462729999999998</v>
      </c>
      <c r="C7446">
        <f>LOG10(1.388876)</f>
        <v>0.142663473297239</v>
      </c>
      <c r="D7446">
        <f>LOG10(3.546273)</f>
        <v>0.54977216550907382</v>
      </c>
    </row>
    <row r="7447" spans="1:4">
      <c r="A7447">
        <v>1.549634</v>
      </c>
      <c r="B7447">
        <v>3.6136200000000001</v>
      </c>
      <c r="C7447">
        <f>LOG10(1.549634)</f>
        <v>0.19022913652519705</v>
      </c>
      <c r="D7447">
        <f>LOG10(3.61362)</f>
        <v>0.55794248121328949</v>
      </c>
    </row>
    <row r="7448" spans="1:4">
      <c r="A7448">
        <v>1.471932</v>
      </c>
      <c r="B7448">
        <v>3.49844</v>
      </c>
      <c r="C7448">
        <f>LOG10(1.471932)</f>
        <v>0.16788774702123821</v>
      </c>
      <c r="D7448">
        <f>LOG10(3.49844)</f>
        <v>0.54387442994392499</v>
      </c>
    </row>
    <row r="7449" spans="1:4">
      <c r="A7449">
        <v>1.616536</v>
      </c>
      <c r="B7449">
        <v>3.3634940000000002</v>
      </c>
      <c r="C7449">
        <f>LOG10(1.616536)</f>
        <v>0.20858538072441199</v>
      </c>
      <c r="D7449">
        <f>LOG10(3.363494)</f>
        <v>0.52679065729926833</v>
      </c>
    </row>
    <row r="7450" spans="1:4">
      <c r="A7450">
        <v>1.4729460000000001</v>
      </c>
      <c r="B7450">
        <v>3.5349900000000001</v>
      </c>
      <c r="C7450">
        <f>LOG10(1.472946)</f>
        <v>0.16818682536815355</v>
      </c>
      <c r="D7450">
        <f>LOG10(3.53499)</f>
        <v>0.54838818957536184</v>
      </c>
    </row>
    <row r="7451" spans="1:4">
      <c r="A7451">
        <v>1.559528</v>
      </c>
      <c r="B7451">
        <v>3.5274049999999999</v>
      </c>
      <c r="C7451">
        <f>LOG10(1.559528)</f>
        <v>0.19299317655153334</v>
      </c>
      <c r="D7451">
        <f>LOG10(3.527405)</f>
        <v>0.54745532617369785</v>
      </c>
    </row>
    <row r="7452" spans="1:4">
      <c r="A7452">
        <v>1.6152709999999999</v>
      </c>
      <c r="B7452">
        <v>3.6266470000000002</v>
      </c>
      <c r="C7452">
        <f>LOG10(1.615271)</f>
        <v>0.20824539597429242</v>
      </c>
      <c r="D7452">
        <f>LOG10(3.626647)</f>
        <v>0.55950528554655132</v>
      </c>
    </row>
    <row r="7453" spans="1:4">
      <c r="A7453">
        <v>1.5259860000000001</v>
      </c>
      <c r="B7453">
        <v>3.691773</v>
      </c>
      <c r="C7453">
        <f>LOG10(1.525986)</f>
        <v>0.18355054924753975</v>
      </c>
      <c r="D7453">
        <f>LOG10(3.691773)</f>
        <v>0.56723498924492921</v>
      </c>
    </row>
    <row r="7454" spans="1:4">
      <c r="A7454">
        <v>1.1786760000000001</v>
      </c>
      <c r="B7454">
        <v>3.3173110000000001</v>
      </c>
      <c r="C7454">
        <f>LOG10(1.178676)</f>
        <v>7.1394440591211236E-2</v>
      </c>
      <c r="D7454">
        <f>LOG10(3.317311)</f>
        <v>0.52078618880993521</v>
      </c>
    </row>
    <row r="7455" spans="1:4">
      <c r="A7455">
        <v>1.3624620000000001</v>
      </c>
      <c r="B7455">
        <v>3.5620530000000001</v>
      </c>
      <c r="C7455">
        <f>LOG10(1.362462)</f>
        <v>0.13432439834651286</v>
      </c>
      <c r="D7455">
        <f>LOG10(3.562053)</f>
        <v>0.55170037706891473</v>
      </c>
    </row>
    <row r="7456" spans="1:4">
      <c r="A7456">
        <v>1.441586</v>
      </c>
      <c r="B7456">
        <v>3.0966279999999999</v>
      </c>
      <c r="C7456">
        <f>LOG10(1.441586)</f>
        <v>0.15884055599329092</v>
      </c>
      <c r="D7456">
        <f>LOG10(3.096628)</f>
        <v>0.49088903640267384</v>
      </c>
    </row>
    <row r="7457" spans="1:4">
      <c r="A7457">
        <v>1.5300739999999999</v>
      </c>
      <c r="B7457">
        <v>3.583466</v>
      </c>
      <c r="C7457">
        <f>LOG10(1.530074)</f>
        <v>0.18471243540223767</v>
      </c>
      <c r="D7457">
        <f>LOG10(3.583466)</f>
        <v>0.55430328823002273</v>
      </c>
    </row>
    <row r="7458" spans="1:4">
      <c r="A7458">
        <v>1.420787</v>
      </c>
      <c r="B7458">
        <v>3.4137119999999999</v>
      </c>
      <c r="C7458">
        <f>LOG10(1.420787)</f>
        <v>0.15252897471965113</v>
      </c>
      <c r="D7458">
        <f>LOG10(3.413712)</f>
        <v>0.53322687879197417</v>
      </c>
    </row>
    <row r="7459" spans="1:4">
      <c r="A7459">
        <v>1.371035</v>
      </c>
      <c r="B7459">
        <v>3.3066279999999999</v>
      </c>
      <c r="C7459">
        <f>LOG10(1.371035)</f>
        <v>0.13704854166978037</v>
      </c>
      <c r="D7459">
        <f>LOG10(3.306628)</f>
        <v>0.51938533896128503</v>
      </c>
    </row>
    <row r="7460" spans="1:4">
      <c r="A7460">
        <v>1.4865029999999999</v>
      </c>
      <c r="B7460">
        <v>3.247595</v>
      </c>
      <c r="C7460">
        <f>LOG10(1.486503)</f>
        <v>0.17216579001733123</v>
      </c>
      <c r="D7460">
        <f>LOG10(3.247595)</f>
        <v>0.51156186409374205</v>
      </c>
    </row>
    <row r="7461" spans="1:4">
      <c r="A7461">
        <v>1.4938530000000001</v>
      </c>
      <c r="B7461">
        <v>3.3062779999999998</v>
      </c>
      <c r="C7461">
        <f>LOG10(1.493853)</f>
        <v>0.17430786359060349</v>
      </c>
      <c r="D7461">
        <f>LOG10(3.306278)</f>
        <v>0.51933936732073605</v>
      </c>
    </row>
    <row r="7462" spans="1:4">
      <c r="A7462">
        <v>1.4950410000000001</v>
      </c>
      <c r="B7462">
        <v>3.4233090000000002</v>
      </c>
      <c r="C7462">
        <f>LOG10(1.495041)</f>
        <v>0.17465310291436081</v>
      </c>
      <c r="D7462">
        <f>LOG10(3.423309)</f>
        <v>0.53444610186594543</v>
      </c>
    </row>
    <row r="7463" spans="1:4">
      <c r="A7463">
        <v>1.475957</v>
      </c>
      <c r="B7463">
        <v>3.2883010000000001</v>
      </c>
      <c r="C7463">
        <f>LOG10(1.475957)</f>
        <v>0.1690737050922059</v>
      </c>
      <c r="D7463">
        <f>LOG10(3.288301)</f>
        <v>0.51697156454195292</v>
      </c>
    </row>
    <row r="7464" spans="1:4">
      <c r="A7464">
        <v>1.4089469999999999</v>
      </c>
      <c r="B7464">
        <v>3.382673</v>
      </c>
      <c r="C7464">
        <f>LOG10(1.408947)</f>
        <v>0.14889465667184101</v>
      </c>
      <c r="D7464">
        <f>LOG10(3.382673)</f>
        <v>0.52926001695453118</v>
      </c>
    </row>
    <row r="7465" spans="1:4">
      <c r="A7465">
        <v>1.3789070000000001</v>
      </c>
      <c r="B7465">
        <v>3.429621</v>
      </c>
      <c r="C7465">
        <f>LOG10(1.378907)</f>
        <v>0.13953497629273748</v>
      </c>
      <c r="D7465">
        <f>LOG10(3.429621)</f>
        <v>0.53524612975035968</v>
      </c>
    </row>
    <row r="7466" spans="1:4">
      <c r="A7466">
        <v>1.407117</v>
      </c>
      <c r="B7466">
        <v>3.2471000000000001</v>
      </c>
      <c r="C7466">
        <f>LOG10(1.407117)</f>
        <v>0.14833020997335866</v>
      </c>
      <c r="D7466">
        <f>LOG10(3.2471)</f>
        <v>0.5114956636735658</v>
      </c>
    </row>
    <row r="7467" spans="1:4">
      <c r="A7467">
        <v>1.295515</v>
      </c>
      <c r="B7467">
        <v>3.359836</v>
      </c>
      <c r="C7467">
        <f>LOG10(1.295515)</f>
        <v>0.11244244578924238</v>
      </c>
      <c r="D7467">
        <f>LOG10(3.359836)</f>
        <v>0.52631807916564743</v>
      </c>
    </row>
    <row r="7468" spans="1:4">
      <c r="A7468">
        <v>1.326457</v>
      </c>
      <c r="B7468">
        <v>3.431305</v>
      </c>
      <c r="C7468">
        <f>LOG10(1.326457)</f>
        <v>0.12269317594261593</v>
      </c>
      <c r="D7468">
        <f>LOG10(3.431305)</f>
        <v>0.53545932310711986</v>
      </c>
    </row>
    <row r="7469" spans="1:4">
      <c r="A7469">
        <v>1.3438399999999999</v>
      </c>
      <c r="B7469">
        <v>3.5225399999999998</v>
      </c>
      <c r="C7469">
        <f>LOG10(1.34384)</f>
        <v>0.12834756391604246</v>
      </c>
      <c r="D7469">
        <f>LOG10(3.52254)</f>
        <v>0.54685593341535954</v>
      </c>
    </row>
    <row r="7470" spans="1:4">
      <c r="A7470">
        <v>1.2636590000000001</v>
      </c>
      <c r="B7470">
        <v>3.5518360000000002</v>
      </c>
      <c r="C7470">
        <f>LOG10(1.263659)</f>
        <v>0.10162989483381392</v>
      </c>
      <c r="D7470">
        <f>LOG10(3.551836)</f>
        <v>0.55045290475877706</v>
      </c>
    </row>
    <row r="7471" spans="1:4">
      <c r="A7471">
        <v>1.335216</v>
      </c>
      <c r="B7471">
        <v>3.5840380000000001</v>
      </c>
      <c r="C7471">
        <f>LOG10(1.335216)</f>
        <v>0.12555152788784457</v>
      </c>
      <c r="D7471">
        <f>LOG10(3.584038)</f>
        <v>0.55437260565047375</v>
      </c>
    </row>
    <row r="7472" spans="1:4">
      <c r="A7472">
        <v>1.342552</v>
      </c>
      <c r="B7472">
        <v>3.706556</v>
      </c>
      <c r="C7472">
        <f>LOG10(1.342552)</f>
        <v>0.12793111588049641</v>
      </c>
      <c r="D7472">
        <f>LOG10(3.706556)</f>
        <v>0.56897056598676754</v>
      </c>
    </row>
    <row r="7473" spans="1:4">
      <c r="A7473">
        <v>1.176256</v>
      </c>
      <c r="B7473">
        <v>3.6399720000000002</v>
      </c>
      <c r="C7473">
        <f>LOG10(1.176256)</f>
        <v>7.0501851746892899E-2</v>
      </c>
      <c r="D7473">
        <f>LOG10(3.639972)</f>
        <v>0.56109804290942311</v>
      </c>
    </row>
    <row r="7474" spans="1:4">
      <c r="A7474">
        <v>1.1388529999999999</v>
      </c>
      <c r="B7474">
        <v>3.7531219999999998</v>
      </c>
      <c r="C7474">
        <f>LOG10(1.138853)</f>
        <v>5.6467670164358323E-2</v>
      </c>
      <c r="D7474">
        <f>LOG10(3.753122)</f>
        <v>0.57439268193656434</v>
      </c>
    </row>
    <row r="7475" spans="1:4">
      <c r="A7475">
        <v>1.1828050000000001</v>
      </c>
      <c r="B7475">
        <v>3.6417359999999999</v>
      </c>
      <c r="C7475">
        <f>LOG10(1.182805)</f>
        <v>7.2913151724742775E-2</v>
      </c>
      <c r="D7475">
        <f>LOG10(3.641736)</f>
        <v>0.56130845933399365</v>
      </c>
    </row>
    <row r="7476" spans="1:4">
      <c r="A7476">
        <v>1.1727590000000001</v>
      </c>
      <c r="B7476">
        <v>3.7802929999999999</v>
      </c>
      <c r="C7476">
        <f>LOG10(1.172759)</f>
        <v>6.9208774499468176E-2</v>
      </c>
      <c r="D7476">
        <f>LOG10(3.780293)</f>
        <v>0.57752546209959044</v>
      </c>
    </row>
    <row r="7477" spans="1:4">
      <c r="A7477">
        <v>1.1982159999999999</v>
      </c>
      <c r="B7477">
        <v>3.7482500000000001</v>
      </c>
      <c r="C7477">
        <f>LOG10(1.198216)</f>
        <v>7.8535114507656587E-2</v>
      </c>
      <c r="D7477">
        <f>LOG10(3.74825)</f>
        <v>0.57382854966493624</v>
      </c>
    </row>
    <row r="7478" spans="1:4">
      <c r="A7478">
        <v>1.1894400000000001</v>
      </c>
      <c r="B7478">
        <v>3.5361060000000002</v>
      </c>
      <c r="C7478">
        <f>LOG10(1.18944)</f>
        <v>7.534253941563189E-2</v>
      </c>
      <c r="D7478">
        <f>LOG10(3.536106)</f>
        <v>0.54852527515469163</v>
      </c>
    </row>
    <row r="7479" spans="1:4">
      <c r="A7479">
        <v>1.1454770000000001</v>
      </c>
      <c r="B7479">
        <v>3.8840110000000001</v>
      </c>
      <c r="C7479">
        <f>LOG10(1.145477)</f>
        <v>5.8986373426450613E-2</v>
      </c>
      <c r="D7479">
        <f>LOG10(3.884011)</f>
        <v>0.58928045121344819</v>
      </c>
    </row>
    <row r="7480" spans="1:4">
      <c r="A7480">
        <v>1.2190190000000001</v>
      </c>
      <c r="B7480">
        <v>3.5446339999999998</v>
      </c>
      <c r="C7480">
        <f>LOG10(1.219019)</f>
        <v>8.6010474716700161E-2</v>
      </c>
      <c r="D7480">
        <f>LOG10(3.544634)</f>
        <v>0.5495713989023433</v>
      </c>
    </row>
    <row r="7481" spans="1:4">
      <c r="A7481">
        <v>1.2393609999999999</v>
      </c>
      <c r="B7481">
        <v>3.8866290000000001</v>
      </c>
      <c r="C7481">
        <f>LOG10(1.239361)</f>
        <v>9.3197825724193814E-2</v>
      </c>
      <c r="D7481">
        <f>LOG10(3.886629)</f>
        <v>0.58957308682560927</v>
      </c>
    </row>
    <row r="7482" spans="1:4">
      <c r="A7482">
        <v>1.1665410000000001</v>
      </c>
      <c r="B7482">
        <v>3.6578240000000002</v>
      </c>
      <c r="C7482">
        <f>LOG10(1.166541)</f>
        <v>6.6900007391102356E-2</v>
      </c>
      <c r="D7482">
        <f>LOG10(3.657824)</f>
        <v>0.56322280511314815</v>
      </c>
    </row>
    <row r="7483" spans="1:4">
      <c r="A7483">
        <v>1.1258570000000001</v>
      </c>
      <c r="B7483">
        <v>3.5840550000000002</v>
      </c>
      <c r="C7483">
        <f>LOG10(1.125857)</f>
        <v>5.1483232384952719E-2</v>
      </c>
      <c r="D7483">
        <f>LOG10(3.584055)</f>
        <v>0.55437466561431414</v>
      </c>
    </row>
    <row r="7484" spans="1:4">
      <c r="A7484">
        <v>1.1430560000000001</v>
      </c>
      <c r="B7484">
        <v>3.7568410000000001</v>
      </c>
      <c r="C7484">
        <f>LOG10(1.143056)</f>
        <v>5.8067507643950605E-2</v>
      </c>
      <c r="D7484">
        <f>LOG10(3.756841)</f>
        <v>0.574822814897333</v>
      </c>
    </row>
    <row r="7485" spans="1:4">
      <c r="A7485">
        <v>1.122492</v>
      </c>
      <c r="B7485">
        <v>3.908331</v>
      </c>
      <c r="C7485">
        <f>LOG10(1.122492)</f>
        <v>5.0183254469805288E-2</v>
      </c>
      <c r="D7485">
        <f>LOG10(3.908331)</f>
        <v>0.59199133738709331</v>
      </c>
    </row>
    <row r="7486" spans="1:4">
      <c r="A7486">
        <v>1.1327529999999999</v>
      </c>
      <c r="B7486">
        <v>3.7588490000000001</v>
      </c>
      <c r="C7486">
        <f>LOG10(1.132753)</f>
        <v>5.4135221044752768E-2</v>
      </c>
      <c r="D7486">
        <f>LOG10(3.758849)</f>
        <v>0.57505487964199686</v>
      </c>
    </row>
    <row r="7487" spans="1:4">
      <c r="A7487">
        <v>1.178776</v>
      </c>
      <c r="B7487">
        <v>3.7983959999999999</v>
      </c>
      <c r="C7487">
        <f>LOG10(1.178776)</f>
        <v>7.1431284987802449E-2</v>
      </c>
      <c r="D7487">
        <f>LOG10(3.798396)</f>
        <v>0.57960023992960397</v>
      </c>
    </row>
    <row r="7488" spans="1:4">
      <c r="A7488">
        <v>1.2118230000000001</v>
      </c>
      <c r="B7488">
        <v>3.9238900000000001</v>
      </c>
      <c r="C7488">
        <f>LOG10(1.211823)</f>
        <v>8.3439191004455057E-2</v>
      </c>
      <c r="D7488">
        <f>LOG10(3.92389)</f>
        <v>0.59371682412518545</v>
      </c>
    </row>
    <row r="7489" spans="1:4">
      <c r="A7489">
        <v>1.205959</v>
      </c>
      <c r="B7489">
        <v>3.8558870000000001</v>
      </c>
      <c r="C7489">
        <f>LOG10(1.205959)</f>
        <v>8.1332542981214909E-2</v>
      </c>
      <c r="D7489">
        <f>LOG10(3.855887)</f>
        <v>0.58612429805352551</v>
      </c>
    </row>
    <row r="7490" spans="1:4">
      <c r="A7490">
        <v>1.176223</v>
      </c>
      <c r="B7490">
        <v>3.7898849999999999</v>
      </c>
      <c r="C7490">
        <f>LOG10(1.176223)</f>
        <v>7.0489667393363084E-2</v>
      </c>
      <c r="D7490">
        <f>LOG10(3.789885)</f>
        <v>0.57862603196723916</v>
      </c>
    </row>
    <row r="7491" spans="1:4">
      <c r="A7491">
        <v>1.1606810000000001</v>
      </c>
      <c r="B7491">
        <v>3.8431259999999998</v>
      </c>
      <c r="C7491">
        <f>LOG10(1.160681)</f>
        <v>6.4712875228627009E-2</v>
      </c>
      <c r="D7491">
        <f>LOG10(3.843126)</f>
        <v>0.58468462339426597</v>
      </c>
    </row>
    <row r="7492" spans="1:4">
      <c r="A7492">
        <v>1.165235</v>
      </c>
      <c r="B7492">
        <v>3.809564</v>
      </c>
      <c r="C7492">
        <f>LOG10(1.165235)</f>
        <v>6.6413520993888864E-2</v>
      </c>
      <c r="D7492">
        <f>LOG10(3.809564)</f>
        <v>0.58087527404063954</v>
      </c>
    </row>
    <row r="7493" spans="1:4">
      <c r="A7493">
        <v>1.196836</v>
      </c>
      <c r="B7493">
        <v>3.3959820000000001</v>
      </c>
      <c r="C7493">
        <f>LOG10(1.196836)</f>
        <v>7.8034643994823946E-2</v>
      </c>
      <c r="D7493">
        <f>LOG10(3.395982)</f>
        <v>0.53096537965159951</v>
      </c>
    </row>
    <row r="7494" spans="1:4">
      <c r="A7494">
        <v>1.184847</v>
      </c>
      <c r="B7494">
        <v>3.5941459999999998</v>
      </c>
      <c r="C7494">
        <f>LOG10(1.184847)</f>
        <v>7.366227326112644E-2</v>
      </c>
      <c r="D7494">
        <f>LOG10(3.594146)</f>
        <v>0.55559571487270276</v>
      </c>
    </row>
    <row r="7495" spans="1:4">
      <c r="A7495">
        <v>1.168121</v>
      </c>
      <c r="B7495">
        <v>3.5909800000000001</v>
      </c>
      <c r="C7495">
        <f>LOG10(1.168121)</f>
        <v>6.7487831569647189E-2</v>
      </c>
      <c r="D7495">
        <f>LOG10(3.59098)</f>
        <v>0.55521298632523042</v>
      </c>
    </row>
    <row r="7496" spans="1:4">
      <c r="A7496">
        <v>1.1654329999999999</v>
      </c>
      <c r="B7496">
        <v>3.5555400000000001</v>
      </c>
      <c r="C7496">
        <f>LOG10(1.165433)</f>
        <v>6.6487311261420476E-2</v>
      </c>
      <c r="D7496">
        <f>LOG10(3.55554)</f>
        <v>0.55090556883806641</v>
      </c>
    </row>
    <row r="7497" spans="1:4">
      <c r="A7497">
        <v>1.1045529999999999</v>
      </c>
      <c r="B7497">
        <v>3.6707399999999999</v>
      </c>
      <c r="C7497">
        <f>LOG10(1.104553)</f>
        <v>4.3186559551322119E-2</v>
      </c>
      <c r="D7497">
        <f>LOG10(3.67074)</f>
        <v>0.56475362433940945</v>
      </c>
    </row>
    <row r="7498" spans="1:4">
      <c r="A7498">
        <v>1.1557230000000001</v>
      </c>
      <c r="B7498">
        <v>3.6505709999999998</v>
      </c>
      <c r="C7498">
        <f>LOG10(1.155723)</f>
        <v>6.2853756241219402E-2</v>
      </c>
      <c r="D7498">
        <f>LOG10(3.650571)</f>
        <v>0.56236079945763351</v>
      </c>
    </row>
    <row r="7499" spans="1:4">
      <c r="A7499">
        <v>1.1594530000000001</v>
      </c>
      <c r="B7499">
        <v>3.7830530000000002</v>
      </c>
      <c r="C7499">
        <f>LOG10(1.159453)</f>
        <v>6.425314861492494E-2</v>
      </c>
      <c r="D7499">
        <f>LOG10(3.783053)</f>
        <v>0.57784242573533029</v>
      </c>
    </row>
    <row r="7500" spans="1:4">
      <c r="A7500">
        <v>1.1196170000000001</v>
      </c>
      <c r="B7500">
        <v>3.7899609999999999</v>
      </c>
      <c r="C7500">
        <f>LOG10(1.119617)</f>
        <v>4.9069484068991864E-2</v>
      </c>
      <c r="D7500">
        <f>LOG10(3.789961)</f>
        <v>0.57863474095172929</v>
      </c>
    </row>
    <row r="7501" spans="1:4">
      <c r="A7501">
        <v>1.1229880000000001</v>
      </c>
      <c r="B7501">
        <v>3.7618670000000001</v>
      </c>
      <c r="C7501">
        <f>LOG10(1.122988)</f>
        <v>5.0375115512012243E-2</v>
      </c>
      <c r="D7501">
        <f>LOG10(3.761867)</f>
        <v>0.57540343709762753</v>
      </c>
    </row>
    <row r="7502" spans="1:4">
      <c r="A7502">
        <v>1.0999730000000001</v>
      </c>
      <c r="B7502">
        <v>3.691163</v>
      </c>
      <c r="C7502">
        <f>LOG10(1.099973)</f>
        <v>4.1382025071931311E-2</v>
      </c>
      <c r="D7502">
        <f>LOG10(3.691163)</f>
        <v>0.56716322385658935</v>
      </c>
    </row>
    <row r="7503" spans="1:4">
      <c r="A7503">
        <v>1.178067</v>
      </c>
      <c r="B7503">
        <v>3.5777000000000001</v>
      </c>
      <c r="C7503">
        <f>LOG10(1.178067)</f>
        <v>7.1169990708159866E-2</v>
      </c>
      <c r="D7503">
        <f>LOG10(3.5777)</f>
        <v>0.55360392096949373</v>
      </c>
    </row>
    <row r="7504" spans="1:4">
      <c r="A7504">
        <v>1.161937</v>
      </c>
      <c r="B7504">
        <v>3.6417540000000002</v>
      </c>
      <c r="C7504">
        <f>LOG10(1.161937)</f>
        <v>6.5182581329623082E-2</v>
      </c>
      <c r="D7504">
        <f>LOG10(3.641754)</f>
        <v>0.56131060591500759</v>
      </c>
    </row>
    <row r="7505" spans="1:4">
      <c r="A7505">
        <v>1.233284</v>
      </c>
      <c r="B7505">
        <v>3.7255790000000002</v>
      </c>
      <c r="C7505">
        <f>LOG10(1.233284)</f>
        <v>9.1063097220611594E-2</v>
      </c>
      <c r="D7505">
        <f>LOG10(3.725579)</f>
        <v>0.57119377694050488</v>
      </c>
    </row>
    <row r="7506" spans="1:4">
      <c r="A7506">
        <v>1.172768</v>
      </c>
      <c r="B7506">
        <v>3.6286369999999999</v>
      </c>
      <c r="C7506">
        <f>LOG10(1.172768)</f>
        <v>6.9212107354163194E-2</v>
      </c>
      <c r="D7506">
        <f>LOG10(3.628637)</f>
        <v>0.55974352461221988</v>
      </c>
    </row>
    <row r="7507" spans="1:4">
      <c r="A7507">
        <v>1.189873</v>
      </c>
      <c r="B7507">
        <v>3.7665540000000002</v>
      </c>
      <c r="C7507">
        <f>LOG10(1.189873)</f>
        <v>7.5500609844146388E-2</v>
      </c>
      <c r="D7507">
        <f>LOG10(3.766554)</f>
        <v>0.57594419816815512</v>
      </c>
    </row>
    <row r="7508" spans="1:4">
      <c r="A7508">
        <v>1.167638</v>
      </c>
      <c r="B7508">
        <v>3.6358030000000001</v>
      </c>
      <c r="C7508">
        <f>LOG10(1.167638)</f>
        <v>6.7308220370247668E-2</v>
      </c>
      <c r="D7508">
        <f>LOG10(3.635803)</f>
        <v>0.56060034365588451</v>
      </c>
    </row>
    <row r="7509" spans="1:4">
      <c r="A7509">
        <v>1.146218</v>
      </c>
      <c r="B7509">
        <v>3.653127</v>
      </c>
      <c r="C7509">
        <f>LOG10(1.146218)</f>
        <v>5.926722425721595E-2</v>
      </c>
      <c r="D7509">
        <f>LOG10(3.653127)</f>
        <v>0.56266477060788134</v>
      </c>
    </row>
    <row r="7510" spans="1:4">
      <c r="A7510">
        <v>1.2612239999999999</v>
      </c>
      <c r="B7510">
        <v>3.7219150000000001</v>
      </c>
      <c r="C7510">
        <f>LOG10(1.261224)</f>
        <v>0.10079222640221817</v>
      </c>
      <c r="D7510">
        <f>LOG10(3.721915)</f>
        <v>0.57076645061836839</v>
      </c>
    </row>
    <row r="7511" spans="1:4">
      <c r="A7511">
        <v>1.317258</v>
      </c>
      <c r="B7511">
        <v>3.4249700000000001</v>
      </c>
      <c r="C7511">
        <f>LOG10(1.317258)</f>
        <v>0.11967084481954969</v>
      </c>
      <c r="D7511">
        <f>LOG10(3.42497)</f>
        <v>0.53465677177252668</v>
      </c>
    </row>
    <row r="7512" spans="1:4">
      <c r="A7512">
        <v>1.352317</v>
      </c>
      <c r="B7512">
        <v>3.4798939999999998</v>
      </c>
      <c r="C7512">
        <f>LOG10(1.352317)</f>
        <v>0.13107850759197812</v>
      </c>
      <c r="D7512">
        <f>LOG10(3.479894)</f>
        <v>0.54156601523502712</v>
      </c>
    </row>
    <row r="7513" spans="1:4">
      <c r="A7513">
        <v>1.3457159999999999</v>
      </c>
      <c r="B7513">
        <v>3.2442299999999999</v>
      </c>
      <c r="C7513">
        <f>LOG10(1.345716)</f>
        <v>0.12895341601964636</v>
      </c>
      <c r="D7513">
        <f>LOG10(3.24423)</f>
        <v>0.5111116359799257</v>
      </c>
    </row>
    <row r="7514" spans="1:4">
      <c r="A7514">
        <v>1.3415170000000001</v>
      </c>
      <c r="B7514">
        <v>3.1471800000000001</v>
      </c>
      <c r="C7514">
        <f>LOG10(1.341517)</f>
        <v>0.12759618051851512</v>
      </c>
      <c r="D7514">
        <f>LOG10(3.14718)</f>
        <v>0.49792158268798492</v>
      </c>
    </row>
    <row r="7515" spans="1:4">
      <c r="A7515">
        <v>1.3490660000000001</v>
      </c>
      <c r="B7515">
        <v>3.1694900000000001</v>
      </c>
      <c r="C7515">
        <f>LOG10(1.349066)</f>
        <v>0.13003319706600905</v>
      </c>
      <c r="D7515">
        <f>LOG10(3.16949)</f>
        <v>0.50098938587556985</v>
      </c>
    </row>
    <row r="7516" spans="1:4">
      <c r="A7516">
        <v>1.4155690000000001</v>
      </c>
      <c r="B7516">
        <v>3.1876899999999999</v>
      </c>
      <c r="C7516">
        <f>LOG10(1.415569)</f>
        <v>0.1509310433153257</v>
      </c>
      <c r="D7516">
        <f>LOG10(3.18769)</f>
        <v>0.50347608002785016</v>
      </c>
    </row>
    <row r="7517" spans="1:4">
      <c r="A7517">
        <v>1.442313</v>
      </c>
      <c r="B7517">
        <v>3.1831290000000001</v>
      </c>
      <c r="C7517">
        <f>LOG10(1.442313)</f>
        <v>0.15905951795765358</v>
      </c>
      <c r="D7517">
        <f>LOG10(3.183129)</f>
        <v>0.50285423926597062</v>
      </c>
    </row>
    <row r="7518" spans="1:4">
      <c r="A7518">
        <v>1.448909</v>
      </c>
      <c r="B7518">
        <v>3.3477329999999998</v>
      </c>
      <c r="C7518">
        <f>LOG10(1.448909)</f>
        <v>0.16104111008201213</v>
      </c>
      <c r="D7518">
        <f>LOG10(3.347733)</f>
        <v>0.52475081334433094</v>
      </c>
    </row>
    <row r="7519" spans="1:4">
      <c r="A7519">
        <v>1.4704729999999999</v>
      </c>
      <c r="B7519">
        <v>3.1962980000000001</v>
      </c>
      <c r="C7519">
        <f>LOG10(1.470473)</f>
        <v>0.16745705464474511</v>
      </c>
      <c r="D7519">
        <f>LOG10(3.196298)</f>
        <v>0.50464726304568741</v>
      </c>
    </row>
    <row r="7520" spans="1:4">
      <c r="A7520">
        <v>1.4586319999999999</v>
      </c>
      <c r="B7520">
        <v>3.1672470000000001</v>
      </c>
      <c r="C7520">
        <f>LOG10(1.458632)</f>
        <v>0.16394573704199131</v>
      </c>
      <c r="D7520">
        <f>LOG10(3.167247)</f>
        <v>0.50068193345531242</v>
      </c>
    </row>
    <row r="7521" spans="1:4">
      <c r="A7521">
        <v>1.4665550000000001</v>
      </c>
      <c r="B7521">
        <v>3.0944880000000001</v>
      </c>
      <c r="C7521">
        <f>LOG10(1.466555)</f>
        <v>0.1662983549051143</v>
      </c>
      <c r="D7521">
        <f>LOG10(3.094488)</f>
        <v>0.4905888028976686</v>
      </c>
    </row>
    <row r="7522" spans="1:4">
      <c r="A7522">
        <v>1.308875</v>
      </c>
      <c r="B7522">
        <v>3.3628260000000001</v>
      </c>
      <c r="C7522">
        <f>LOG10(1.308875)</f>
        <v>0.11689817259934165</v>
      </c>
      <c r="D7522">
        <f>LOG10(3.362826)</f>
        <v>0.52670439654602874</v>
      </c>
    </row>
    <row r="7523" spans="1:4">
      <c r="A7523">
        <v>1.3423659999999999</v>
      </c>
      <c r="B7523">
        <v>3.5017960000000001</v>
      </c>
      <c r="C7523">
        <f>LOG10(1.342366)</f>
        <v>0.12787094363407159</v>
      </c>
      <c r="D7523">
        <f>LOG10(3.501796)</f>
        <v>0.54429084230285951</v>
      </c>
    </row>
    <row r="7524" spans="1:4">
      <c r="A7524">
        <v>1.326373</v>
      </c>
      <c r="B7524">
        <v>3.2821380000000002</v>
      </c>
      <c r="C7524">
        <f>LOG10(1.326373)</f>
        <v>0.12266567268270705</v>
      </c>
      <c r="D7524">
        <f>LOG10(3.282138)</f>
        <v>0.51615683734429207</v>
      </c>
    </row>
    <row r="7525" spans="1:4">
      <c r="A7525">
        <v>1.3778630000000001</v>
      </c>
      <c r="B7525">
        <v>3.4429690000000002</v>
      </c>
      <c r="C7525">
        <f>LOG10(1.377863)</f>
        <v>0.13920603810726517</v>
      </c>
      <c r="D7525">
        <f>LOG10(3.442969)</f>
        <v>0.53693311239693353</v>
      </c>
    </row>
    <row r="7526" spans="1:4">
      <c r="A7526">
        <v>1.485006</v>
      </c>
      <c r="B7526">
        <v>3.7735319999999999</v>
      </c>
      <c r="C7526">
        <f>LOG10(1.485006)</f>
        <v>0.17172820837486569</v>
      </c>
      <c r="D7526">
        <f>LOG10(3.773532)</f>
        <v>0.57674803721187295</v>
      </c>
    </row>
    <row r="7527" spans="1:4">
      <c r="A7527">
        <v>1.5704020000000001</v>
      </c>
      <c r="B7527">
        <v>4.6032979999999997</v>
      </c>
      <c r="C7527">
        <f>LOG10(1.570402)</f>
        <v>0.19601083969205851</v>
      </c>
      <c r="D7527">
        <f>LOG10(4.603298)</f>
        <v>0.66306909037658235</v>
      </c>
    </row>
    <row r="7528" spans="1:4">
      <c r="A7528">
        <v>1.583647</v>
      </c>
      <c r="B7528">
        <v>4.8093079999999997</v>
      </c>
      <c r="C7528">
        <f>LOG10(1.583647)</f>
        <v>0.19965838240686051</v>
      </c>
      <c r="D7528">
        <f>LOG10(4.809308)</f>
        <v>0.68208259125910298</v>
      </c>
    </row>
    <row r="7529" spans="1:4">
      <c r="A7529">
        <v>1.509206</v>
      </c>
      <c r="B7529">
        <v>4.9906839999999999</v>
      </c>
      <c r="C7529">
        <f>LOG10(1.509206)</f>
        <v>0.17874852311371256</v>
      </c>
      <c r="D7529">
        <f>LOG10(4.990684)</f>
        <v>0.69816007208993003</v>
      </c>
    </row>
    <row r="7530" spans="1:4">
      <c r="A7530">
        <v>1.5497719999999999</v>
      </c>
      <c r="B7530">
        <v>5.259055</v>
      </c>
      <c r="C7530">
        <f>LOG10(1.549772)</f>
        <v>0.19026781015397767</v>
      </c>
      <c r="D7530">
        <f>LOG10(5.259055)</f>
        <v>0.72090771275519561</v>
      </c>
    </row>
    <row r="7531" spans="1:4">
      <c r="A7531">
        <v>1.5288280000000001</v>
      </c>
      <c r="B7531">
        <v>4.7970959999999998</v>
      </c>
      <c r="C7531">
        <f>LOG10(1.528828)</f>
        <v>0.18435862808550768</v>
      </c>
      <c r="D7531">
        <f>LOG10(4.797096)</f>
        <v>0.68097840970064483</v>
      </c>
    </row>
    <row r="7532" spans="1:4">
      <c r="A7532">
        <v>1.4882230000000001</v>
      </c>
      <c r="B7532">
        <v>4.7559480000000001</v>
      </c>
      <c r="C7532">
        <f>LOG10(1.488223)</f>
        <v>0.17266801213265748</v>
      </c>
      <c r="D7532">
        <f>LOG10(4.755948)</f>
        <v>0.67723709753695716</v>
      </c>
    </row>
    <row r="7533" spans="1:4">
      <c r="A7533">
        <v>1.5733330000000001</v>
      </c>
      <c r="B7533">
        <v>4.7801340000000003</v>
      </c>
      <c r="C7533">
        <f>LOG10(1.573333)</f>
        <v>0.19682065190287285</v>
      </c>
      <c r="D7533">
        <f>LOG10(4.780134)</f>
        <v>0.6794400712240185</v>
      </c>
    </row>
    <row r="7534" spans="1:4">
      <c r="A7534">
        <v>1.5381419999999999</v>
      </c>
      <c r="B7534">
        <v>4.7733629999999998</v>
      </c>
      <c r="C7534">
        <f>LOG10(1.538142)</f>
        <v>0.18699643102437799</v>
      </c>
      <c r="D7534">
        <f>LOG10(4.773363)</f>
        <v>0.67882446242038497</v>
      </c>
    </row>
    <row r="7535" spans="1:4">
      <c r="A7535">
        <v>1.5792330000000001</v>
      </c>
      <c r="B7535">
        <v>4.7826310000000003</v>
      </c>
      <c r="C7535">
        <f>LOG10(1.579233)</f>
        <v>0.19844621053336448</v>
      </c>
      <c r="D7535">
        <f>LOG10(4.782631)</f>
        <v>0.67966687452744767</v>
      </c>
    </row>
    <row r="7536" spans="1:4">
      <c r="A7536">
        <v>1.761798</v>
      </c>
      <c r="B7536">
        <v>4.9177249999999999</v>
      </c>
      <c r="C7536">
        <f>LOG10(1.761798)</f>
        <v>0.24595611263767733</v>
      </c>
      <c r="D7536">
        <f>LOG10(4.917725)</f>
        <v>0.69176423926203923</v>
      </c>
    </row>
    <row r="7537" spans="1:4">
      <c r="A7537">
        <v>1.727935</v>
      </c>
      <c r="B7537">
        <v>4.5612620000000001</v>
      </c>
      <c r="C7537">
        <f>LOG10(1.727935)</f>
        <v>0.23752740152697918</v>
      </c>
      <c r="D7537">
        <f>LOG10(4.561262)</f>
        <v>0.65908501893821358</v>
      </c>
    </row>
    <row r="7538" spans="1:4">
      <c r="A7538">
        <v>1.5778160000000001</v>
      </c>
      <c r="B7538">
        <v>4.5653420000000002</v>
      </c>
      <c r="C7538">
        <f>LOG10(1.577816)</f>
        <v>0.1980563557530417</v>
      </c>
      <c r="D7538">
        <f>LOG10(4.565342)</f>
        <v>0.65947331706185397</v>
      </c>
    </row>
    <row r="7539" spans="1:4">
      <c r="A7539">
        <v>1.6328469999999999</v>
      </c>
      <c r="B7539">
        <v>4.6669520000000002</v>
      </c>
      <c r="C7539">
        <f>LOG10(1.632847)</f>
        <v>0.21294549265539195</v>
      </c>
      <c r="D7539">
        <f>LOG10(4.666952)</f>
        <v>0.66903333415227972</v>
      </c>
    </row>
    <row r="7540" spans="1:4">
      <c r="A7540">
        <v>1.5758650000000001</v>
      </c>
      <c r="B7540">
        <v>4.6250780000000002</v>
      </c>
      <c r="C7540">
        <f>LOG10(1.575865)</f>
        <v>0.19751900993887297</v>
      </c>
      <c r="D7540">
        <f>LOG10(4.625078)</f>
        <v>0.66511906133103915</v>
      </c>
    </row>
    <row r="7541" spans="1:4">
      <c r="A7541">
        <v>1.755242</v>
      </c>
      <c r="B7541">
        <v>4.5292250000000003</v>
      </c>
      <c r="C7541">
        <f>LOG10(1.755242)</f>
        <v>0.24433700229422267</v>
      </c>
      <c r="D7541">
        <f>LOG10(4.529225)</f>
        <v>0.65602389582785559</v>
      </c>
    </row>
    <row r="7542" spans="1:4">
      <c r="A7542">
        <v>1.378317</v>
      </c>
      <c r="B7542">
        <v>4.5209080000000004</v>
      </c>
      <c r="C7542">
        <f>LOG10(1.378317)</f>
        <v>0.13934911272254236</v>
      </c>
      <c r="D7542">
        <f>LOG10(4.520908)</f>
        <v>0.65522566927741011</v>
      </c>
    </row>
    <row r="7543" spans="1:4">
      <c r="A7543">
        <v>1.579272</v>
      </c>
      <c r="B7543">
        <v>4.4289909999999999</v>
      </c>
      <c r="C7543">
        <f>LOG10(1.579272)</f>
        <v>0.19845693553446156</v>
      </c>
      <c r="D7543">
        <f>LOG10(4.428991)</f>
        <v>0.6463047977708033</v>
      </c>
    </row>
    <row r="7544" spans="1:4">
      <c r="A7544">
        <v>1.682285</v>
      </c>
      <c r="B7544">
        <v>4.3982020000000004</v>
      </c>
      <c r="C7544">
        <f>LOG10(1.682285)</f>
        <v>0.22589957258099505</v>
      </c>
      <c r="D7544">
        <f>LOG10(4.398202)</f>
        <v>0.64327517169842918</v>
      </c>
    </row>
    <row r="7545" spans="1:4">
      <c r="A7545">
        <v>1.6290089999999999</v>
      </c>
      <c r="B7545">
        <v>4.6281119999999998</v>
      </c>
      <c r="C7545">
        <f>LOG10(1.629009)</f>
        <v>0.21192348371890826</v>
      </c>
      <c r="D7545">
        <f>LOG10(4.628112)</f>
        <v>0.66540386030421805</v>
      </c>
    </row>
    <row r="7546" spans="1:4">
      <c r="A7546">
        <v>1.515048</v>
      </c>
      <c r="B7546">
        <v>4.5590520000000003</v>
      </c>
      <c r="C7546">
        <f>LOG10(1.515048)</f>
        <v>0.1804263924455202</v>
      </c>
      <c r="D7546">
        <f>LOG10(4.559052)</f>
        <v>0.65887454574095494</v>
      </c>
    </row>
    <row r="7547" spans="1:4">
      <c r="A7547">
        <v>1.549752</v>
      </c>
      <c r="B7547">
        <v>4.541703</v>
      </c>
      <c r="C7547">
        <f>LOG10(1.549752)</f>
        <v>0.19026220549362458</v>
      </c>
      <c r="D7547">
        <f>LOG10(4.541703)</f>
        <v>0.65721873057097546</v>
      </c>
    </row>
    <row r="7548" spans="1:4">
      <c r="A7548">
        <v>1.6301939999999999</v>
      </c>
      <c r="B7548">
        <v>4.3221170000000004</v>
      </c>
      <c r="C7548">
        <f>LOG10(1.630194)</f>
        <v>0.21223929036472494</v>
      </c>
      <c r="D7548">
        <f>LOG10(4.322117)</f>
        <v>0.63569651908739566</v>
      </c>
    </row>
    <row r="7549" spans="1:4">
      <c r="A7549">
        <v>1.510022</v>
      </c>
      <c r="B7549">
        <v>4.3495460000000001</v>
      </c>
      <c r="C7549">
        <f>LOG10(1.510022)</f>
        <v>0.17898327471634851</v>
      </c>
      <c r="D7549">
        <f>LOG10(4.349546)</f>
        <v>0.63844392822254881</v>
      </c>
    </row>
    <row r="7550" spans="1:4">
      <c r="A7550">
        <v>1.5571520000000001</v>
      </c>
      <c r="B7550">
        <v>4.3343299999999996</v>
      </c>
      <c r="C7550">
        <f>LOG10(1.557152)</f>
        <v>0.19233100790482946</v>
      </c>
      <c r="D7550">
        <f>LOG10(4.33433)</f>
        <v>0.63692197383268401</v>
      </c>
    </row>
    <row r="7551" spans="1:4">
      <c r="A7551">
        <v>1.425006</v>
      </c>
      <c r="B7551">
        <v>4.507835</v>
      </c>
      <c r="C7551">
        <f>LOG10(1.425006)</f>
        <v>0.15381669294902417</v>
      </c>
      <c r="D7551">
        <f>LOG10(4.507835)</f>
        <v>0.65396801121147896</v>
      </c>
    </row>
    <row r="7552" spans="1:4">
      <c r="A7552">
        <v>1.3938740000000001</v>
      </c>
      <c r="B7552">
        <v>4.459187</v>
      </c>
      <c r="C7552">
        <f>LOG10(1.393874)</f>
        <v>0.14422351724985483</v>
      </c>
      <c r="D7552">
        <f>LOG10(4.459187)</f>
        <v>0.64925568525950206</v>
      </c>
    </row>
    <row r="7553" spans="1:4">
      <c r="A7553">
        <v>1.353092</v>
      </c>
      <c r="B7553">
        <v>3.3378040000000002</v>
      </c>
      <c r="C7553">
        <f>LOG10(1.353092)</f>
        <v>0.1313273263344911</v>
      </c>
      <c r="D7553">
        <f>LOG10(3.337804)</f>
        <v>0.52346083078012706</v>
      </c>
    </row>
    <row r="7554" spans="1:4">
      <c r="A7554">
        <v>1.2926569999999999</v>
      </c>
      <c r="B7554">
        <v>3.3460760000000001</v>
      </c>
      <c r="C7554">
        <f>LOG10(1.292657)</f>
        <v>0.11148330232135653</v>
      </c>
      <c r="D7554">
        <f>LOG10(3.346076)</f>
        <v>0.52453580094370444</v>
      </c>
    </row>
    <row r="7555" spans="1:4">
      <c r="A7555">
        <v>1.374557</v>
      </c>
      <c r="B7555">
        <v>3.1871619999999998</v>
      </c>
      <c r="C7555">
        <f>LOG10(1.374557)</f>
        <v>0.13816275383550536</v>
      </c>
      <c r="D7555">
        <f>LOG10(3.187162)</f>
        <v>0.50340413875392898</v>
      </c>
    </row>
    <row r="7556" spans="1:4">
      <c r="A7556">
        <v>1.3423160000000001</v>
      </c>
      <c r="B7556">
        <v>3.2203750000000002</v>
      </c>
      <c r="C7556">
        <f>LOG10(1.342316)</f>
        <v>0.1278547668771241</v>
      </c>
      <c r="D7556">
        <f>LOG10(3.220375)</f>
        <v>0.50790644652443884</v>
      </c>
    </row>
    <row r="7557" spans="1:4">
      <c r="A7557">
        <v>1.330611</v>
      </c>
      <c r="B7557">
        <v>3.3451780000000002</v>
      </c>
      <c r="C7557">
        <f>LOG10(1.330611)</f>
        <v>0.12405110938475947</v>
      </c>
      <c r="D7557">
        <f>LOG10(3.345178)</f>
        <v>0.52441923192776507</v>
      </c>
    </row>
    <row r="7558" spans="1:4">
      <c r="A7558">
        <v>1.5113430000000001</v>
      </c>
      <c r="B7558">
        <v>3.387276</v>
      </c>
      <c r="C7558">
        <f>LOG10(1.511343)</f>
        <v>0.17936303886080029</v>
      </c>
      <c r="D7558">
        <f>LOG10(3.387276)</f>
        <v>0.52985058500999116</v>
      </c>
    </row>
    <row r="7559" spans="1:4">
      <c r="A7559">
        <v>1.7772559999999999</v>
      </c>
      <c r="B7559">
        <v>3.5489250000000001</v>
      </c>
      <c r="C7559">
        <f>LOG10(1.777256)</f>
        <v>0.24974998907694851</v>
      </c>
      <c r="D7559">
        <f>LOG10(3.548925)</f>
        <v>0.55009682142978056</v>
      </c>
    </row>
    <row r="7560" spans="1:4">
      <c r="A7560">
        <v>1.7174199999999999</v>
      </c>
      <c r="B7560">
        <v>3.6040860000000001</v>
      </c>
      <c r="C7560">
        <f>LOG10(1.71742)</f>
        <v>0.23487651611427027</v>
      </c>
      <c r="D7560">
        <f>LOG10(3.604086)</f>
        <v>0.55679514548122877</v>
      </c>
    </row>
    <row r="7561" spans="1:4">
      <c r="A7561">
        <v>1.785377</v>
      </c>
      <c r="B7561">
        <v>3.5108579999999998</v>
      </c>
      <c r="C7561">
        <f>LOG10(1.785377)</f>
        <v>0.25172993570421215</v>
      </c>
      <c r="D7561">
        <f>LOG10(3.510858)</f>
        <v>0.5454132643660744</v>
      </c>
    </row>
    <row r="7562" spans="1:4">
      <c r="A7562">
        <v>1.8403400000000001</v>
      </c>
      <c r="B7562">
        <v>3.3145560000000001</v>
      </c>
      <c r="C7562">
        <f>LOG10(1.84034)</f>
        <v>0.26489806566334956</v>
      </c>
      <c r="D7562">
        <f>LOG10(3.314556)</f>
        <v>0.52042536089632652</v>
      </c>
    </row>
    <row r="7563" spans="1:4">
      <c r="A7563">
        <v>1.9</v>
      </c>
      <c r="B7563">
        <v>2.2393320000000001</v>
      </c>
      <c r="C7563">
        <f>LOG10(1.9)</f>
        <v>0.27875360095282892</v>
      </c>
      <c r="D7563">
        <f>LOG10(2.239332)</f>
        <v>0.35011848620032593</v>
      </c>
    </row>
    <row r="7564" spans="1:4">
      <c r="A7564">
        <v>1.013018</v>
      </c>
      <c r="B7564">
        <v>3.5783909999999999</v>
      </c>
      <c r="C7564">
        <f>LOG10(1.013018)</f>
        <v>5.6171622716548117E-3</v>
      </c>
      <c r="D7564">
        <f>LOG10(3.578391)</f>
        <v>0.55368779287328251</v>
      </c>
    </row>
    <row r="7565" spans="1:4">
      <c r="A7565">
        <v>1.009231</v>
      </c>
      <c r="B7565">
        <v>3.666706</v>
      </c>
      <c r="C7565">
        <f>LOG10(1.009231)</f>
        <v>3.9905820379340226E-3</v>
      </c>
      <c r="D7565">
        <f>LOG10(3.666706)</f>
        <v>0.56427608920892602</v>
      </c>
    </row>
    <row r="7566" spans="1:4">
      <c r="A7566">
        <v>1.006548</v>
      </c>
      <c r="B7566">
        <v>3.654299</v>
      </c>
      <c r="C7566">
        <f>LOG10(1.006548)</f>
        <v>2.8344902411372125E-3</v>
      </c>
      <c r="D7566">
        <f>LOG10(3.654299)</f>
        <v>0.5628040790694806</v>
      </c>
    </row>
    <row r="7567" spans="1:4">
      <c r="A7567">
        <v>1.0101929999999999</v>
      </c>
      <c r="B7567">
        <v>3.6020799999999999</v>
      </c>
      <c r="C7567">
        <f>LOG10(1.010193)</f>
        <v>4.4043548000624825E-3</v>
      </c>
      <c r="D7567">
        <f>LOG10(3.60208)</f>
        <v>0.55655335400620543</v>
      </c>
    </row>
    <row r="7568" spans="1:4">
      <c r="A7568">
        <v>1.0129509999999999</v>
      </c>
      <c r="B7568">
        <v>3.413824</v>
      </c>
      <c r="C7568">
        <f>LOG10(1.012951)</f>
        <v>5.588437517921519E-3</v>
      </c>
      <c r="D7568">
        <f>LOG10(3.413824)</f>
        <v>0.53324112726520889</v>
      </c>
    </row>
    <row r="7569" spans="1:4">
      <c r="A7569">
        <v>1.0150319999999999</v>
      </c>
      <c r="B7569">
        <v>3.5893000000000002</v>
      </c>
      <c r="C7569">
        <f>LOG10(1.015032)</f>
        <v>6.4797340761802895E-3</v>
      </c>
      <c r="D7569">
        <f>LOG10(3.5893)</f>
        <v>0.55500975894609994</v>
      </c>
    </row>
    <row r="7570" spans="1:4">
      <c r="A7570">
        <v>1.006618</v>
      </c>
      <c r="B7570">
        <v>3.6197400000000002</v>
      </c>
      <c r="C7570">
        <f>LOG10(1.006618)</f>
        <v>2.8646920364640612E-3</v>
      </c>
      <c r="D7570">
        <f>LOG10(3.61974)</f>
        <v>0.55867737699159015</v>
      </c>
    </row>
    <row r="7571" spans="1:4">
      <c r="A7571">
        <v>1.006769</v>
      </c>
      <c r="B7571">
        <v>3.7561170000000002</v>
      </c>
      <c r="C7571">
        <f>LOG10(1.006769)</f>
        <v>2.929834472459078E-3</v>
      </c>
      <c r="D7571">
        <f>LOG10(3.756117)</f>
        <v>0.57473911172586012</v>
      </c>
    </row>
    <row r="7572" spans="1:4">
      <c r="A7572">
        <v>1.011385</v>
      </c>
      <c r="B7572">
        <v>3.7714249999999998</v>
      </c>
      <c r="C7572">
        <f>LOG10(1.011385)</f>
        <v>4.9165082588190955E-3</v>
      </c>
      <c r="D7572">
        <f>LOG10(3.771425)</f>
        <v>0.57650547559166554</v>
      </c>
    </row>
    <row r="7573" spans="1:4">
      <c r="A7573">
        <v>1.012953</v>
      </c>
      <c r="B7573">
        <v>3.6884730000000001</v>
      </c>
      <c r="C7573">
        <f>LOG10(1.012953)</f>
        <v>5.5892950007675295E-3</v>
      </c>
      <c r="D7573">
        <f>LOG10(3.688473)</f>
        <v>0.56684660872596171</v>
      </c>
    </row>
    <row r="7574" spans="1:4">
      <c r="A7574">
        <v>1.0085329999999999</v>
      </c>
      <c r="B7574">
        <v>3.7734770000000002</v>
      </c>
      <c r="C7574">
        <f>LOG10(1.008533)</f>
        <v>3.6901132413252589E-3</v>
      </c>
      <c r="D7574">
        <f>LOG10(3.773477)</f>
        <v>0.57674170723492313</v>
      </c>
    </row>
    <row r="7575" spans="1:4">
      <c r="A7575">
        <v>1.007228</v>
      </c>
      <c r="B7575">
        <v>3.746035</v>
      </c>
      <c r="C7575">
        <f>LOG10(1.007228)</f>
        <v>3.1277902495976668E-3</v>
      </c>
      <c r="D7575">
        <f>LOG10(3.746035)</f>
        <v>0.57357183076368645</v>
      </c>
    </row>
    <row r="7576" spans="1:4">
      <c r="A7576">
        <v>1.0248429999999999</v>
      </c>
      <c r="B7576">
        <v>3.5943809999999998</v>
      </c>
      <c r="C7576">
        <f>LOG10(1.024843)</f>
        <v>1.0657339093132516E-2</v>
      </c>
      <c r="D7576">
        <f>LOG10(3.594381)</f>
        <v>0.55562410989807676</v>
      </c>
    </row>
    <row r="7577" spans="1:4">
      <c r="A7577">
        <v>1.0078830000000001</v>
      </c>
      <c r="B7577">
        <v>3.4890659999999998</v>
      </c>
      <c r="C7577">
        <f>LOG10(1.007883)</f>
        <v>3.4101200028121012E-3</v>
      </c>
      <c r="D7577">
        <f>LOG10(3.489066)</f>
        <v>0.54270918474323881</v>
      </c>
    </row>
    <row r="7578" spans="1:4">
      <c r="A7578">
        <v>1.0126850000000001</v>
      </c>
      <c r="B7578">
        <v>3.9611550000000002</v>
      </c>
      <c r="C7578">
        <f>LOG10(1.012685)</f>
        <v>5.4743772100969762E-3</v>
      </c>
      <c r="D7578">
        <f>LOG10(3.961155)</f>
        <v>0.59782183668039668</v>
      </c>
    </row>
    <row r="7579" spans="1:4">
      <c r="A7579">
        <v>1.009317</v>
      </c>
      <c r="B7579">
        <v>4.0343080000000002</v>
      </c>
      <c r="C7579">
        <f>LOG10(1.009317)</f>
        <v>4.0275881685450272E-3</v>
      </c>
      <c r="D7579">
        <f>LOG10(4.034308)</f>
        <v>0.60576905143604931</v>
      </c>
    </row>
    <row r="7580" spans="1:4">
      <c r="A7580">
        <v>1.0221720000000001</v>
      </c>
      <c r="B7580">
        <v>3.5299019999999999</v>
      </c>
      <c r="C7580">
        <f>LOG10(1.022172)</f>
        <v>9.5239803053437377E-3</v>
      </c>
      <c r="D7580">
        <f>LOG10(3.529902)</f>
        <v>0.54776264831982668</v>
      </c>
    </row>
    <row r="7581" spans="1:4">
      <c r="A7581">
        <v>1.0122869999999999</v>
      </c>
      <c r="B7581">
        <v>3.7634430000000001</v>
      </c>
      <c r="C7581">
        <f>LOG10(1.012287)</f>
        <v>5.3036595843487825E-3</v>
      </c>
      <c r="D7581">
        <f>LOG10(3.763443)</f>
        <v>0.57558534272370432</v>
      </c>
    </row>
    <row r="7582" spans="1:4">
      <c r="A7582">
        <v>1.013315</v>
      </c>
      <c r="B7582">
        <v>3.7840349999999998</v>
      </c>
      <c r="C7582">
        <f>LOG10(1.013315)</f>
        <v>5.744471516531068E-3</v>
      </c>
      <c r="D7582">
        <f>LOG10(3.784035)</f>
        <v>0.57795514470559273</v>
      </c>
    </row>
    <row r="7583" spans="1:4">
      <c r="A7583">
        <v>1.0117430000000001</v>
      </c>
      <c r="B7583">
        <v>3.8482419999999999</v>
      </c>
      <c r="C7583">
        <f>LOG10(1.011743)</f>
        <v>5.070208297713521E-3</v>
      </c>
      <c r="D7583">
        <f>LOG10(3.848242)</f>
        <v>0.58526237520567204</v>
      </c>
    </row>
    <row r="7584" spans="1:4">
      <c r="A7584">
        <v>1.018721</v>
      </c>
      <c r="B7584">
        <v>3.7848090000000001</v>
      </c>
      <c r="C7584">
        <f>LOG10(1.018721)</f>
        <v>8.0552588334432736E-3</v>
      </c>
      <c r="D7584">
        <f>LOG10(3.784809)</f>
        <v>0.57804396776236733</v>
      </c>
    </row>
    <row r="7585" spans="1:4">
      <c r="A7585">
        <v>1.012613</v>
      </c>
      <c r="B7585">
        <v>3.4729510000000001</v>
      </c>
      <c r="C7585">
        <f>LOG10(1.012613)</f>
        <v>5.4434985910392E-3</v>
      </c>
      <c r="D7585">
        <f>LOG10(3.472951)</f>
        <v>0.54069865587634369</v>
      </c>
    </row>
    <row r="7586" spans="1:4">
      <c r="A7586">
        <v>1.0137659999999999</v>
      </c>
      <c r="B7586">
        <v>3.5664880000000001</v>
      </c>
      <c r="C7586">
        <f>LOG10(1.013766)</f>
        <v>5.9377216279673673E-3</v>
      </c>
      <c r="D7586">
        <f>LOG10(3.566488)</f>
        <v>0.55224076710826508</v>
      </c>
    </row>
    <row r="7587" spans="1:4">
      <c r="A7587">
        <v>1.151181</v>
      </c>
      <c r="B7587">
        <v>3.4255640000000001</v>
      </c>
      <c r="C7587">
        <f>LOG10(1.151181)</f>
        <v>6.1143613048726682E-2</v>
      </c>
      <c r="D7587">
        <f>LOG10(3.425564)</f>
        <v>0.53473208587881305</v>
      </c>
    </row>
    <row r="7588" spans="1:4">
      <c r="A7588">
        <v>1.0037389999999999</v>
      </c>
      <c r="B7588">
        <v>3.5731609999999998</v>
      </c>
      <c r="C7588">
        <f>LOG10(1.003739)</f>
        <v>1.6207988690757789E-3</v>
      </c>
      <c r="D7588">
        <f>LOG10(3.573161)</f>
        <v>0.55305258514626821</v>
      </c>
    </row>
    <row r="7589" spans="1:4">
      <c r="A7589">
        <v>1.010321</v>
      </c>
      <c r="B7589">
        <v>3.8078919999999998</v>
      </c>
      <c r="C7589">
        <f>LOG10(1.010321)</f>
        <v>4.4593800993259734E-3</v>
      </c>
      <c r="D7589">
        <f>LOG10(3.807892)</f>
        <v>0.58068462236233542</v>
      </c>
    </row>
    <row r="7590" spans="1:4">
      <c r="A7590">
        <v>1.0105569999999999</v>
      </c>
      <c r="B7590">
        <v>3.5466190000000002</v>
      </c>
      <c r="C7590">
        <f>LOG10(1.010557)</f>
        <v>4.5608147215001503E-3</v>
      </c>
      <c r="D7590">
        <f>LOG10(3.546619)</f>
        <v>0.54981453634761401</v>
      </c>
    </row>
    <row r="7591" spans="1:4">
      <c r="A7591">
        <v>1.0185489999999999</v>
      </c>
      <c r="B7591">
        <v>3.6286719999999999</v>
      </c>
      <c r="C7591">
        <f>LOG10(1.018549)</f>
        <v>7.9819267261969414E-3</v>
      </c>
      <c r="D7591">
        <f>LOG10(3.628672)</f>
        <v>0.55974771357726649</v>
      </c>
    </row>
    <row r="7592" spans="1:4">
      <c r="A7592">
        <v>1.013477</v>
      </c>
      <c r="B7592">
        <v>3.5478869999999998</v>
      </c>
      <c r="C7592">
        <f>LOG10(1.013477)</f>
        <v>5.8138971963424668E-3</v>
      </c>
      <c r="D7592">
        <f>LOG10(3.547887)</f>
        <v>0.54996977912531186</v>
      </c>
    </row>
    <row r="7593" spans="1:4">
      <c r="A7593">
        <v>1.014567</v>
      </c>
      <c r="B7593">
        <v>3.4195579999999999</v>
      </c>
      <c r="C7593">
        <f>LOG10(1.014567)</f>
        <v>6.2807322658537616E-3</v>
      </c>
      <c r="D7593">
        <f>LOG10(3.419558)</f>
        <v>0.53396997431157833</v>
      </c>
    </row>
    <row r="7594" spans="1:4">
      <c r="A7594">
        <v>1.012489</v>
      </c>
      <c r="B7594">
        <v>3.610995</v>
      </c>
      <c r="C7594">
        <f>LOG10(1.012489)</f>
        <v>5.3903136000379446E-3</v>
      </c>
      <c r="D7594">
        <f>LOG10(3.610995)</f>
        <v>0.55762688707708608</v>
      </c>
    </row>
    <row r="7595" spans="1:4">
      <c r="A7595">
        <v>1.0168520000000001</v>
      </c>
      <c r="B7595">
        <v>3.5435789999999998</v>
      </c>
      <c r="C7595">
        <f>LOG10(1.016852)</f>
        <v>7.257747160048891E-3</v>
      </c>
      <c r="D7595">
        <f>LOG10(3.543579)</f>
        <v>0.54944211929920739</v>
      </c>
    </row>
    <row r="7596" spans="1:4">
      <c r="A7596">
        <v>1.0085090000000001</v>
      </c>
      <c r="B7596">
        <v>3.677187</v>
      </c>
      <c r="C7596">
        <f>LOG10(1.008509)</f>
        <v>3.6797782383197843E-3</v>
      </c>
      <c r="D7596">
        <f>LOG10(3.677187)</f>
        <v>0.56551571608128348</v>
      </c>
    </row>
    <row r="7597" spans="1:4">
      <c r="A7597">
        <v>1.0057910000000001</v>
      </c>
      <c r="B7597">
        <v>3.6774499999999999</v>
      </c>
      <c r="C7597">
        <f>LOG10(1.005791)</f>
        <v>2.5077451566276397E-3</v>
      </c>
      <c r="D7597">
        <f>LOG10(3.67745)</f>
        <v>0.56554677660780284</v>
      </c>
    </row>
    <row r="7598" spans="1:4">
      <c r="A7598">
        <v>1.0053209999999999</v>
      </c>
      <c r="B7598">
        <v>3.3741940000000001</v>
      </c>
      <c r="C7598">
        <f>LOG10(1.005321)</f>
        <v>2.3047545621598191E-3</v>
      </c>
      <c r="D7598">
        <f>LOG10(3.374194)</f>
        <v>0.52817004882434737</v>
      </c>
    </row>
    <row r="7599" spans="1:4">
      <c r="A7599">
        <v>1.0154510000000001</v>
      </c>
      <c r="B7599">
        <v>3.5215100000000001</v>
      </c>
      <c r="C7599">
        <f>LOG10(1.015451)</f>
        <v>6.6589716176917715E-3</v>
      </c>
      <c r="D7599">
        <f>LOG10(3.52151)</f>
        <v>0.54672892599220146</v>
      </c>
    </row>
    <row r="7600" spans="1:4">
      <c r="A7600">
        <v>1.0077910000000001</v>
      </c>
      <c r="B7600">
        <v>3.1185049999999999</v>
      </c>
      <c r="C7600">
        <f>LOG10(1.007791)</f>
        <v>3.3704756036058449E-3</v>
      </c>
      <c r="D7600">
        <f>LOG10(3.118505)</f>
        <v>0.49394644470610782</v>
      </c>
    </row>
    <row r="7601" spans="1:4">
      <c r="A7601">
        <v>1.0063439999999999</v>
      </c>
      <c r="B7601">
        <v>3.6927159999999999</v>
      </c>
      <c r="C7601">
        <f>LOG10(1.006344)</f>
        <v>2.7464615991518184E-3</v>
      </c>
      <c r="D7601">
        <f>LOG10(3.692716)</f>
        <v>0.56734590814498054</v>
      </c>
    </row>
    <row r="7602" spans="1:4">
      <c r="A7602">
        <v>1.005665</v>
      </c>
      <c r="B7602">
        <v>3.3915329999999999</v>
      </c>
      <c r="C7602">
        <f>LOG10(1.005665)</f>
        <v>2.4533357091513696E-3</v>
      </c>
      <c r="D7602">
        <f>LOG10(3.391533)</f>
        <v>0.53039604715606914</v>
      </c>
    </row>
    <row r="7603" spans="1:4">
      <c r="A7603">
        <v>1.0100640000000001</v>
      </c>
      <c r="B7603">
        <v>3.418561</v>
      </c>
      <c r="C7603">
        <f>LOG10(1.010064)</f>
        <v>4.348892561108147E-3</v>
      </c>
      <c r="D7603">
        <f>LOG10(3.418561)</f>
        <v>0.53384333375398474</v>
      </c>
    </row>
    <row r="7604" spans="1:4">
      <c r="A7604">
        <v>1.008778</v>
      </c>
      <c r="B7604">
        <v>3.2812220000000001</v>
      </c>
      <c r="C7604">
        <f>LOG10(1.008778)</f>
        <v>3.7956023291153477E-3</v>
      </c>
      <c r="D7604">
        <f>LOG10(3.281222)</f>
        <v>0.51603561475464088</v>
      </c>
    </row>
    <row r="7605" spans="1:4">
      <c r="A7605">
        <v>1.006985</v>
      </c>
      <c r="B7605">
        <v>3.3942030000000001</v>
      </c>
      <c r="C7605">
        <f>LOG10(1.006985)</f>
        <v>3.0230013721408255E-3</v>
      </c>
      <c r="D7605">
        <f>LOG10(3.394203)</f>
        <v>0.53073781297970957</v>
      </c>
    </row>
    <row r="7606" spans="1:4">
      <c r="A7606">
        <v>1.008497</v>
      </c>
      <c r="B7606">
        <v>3.4811879999999999</v>
      </c>
      <c r="C7606">
        <f>LOG10(1.008497)</f>
        <v>3.6746106445863461E-3</v>
      </c>
      <c r="D7606">
        <f>LOG10(3.481188)</f>
        <v>0.54172747779675423</v>
      </c>
    </row>
    <row r="7607" spans="1:4">
      <c r="A7607">
        <v>1.013164</v>
      </c>
      <c r="B7607">
        <v>3.3210809999999999</v>
      </c>
      <c r="C7607">
        <f>LOG10(1.013164)</f>
        <v>5.6797499310729744E-3</v>
      </c>
      <c r="D7607">
        <f>LOG10(3.321081)</f>
        <v>0.52127946801754899</v>
      </c>
    </row>
    <row r="7608" spans="1:4">
      <c r="A7608">
        <v>1.0059880000000001</v>
      </c>
      <c r="B7608">
        <v>3.276405</v>
      </c>
      <c r="C7608">
        <f>LOG10(1.005988)</f>
        <v>2.5928002379346886E-3</v>
      </c>
      <c r="D7608">
        <f>LOG10(3.276405)</f>
        <v>0.51539758002177249</v>
      </c>
    </row>
    <row r="7609" spans="1:4">
      <c r="A7609">
        <v>1.0110490000000001</v>
      </c>
      <c r="B7609">
        <v>3.3407</v>
      </c>
      <c r="C7609">
        <f>LOG10(1.011049)</f>
        <v>4.7722039727341103E-3</v>
      </c>
      <c r="D7609">
        <f>LOG10(3.3407)</f>
        <v>0.5238374770764902</v>
      </c>
    </row>
    <row r="7610" spans="1:4">
      <c r="A7610">
        <v>1.0143359999999999</v>
      </c>
      <c r="B7610">
        <v>3.1686969999999999</v>
      </c>
      <c r="C7610">
        <f>LOG10(1.014336)</f>
        <v>6.1818393904889187E-3</v>
      </c>
      <c r="D7610">
        <f>LOG10(3.168697)</f>
        <v>0.50088071267739942</v>
      </c>
    </row>
    <row r="7611" spans="1:4">
      <c r="A7611">
        <v>1.0092699999999999</v>
      </c>
      <c r="B7611">
        <v>3.3282159999999998</v>
      </c>
      <c r="C7611">
        <f>LOG10(1.00927)</f>
        <v>4.0073642786129134E-3</v>
      </c>
      <c r="D7611">
        <f>LOG10(3.328216)</f>
        <v>0.52221150408623007</v>
      </c>
    </row>
    <row r="7612" spans="1:4">
      <c r="A7612">
        <v>1.0173669999999999</v>
      </c>
      <c r="B7612">
        <v>3.3517610000000002</v>
      </c>
      <c r="C7612">
        <f>LOG10(1.017367)</f>
        <v>7.4776464560033307E-3</v>
      </c>
      <c r="D7612">
        <f>LOG10(3.351761)</f>
        <v>0.52527304334674463</v>
      </c>
    </row>
    <row r="7613" spans="1:4">
      <c r="A7613">
        <v>1.021865</v>
      </c>
      <c r="B7613">
        <v>3.4710559999999999</v>
      </c>
      <c r="C7613">
        <f>LOG10(1.021865)</f>
        <v>9.3935243430036622E-3</v>
      </c>
      <c r="D7613">
        <f>LOG10(3.471056)</f>
        <v>0.54046162038267653</v>
      </c>
    </row>
    <row r="7614" spans="1:4">
      <c r="A7614">
        <v>1.027067</v>
      </c>
      <c r="B7614">
        <v>3.5276589999999999</v>
      </c>
      <c r="C7614">
        <f>LOG10(1.027067)</f>
        <v>1.1598775419266299E-2</v>
      </c>
      <c r="D7614">
        <f>LOG10(3.527659)</f>
        <v>0.54748659755506346</v>
      </c>
    </row>
    <row r="7615" spans="1:4">
      <c r="A7615">
        <v>1.036238</v>
      </c>
      <c r="B7615">
        <v>3.5581559999999999</v>
      </c>
      <c r="C7615">
        <f>LOG10(1.036238)</f>
        <v>1.5459514304811586E-2</v>
      </c>
      <c r="D7615">
        <f>LOG10(3.558156)</f>
        <v>0.55122498490978855</v>
      </c>
    </row>
    <row r="7616" spans="1:4">
      <c r="A7616">
        <v>1.031563</v>
      </c>
      <c r="B7616">
        <v>3.5930749999999998</v>
      </c>
      <c r="C7616">
        <f>LOG10(1.031563)</f>
        <v>1.3495756513587214E-2</v>
      </c>
      <c r="D7616">
        <f>LOG10(3.593075)</f>
        <v>0.55546628253896446</v>
      </c>
    </row>
    <row r="7617" spans="1:4">
      <c r="A7617">
        <v>1.016311</v>
      </c>
      <c r="B7617">
        <v>3.65435</v>
      </c>
      <c r="C7617">
        <f>LOG10(1.016311)</f>
        <v>7.0266261724499356E-3</v>
      </c>
      <c r="D7617">
        <f>LOG10(3.65435)</f>
        <v>0.56281014011265762</v>
      </c>
    </row>
    <row r="7618" spans="1:4">
      <c r="A7618">
        <v>1.0208950000000001</v>
      </c>
      <c r="B7618">
        <v>3.725298</v>
      </c>
      <c r="C7618">
        <f>LOG10(1.020895)</f>
        <v>8.9810767925244065E-3</v>
      </c>
      <c r="D7618">
        <f>LOG10(3.725298)</f>
        <v>0.57116101925319573</v>
      </c>
    </row>
    <row r="7619" spans="1:4">
      <c r="A7619">
        <v>1.0158199999999999</v>
      </c>
      <c r="B7619">
        <v>3.5888460000000002</v>
      </c>
      <c r="C7619">
        <f>LOG10(1.01582)</f>
        <v>6.8167591956023949E-3</v>
      </c>
      <c r="D7619">
        <f>LOG10(3.588846)</f>
        <v>0.55495482284002273</v>
      </c>
    </row>
    <row r="7620" spans="1:4">
      <c r="A7620">
        <v>1.0228969999999999</v>
      </c>
      <c r="B7620">
        <v>3.7013699999999998</v>
      </c>
      <c r="C7620">
        <f>LOG10(1.022897)</f>
        <v>9.8319048913311016E-3</v>
      </c>
      <c r="D7620">
        <f>LOG10(3.70137)</f>
        <v>0.56836250063863036</v>
      </c>
    </row>
    <row r="7621" spans="1:4">
      <c r="A7621">
        <v>1.0255590000000001</v>
      </c>
      <c r="B7621">
        <v>3.6914850000000001</v>
      </c>
      <c r="C7621">
        <f>LOG10(1.025559)</f>
        <v>1.0960650211325074E-2</v>
      </c>
      <c r="D7621">
        <f>LOG10(3.691485)</f>
        <v>0.56720110804753598</v>
      </c>
    </row>
    <row r="7622" spans="1:4">
      <c r="A7622">
        <v>1.028707</v>
      </c>
      <c r="B7622">
        <v>3.4638779999999998</v>
      </c>
      <c r="C7622">
        <f>LOG10(1.028707)</f>
        <v>1.2291695070370224E-2</v>
      </c>
      <c r="D7622">
        <f>LOG10(3.463878)</f>
        <v>0.53956258748507657</v>
      </c>
    </row>
    <row r="7623" spans="1:4">
      <c r="A7623">
        <v>1.011922</v>
      </c>
      <c r="B7623">
        <v>3.7635749999999999</v>
      </c>
      <c r="C7623">
        <f>LOG10(1.011922)</f>
        <v>5.147037923628279E-3</v>
      </c>
      <c r="D7623">
        <f>LOG10(3.763575)</f>
        <v>0.57560057501665673</v>
      </c>
    </row>
    <row r="7624" spans="1:4">
      <c r="A7624">
        <v>1.018669</v>
      </c>
      <c r="B7624">
        <v>3.4093100000000001</v>
      </c>
      <c r="C7624">
        <f>LOG10(1.018669)</f>
        <v>8.0330899673313871E-3</v>
      </c>
      <c r="D7624">
        <f>LOG10(3.40931)</f>
        <v>0.53266649233137342</v>
      </c>
    </row>
    <row r="7625" spans="1:4">
      <c r="A7625">
        <v>1.0152099999999999</v>
      </c>
      <c r="B7625">
        <v>3.7469929999999998</v>
      </c>
      <c r="C7625">
        <f>LOG10(1.01521)</f>
        <v>6.5558869860076483E-3</v>
      </c>
      <c r="D7625">
        <f>LOG10(3.746993)</f>
        <v>0.57368288176094151</v>
      </c>
    </row>
    <row r="7626" spans="1:4">
      <c r="A7626">
        <v>1.019183</v>
      </c>
      <c r="B7626">
        <v>3.522494</v>
      </c>
      <c r="C7626">
        <f>LOG10(1.019183)</f>
        <v>8.2521710079879219E-3</v>
      </c>
      <c r="D7626">
        <f>LOG10(3.522494)</f>
        <v>0.54685026203146903</v>
      </c>
    </row>
    <row r="7627" spans="1:4">
      <c r="A7627">
        <v>1.0136449999999999</v>
      </c>
      <c r="B7627">
        <v>3.4945789999999999</v>
      </c>
      <c r="C7627">
        <f>LOG10(1.013645)</f>
        <v>5.8858824770771897E-3</v>
      </c>
      <c r="D7627">
        <f>LOG10(3.494579)</f>
        <v>0.54339486277414784</v>
      </c>
    </row>
    <row r="7628" spans="1:4">
      <c r="A7628">
        <v>1.019844</v>
      </c>
      <c r="B7628">
        <v>3.630668</v>
      </c>
      <c r="C7628">
        <f>LOG10(1.019844)</f>
        <v>8.5337451731107693E-3</v>
      </c>
      <c r="D7628">
        <f>LOG10(3.630668)</f>
        <v>0.55998653743941473</v>
      </c>
    </row>
    <row r="7629" spans="1:4">
      <c r="A7629">
        <v>1.0182819999999999</v>
      </c>
      <c r="B7629">
        <v>3.788173</v>
      </c>
      <c r="C7629">
        <f>LOG10(1.018282)</f>
        <v>7.8680668847743024E-3</v>
      </c>
      <c r="D7629">
        <f>LOG10(3.788173)</f>
        <v>0.57842980434119895</v>
      </c>
    </row>
    <row r="7630" spans="1:4">
      <c r="A7630">
        <v>1.0197860000000001</v>
      </c>
      <c r="B7630">
        <v>3.4786160000000002</v>
      </c>
      <c r="C7630">
        <f>LOG10(1.019786)</f>
        <v>8.5090455168425911E-3</v>
      </c>
      <c r="D7630">
        <f>LOG10(3.478616)</f>
        <v>0.54140649017747522</v>
      </c>
    </row>
    <row r="7631" spans="1:4">
      <c r="A7631">
        <v>1.0170699999999999</v>
      </c>
      <c r="B7631">
        <v>3.4773900000000002</v>
      </c>
      <c r="C7631">
        <f>LOG10(1.01707)</f>
        <v>7.3508443362605468E-3</v>
      </c>
      <c r="D7631">
        <f>LOG10(3.47739)</f>
        <v>0.54125340087872342</v>
      </c>
    </row>
    <row r="7632" spans="1:4">
      <c r="A7632">
        <v>1.0192870000000001</v>
      </c>
      <c r="B7632">
        <v>3.5787260000000001</v>
      </c>
      <c r="C7632">
        <f>LOG10(1.019287)</f>
        <v>8.296485249705653E-3</v>
      </c>
      <c r="D7632">
        <f>LOG10(3.578726)</f>
        <v>0.55372844853157177</v>
      </c>
    </row>
    <row r="7633" spans="1:4">
      <c r="A7633">
        <v>1.013922</v>
      </c>
      <c r="B7633">
        <v>3.421084</v>
      </c>
      <c r="C7633">
        <f>LOG10(1.013922)</f>
        <v>6.0045464445176418E-3</v>
      </c>
      <c r="D7633">
        <f>LOG10(3.421084)</f>
        <v>0.53416373781809645</v>
      </c>
    </row>
    <row r="7634" spans="1:4">
      <c r="A7634">
        <v>1.0107330000000001</v>
      </c>
      <c r="B7634">
        <v>3.4099409999999999</v>
      </c>
      <c r="C7634">
        <f>LOG10(1.010733)</f>
        <v>4.636445461283379E-3</v>
      </c>
      <c r="D7634">
        <f>LOG10(3.409941)</f>
        <v>0.53274686474144106</v>
      </c>
    </row>
    <row r="7635" spans="1:4">
      <c r="A7635">
        <v>1.00834</v>
      </c>
      <c r="B7635">
        <v>3.3481749999999999</v>
      </c>
      <c r="C7635">
        <f>LOG10(1.00834)</f>
        <v>3.6069956278085677E-3</v>
      </c>
      <c r="D7635">
        <f>LOG10(3.348175)</f>
        <v>0.52480814930572106</v>
      </c>
    </row>
    <row r="7636" spans="1:4">
      <c r="A7636">
        <v>1.010921</v>
      </c>
      <c r="B7636">
        <v>3.411594</v>
      </c>
      <c r="C7636">
        <f>LOG10(1.010921)</f>
        <v>4.7172182966282034E-3</v>
      </c>
      <c r="D7636">
        <f>LOG10(3.411594)</f>
        <v>0.5329573419412611</v>
      </c>
    </row>
    <row r="7637" spans="1:4">
      <c r="A7637">
        <v>1.0126569999999999</v>
      </c>
      <c r="B7637">
        <v>3.2873109999999999</v>
      </c>
      <c r="C7637">
        <f>LOG10(1.012657)</f>
        <v>5.4623691191235746E-3</v>
      </c>
      <c r="D7637">
        <f>LOG10(3.287311)</f>
        <v>0.51684079297564611</v>
      </c>
    </row>
    <row r="7638" spans="1:4">
      <c r="A7638">
        <v>1.0136750000000001</v>
      </c>
      <c r="B7638">
        <v>3.4819580000000001</v>
      </c>
      <c r="C7638">
        <f>LOG10(1.013675)</f>
        <v>5.8987357360181895E-3</v>
      </c>
      <c r="D7638">
        <f>LOG10(3.481958)</f>
        <v>0.54182352827520996</v>
      </c>
    </row>
    <row r="7639" spans="1:4">
      <c r="A7639">
        <v>1.0193049999999999</v>
      </c>
      <c r="B7639">
        <v>3.5062000000000002</v>
      </c>
      <c r="C7639">
        <f>LOG10(1.019305)</f>
        <v>8.3041545633048396E-3</v>
      </c>
      <c r="D7639">
        <f>LOG10(3.5062)</f>
        <v>0.54483668540838626</v>
      </c>
    </row>
    <row r="7640" spans="1:4">
      <c r="A7640">
        <v>1.017558</v>
      </c>
      <c r="B7640">
        <v>3.4780579999999999</v>
      </c>
      <c r="C7640">
        <f>LOG10(1.017558)</f>
        <v>7.5591730442433275E-3</v>
      </c>
      <c r="D7640">
        <f>LOG10(3.478058)</f>
        <v>0.5413368200099723</v>
      </c>
    </row>
    <row r="7641" spans="1:4">
      <c r="A7641">
        <v>1.0404329999999999</v>
      </c>
      <c r="B7641">
        <v>3.5768469999999999</v>
      </c>
      <c r="C7641">
        <f>LOG10(1.040433)</f>
        <v>1.7214118505204587E-2</v>
      </c>
      <c r="D7641">
        <f>LOG10(3.576847)</f>
        <v>0.55350036355493804</v>
      </c>
    </row>
    <row r="7642" spans="1:4">
      <c r="A7642">
        <v>1.0168299999999999</v>
      </c>
      <c r="B7642">
        <v>3.5613160000000001</v>
      </c>
      <c r="C7642">
        <f>LOG10(1.01683)</f>
        <v>7.2483509234668436E-3</v>
      </c>
      <c r="D7642">
        <f>LOG10(3.561316)</f>
        <v>0.55161051087377455</v>
      </c>
    </row>
    <row r="7643" spans="1:4">
      <c r="A7643">
        <v>1.0139180000000001</v>
      </c>
      <c r="B7643">
        <v>3.6565729999999999</v>
      </c>
      <c r="C7643">
        <f>LOG10(1.013918)</f>
        <v>6.0028331161213495E-3</v>
      </c>
      <c r="D7643">
        <f>LOG10(3.656573)</f>
        <v>0.56307424812282936</v>
      </c>
    </row>
    <row r="7644" spans="1:4">
      <c r="A7644">
        <v>1.0169969999999999</v>
      </c>
      <c r="B7644">
        <v>3.7193719999999999</v>
      </c>
      <c r="C7644">
        <f>LOG10(1.016997)</f>
        <v>7.3196718161886469E-3</v>
      </c>
      <c r="D7644">
        <f>LOG10(3.719372)</f>
        <v>0.57046961731238943</v>
      </c>
    </row>
    <row r="7645" spans="1:4">
      <c r="A7645">
        <v>1.0192699999999999</v>
      </c>
      <c r="B7645">
        <v>3.66839</v>
      </c>
      <c r="C7645">
        <f>LOG10(1.01927)</f>
        <v>8.2892418847248413E-3</v>
      </c>
      <c r="D7645">
        <f>LOG10(3.66839)</f>
        <v>0.56447550089225629</v>
      </c>
    </row>
    <row r="7646" spans="1:4">
      <c r="A7646">
        <v>1.030351</v>
      </c>
      <c r="B7646">
        <v>3.5702310000000002</v>
      </c>
      <c r="C7646">
        <f>LOG10(1.030351)</f>
        <v>1.2985196933809697E-2</v>
      </c>
      <c r="D7646">
        <f>LOG10(3.570231)</f>
        <v>0.55269631661072183</v>
      </c>
    </row>
    <row r="7647" spans="1:4">
      <c r="A7647">
        <v>1.0141800000000001</v>
      </c>
      <c r="B7647">
        <v>3.4339189999999999</v>
      </c>
      <c r="C7647">
        <f>LOG10(1.01418)</f>
        <v>6.115041850503637E-3</v>
      </c>
      <c r="D7647">
        <f>LOG10(3.433919)</f>
        <v>0.53579004671659192</v>
      </c>
    </row>
    <row r="7648" spans="1:4">
      <c r="A7648">
        <v>1.0170939999999999</v>
      </c>
      <c r="B7648">
        <v>3.586589</v>
      </c>
      <c r="C7648">
        <f>LOG10(1.017094)</f>
        <v>7.3610923473021068E-3</v>
      </c>
      <c r="D7648">
        <f>LOG10(3.586589)</f>
        <v>0.55468161217670198</v>
      </c>
    </row>
    <row r="7649" spans="1:4">
      <c r="A7649">
        <v>1.0148699999999999</v>
      </c>
      <c r="B7649">
        <v>3.5718939999999999</v>
      </c>
      <c r="C7649">
        <f>LOG10(1.01487)</f>
        <v>6.41041476301375E-3</v>
      </c>
      <c r="D7649">
        <f>LOG10(3.571894)</f>
        <v>0.55289856222710554</v>
      </c>
    </row>
    <row r="7650" spans="1:4">
      <c r="A7650">
        <v>1.017512</v>
      </c>
      <c r="B7650">
        <v>3.5315180000000002</v>
      </c>
      <c r="C7650">
        <f>LOG10(1.017512)</f>
        <v>7.5395397675786938E-3</v>
      </c>
      <c r="D7650">
        <f>LOG10(3.531518)</f>
        <v>0.54796142417369387</v>
      </c>
    </row>
    <row r="7651" spans="1:4">
      <c r="A7651">
        <v>1.0217510000000001</v>
      </c>
      <c r="B7651">
        <v>3.6699320000000002</v>
      </c>
      <c r="C7651">
        <f>LOG10(1.021751)</f>
        <v>9.3450714330750827E-3</v>
      </c>
      <c r="D7651">
        <f>LOG10(3.669932)</f>
        <v>0.56465801730430554</v>
      </c>
    </row>
    <row r="7652" spans="1:4">
      <c r="A7652">
        <v>1.023217</v>
      </c>
      <c r="B7652">
        <v>3.5294750000000001</v>
      </c>
      <c r="C7652">
        <f>LOG10(1.023217)</f>
        <v>9.9677470148316939E-3</v>
      </c>
      <c r="D7652">
        <f>LOG10(3.529475)</f>
        <v>0.54771011004513226</v>
      </c>
    </row>
    <row r="7653" spans="1:4">
      <c r="A7653">
        <v>1.014465</v>
      </c>
      <c r="B7653">
        <v>3.5501390000000002</v>
      </c>
      <c r="C7653">
        <f>LOG10(1.014465)</f>
        <v>6.2370680582991573E-3</v>
      </c>
      <c r="D7653">
        <f>LOG10(3.550139)</f>
        <v>0.55024535749204728</v>
      </c>
    </row>
    <row r="7654" spans="1:4">
      <c r="A7654">
        <v>1.015822</v>
      </c>
      <c r="B7654">
        <v>3.594376</v>
      </c>
      <c r="C7654">
        <f>LOG10(1.015822)</f>
        <v>6.817614256645464E-3</v>
      </c>
      <c r="D7654">
        <f>LOG10(3.594376)</f>
        <v>0.5556235057679304</v>
      </c>
    </row>
    <row r="7655" spans="1:4">
      <c r="A7655">
        <v>1.012643</v>
      </c>
      <c r="B7655">
        <v>3.33318</v>
      </c>
      <c r="C7655">
        <f>LOG10(1.012643)</f>
        <v>5.4563649491273028E-3</v>
      </c>
      <c r="D7655">
        <f>LOG10(3.33318)</f>
        <v>0.5228587672746724</v>
      </c>
    </row>
    <row r="7656" spans="1:4">
      <c r="A7656">
        <v>1.011055</v>
      </c>
      <c r="B7656">
        <v>3.3822000000000001</v>
      </c>
      <c r="C7656">
        <f>LOG10(1.011055)</f>
        <v>4.7747812554964266E-3</v>
      </c>
      <c r="D7656">
        <f>LOG10(3.3822)</f>
        <v>0.52919928520383164</v>
      </c>
    </row>
    <row r="7657" spans="1:4">
      <c r="A7657">
        <v>1.017682</v>
      </c>
      <c r="B7657">
        <v>3.12805</v>
      </c>
      <c r="C7657">
        <f>LOG10(1.017682)</f>
        <v>7.6120931085331836E-3</v>
      </c>
      <c r="D7657">
        <f>LOG10(3.12805)</f>
        <v>0.49527368637967289</v>
      </c>
    </row>
    <row r="7658" spans="1:4">
      <c r="A7658">
        <v>1.0109840000000001</v>
      </c>
      <c r="B7658">
        <v>3.0082529999999998</v>
      </c>
      <c r="C7658">
        <f>LOG10(1.010984)</f>
        <v>4.7442824290862794E-3</v>
      </c>
      <c r="D7658">
        <f>LOG10(3.008253)</f>
        <v>0.47831435847657827</v>
      </c>
    </row>
    <row r="7659" spans="1:4">
      <c r="A7659">
        <v>1.018769</v>
      </c>
      <c r="B7659">
        <v>3.062446</v>
      </c>
      <c r="C7659">
        <f>LOG10(1.018769)</f>
        <v>8.0757213978094617E-3</v>
      </c>
      <c r="D7659">
        <f>LOG10(3.062446)</f>
        <v>0.48606843954114892</v>
      </c>
    </row>
    <row r="7660" spans="1:4">
      <c r="A7660">
        <v>1.0191140000000001</v>
      </c>
      <c r="B7660">
        <v>2.9973139999999998</v>
      </c>
      <c r="C7660">
        <f>LOG10(1.019114)</f>
        <v>8.2227677176306118E-3</v>
      </c>
      <c r="D7660">
        <f>LOG10(2.997314)</f>
        <v>0.47673224221960414</v>
      </c>
    </row>
    <row r="7661" spans="1:4">
      <c r="A7661">
        <v>1.0148870000000001</v>
      </c>
      <c r="B7661">
        <v>3.0173130000000001</v>
      </c>
      <c r="C7661">
        <f>LOG10(1.014887)</f>
        <v>6.4176895315624927E-3</v>
      </c>
      <c r="D7661">
        <f>LOG10(3.017313)</f>
        <v>0.47962036391116608</v>
      </c>
    </row>
    <row r="7662" spans="1:4">
      <c r="A7662">
        <v>1.017544</v>
      </c>
      <c r="B7662">
        <v>3.2204190000000001</v>
      </c>
      <c r="C7662">
        <f>LOG10(1.017544)</f>
        <v>7.5531977931289134E-3</v>
      </c>
      <c r="D7662">
        <f>LOG10(3.220419)</f>
        <v>0.50791238025161722</v>
      </c>
    </row>
    <row r="7663" spans="1:4">
      <c r="A7663">
        <v>1.012535</v>
      </c>
      <c r="B7663">
        <v>3.0444469999999999</v>
      </c>
      <c r="C7663">
        <f>LOG10(1.012535)</f>
        <v>5.4100442759913965E-3</v>
      </c>
      <c r="D7663">
        <f>LOG10(3.044447)</f>
        <v>0.48350841793467225</v>
      </c>
    </row>
    <row r="7664" spans="1:4">
      <c r="A7664">
        <v>1.0154719999999999</v>
      </c>
      <c r="B7664">
        <v>3.0135139999999998</v>
      </c>
      <c r="C7664">
        <f>LOG10(1.015472)</f>
        <v>6.6679529371413207E-3</v>
      </c>
      <c r="D7664">
        <f>LOG10(3.013514)</f>
        <v>0.47907321342749876</v>
      </c>
    </row>
    <row r="7665" spans="1:4">
      <c r="A7665">
        <v>1.013498</v>
      </c>
      <c r="B7665">
        <v>2.9284300000000001</v>
      </c>
      <c r="C7665">
        <f>LOG10(1.013498)</f>
        <v>5.8228960089773685E-3</v>
      </c>
      <c r="D7665">
        <f>LOG10(2.92843)</f>
        <v>0.46663484728934262</v>
      </c>
    </row>
    <row r="7666" spans="1:4">
      <c r="A7666">
        <v>1.012699</v>
      </c>
      <c r="B7666">
        <v>3.1375929999999999</v>
      </c>
      <c r="C7666">
        <f>LOG10(1.012699)</f>
        <v>5.4803811310786023E-3</v>
      </c>
      <c r="D7666">
        <f>LOG10(3.137593)</f>
        <v>0.49659660740964567</v>
      </c>
    </row>
    <row r="7667" spans="1:4">
      <c r="A7667">
        <v>1.00756</v>
      </c>
      <c r="B7667">
        <v>3.2430469999999998</v>
      </c>
      <c r="C7667">
        <f>LOG10(1.00756)</f>
        <v>3.270917734272882E-3</v>
      </c>
      <c r="D7667">
        <f>LOG10(3.243047)</f>
        <v>0.51095324275028975</v>
      </c>
    </row>
    <row r="7668" spans="1:4">
      <c r="A7668">
        <v>1.012173</v>
      </c>
      <c r="B7668">
        <v>2.9902199999999999</v>
      </c>
      <c r="C7668">
        <f>LOG10(1.012173)</f>
        <v>5.2547481995950419E-3</v>
      </c>
      <c r="D7668">
        <f>LOG10(2.99022)</f>
        <v>0.47570314192682611</v>
      </c>
    </row>
    <row r="7669" spans="1:4">
      <c r="A7669">
        <v>1.011029</v>
      </c>
      <c r="B7669">
        <v>3.1034820000000001</v>
      </c>
      <c r="C7669">
        <f>LOG10(1.011029)</f>
        <v>4.7636129197298187E-3</v>
      </c>
      <c r="D7669">
        <f>LOG10(3.103482)</f>
        <v>0.49184923084809729</v>
      </c>
    </row>
    <row r="7670" spans="1:4">
      <c r="A7670">
        <v>1.0167520000000001</v>
      </c>
      <c r="B7670">
        <v>3.1636950000000001</v>
      </c>
      <c r="C7670">
        <f>LOG10(1.016752)</f>
        <v>7.2150353555625454E-3</v>
      </c>
      <c r="D7670">
        <f>LOG10(3.163695)</f>
        <v>0.50019460813734784</v>
      </c>
    </row>
    <row r="7671" spans="1:4">
      <c r="A7671">
        <v>1.0373460000000001</v>
      </c>
      <c r="B7671">
        <v>3.6831339999999999</v>
      </c>
      <c r="C7671">
        <f>LOG10(1.037346)</f>
        <v>1.5923636647331662E-2</v>
      </c>
      <c r="D7671">
        <f>LOG10(3.683134)</f>
        <v>0.56621751966998946</v>
      </c>
    </row>
    <row r="7672" spans="1:4">
      <c r="A7672">
        <v>1.014175</v>
      </c>
      <c r="B7672">
        <v>3.7980559999999999</v>
      </c>
      <c r="C7672">
        <f>LOG10(1.014175)</f>
        <v>6.1129007337765006E-3</v>
      </c>
      <c r="D7672">
        <f>LOG10(3.798056)</f>
        <v>0.57956136385326051</v>
      </c>
    </row>
    <row r="7673" spans="1:4">
      <c r="A7673">
        <v>1.01674</v>
      </c>
      <c r="B7673">
        <v>3.9961920000000002</v>
      </c>
      <c r="C7673">
        <f>LOG10(1.01674)</f>
        <v>7.2099096567322055E-3</v>
      </c>
      <c r="D7673">
        <f>LOG10(3.996192)</f>
        <v>0.60164634605478495</v>
      </c>
    </row>
    <row r="7674" spans="1:4">
      <c r="A7674">
        <v>1.015754</v>
      </c>
      <c r="B7674">
        <v>4.1936689999999999</v>
      </c>
      <c r="C7674">
        <f>LOG10(1.015754)</f>
        <v>6.7885412367038713E-3</v>
      </c>
      <c r="D7674">
        <f>LOG10(4.193669)</f>
        <v>0.62259414927038259</v>
      </c>
    </row>
    <row r="7675" spans="1:4">
      <c r="A7675">
        <v>1.0144310000000001</v>
      </c>
      <c r="B7675">
        <v>3.8549699999999998</v>
      </c>
      <c r="C7675">
        <f>LOG10(1.014431)</f>
        <v>6.2225123468323939E-3</v>
      </c>
      <c r="D7675">
        <f>LOG10(3.85497)</f>
        <v>0.58602100265023038</v>
      </c>
    </row>
    <row r="7676" spans="1:4">
      <c r="A7676">
        <v>1.008305</v>
      </c>
      <c r="B7676">
        <v>3.7921100000000001</v>
      </c>
      <c r="C7676">
        <f>LOG10(1.008305)</f>
        <v>3.5919207813500755E-3</v>
      </c>
      <c r="D7676">
        <f>LOG10(3.79211)</f>
        <v>0.57888092668821256</v>
      </c>
    </row>
    <row r="7677" spans="1:4">
      <c r="A7677">
        <v>1.014861</v>
      </c>
      <c r="B7677">
        <v>3.742572</v>
      </c>
      <c r="C7677">
        <f>LOG10(1.014861)</f>
        <v>6.4065633656245164E-3</v>
      </c>
      <c r="D7677">
        <f>LOG10(3.742572)</f>
        <v>0.57317016409910193</v>
      </c>
    </row>
    <row r="7678" spans="1:4">
      <c r="A7678">
        <v>1.0162070000000001</v>
      </c>
      <c r="B7678">
        <v>3.721536</v>
      </c>
      <c r="C7678">
        <f>LOG10(1.016207)</f>
        <v>6.982182161467199E-3</v>
      </c>
      <c r="D7678">
        <f>LOG10(3.721536)</f>
        <v>0.57072222446338094</v>
      </c>
    </row>
    <row r="7679" spans="1:4">
      <c r="A7679">
        <v>1.0205649999999999</v>
      </c>
      <c r="B7679">
        <v>3.716574</v>
      </c>
      <c r="C7679">
        <f>LOG10(1.020565)</f>
        <v>8.8406702400801191E-3</v>
      </c>
      <c r="D7679">
        <f>LOG10(3.716574)</f>
        <v>0.57014278438011279</v>
      </c>
    </row>
    <row r="7680" spans="1:4">
      <c r="A7680">
        <v>1.0196000000000001</v>
      </c>
      <c r="B7680">
        <v>3.8043840000000002</v>
      </c>
      <c r="C7680">
        <f>LOG10(1.0196)</f>
        <v>8.4298267972299345E-3</v>
      </c>
      <c r="D7680">
        <f>LOG10(3.804384)</f>
        <v>0.58028434650518979</v>
      </c>
    </row>
    <row r="7681" spans="1:4">
      <c r="A7681">
        <v>1.0213650000000001</v>
      </c>
      <c r="B7681">
        <v>3.6135079999999999</v>
      </c>
      <c r="C7681">
        <f>LOG10(1.021365)</f>
        <v>9.1809714289547324E-3</v>
      </c>
      <c r="D7681">
        <f>LOG10(3.613508)</f>
        <v>0.5579290205462093</v>
      </c>
    </row>
    <row r="7682" spans="1:4">
      <c r="A7682">
        <v>1.016527</v>
      </c>
      <c r="B7682">
        <v>3.5789689999999998</v>
      </c>
      <c r="C7682">
        <f>LOG10(1.016527)</f>
        <v>7.1189184342476154E-3</v>
      </c>
      <c r="D7682">
        <f>LOG10(3.578969)</f>
        <v>0.5537579366724168</v>
      </c>
    </row>
    <row r="7683" spans="1:4">
      <c r="A7683">
        <v>1.0277480000000001</v>
      </c>
      <c r="B7683">
        <v>3.591567</v>
      </c>
      <c r="C7683">
        <f>LOG10(1.027748)</f>
        <v>1.1886640315137167E-2</v>
      </c>
      <c r="D7683">
        <f>LOG10(3.591567)</f>
        <v>0.55528397252593187</v>
      </c>
    </row>
    <row r="7684" spans="1:4">
      <c r="A7684">
        <v>1.0140849999999999</v>
      </c>
      <c r="B7684">
        <v>3.6529600000000002</v>
      </c>
      <c r="C7684">
        <f>LOG10(1.014085)</f>
        <v>6.0743588275149673E-3</v>
      </c>
      <c r="D7684">
        <f>LOG10(3.65296)</f>
        <v>0.56264491670291406</v>
      </c>
    </row>
    <row r="7685" spans="1:4">
      <c r="A7685">
        <v>1.0259229999999999</v>
      </c>
      <c r="B7685">
        <v>3.6435029999999999</v>
      </c>
      <c r="C7685">
        <f>LOG10(1.025923)</f>
        <v>1.1114766302103979E-2</v>
      </c>
      <c r="D7685">
        <f>LOG10(3.643503)</f>
        <v>0.5615191314518394</v>
      </c>
    </row>
    <row r="7686" spans="1:4">
      <c r="A7686">
        <v>1.0101579999999999</v>
      </c>
      <c r="B7686">
        <v>3.6484209999999999</v>
      </c>
      <c r="C7686">
        <f>LOG10(1.010158)</f>
        <v>4.3893076059183583E-3</v>
      </c>
      <c r="D7686">
        <f>LOG10(3.648421)</f>
        <v>0.56210494682398282</v>
      </c>
    </row>
    <row r="7687" spans="1:4">
      <c r="A7687">
        <v>1.0130220000000001</v>
      </c>
      <c r="B7687">
        <v>3.5715409999999999</v>
      </c>
      <c r="C7687">
        <f>LOG10(1.013022)</f>
        <v>5.6188771222280146E-3</v>
      </c>
      <c r="D7687">
        <f>LOG10(3.571541)</f>
        <v>0.55285564003288479</v>
      </c>
    </row>
    <row r="7688" spans="1:4">
      <c r="A7688">
        <v>1.0183880000000001</v>
      </c>
      <c r="B7688">
        <v>3.6404839999999998</v>
      </c>
      <c r="C7688">
        <f>LOG10(1.018388)</f>
        <v>7.9132732413498708E-3</v>
      </c>
      <c r="D7688">
        <f>LOG10(3.640484)</f>
        <v>0.56115912665887535</v>
      </c>
    </row>
    <row r="7689" spans="1:4">
      <c r="A7689">
        <v>1.0243629999999999</v>
      </c>
      <c r="B7689">
        <v>3.918412</v>
      </c>
      <c r="C7689">
        <f>LOG10(1.024363)</f>
        <v>1.0453883359422848E-2</v>
      </c>
      <c r="D7689">
        <f>LOG10(3.918412)</f>
        <v>0.59311009779436974</v>
      </c>
    </row>
    <row r="7690" spans="1:4">
      <c r="A7690">
        <v>1.013447</v>
      </c>
      <c r="B7690">
        <v>3.7099419999999999</v>
      </c>
      <c r="C7690">
        <f>LOG10(1.013447)</f>
        <v>5.8010414262612614E-3</v>
      </c>
      <c r="D7690">
        <f>LOG10(3.709942)</f>
        <v>0.56936712005255308</v>
      </c>
    </row>
    <row r="7691" spans="1:4">
      <c r="A7691">
        <v>1.0129630000000001</v>
      </c>
      <c r="B7691">
        <v>3.7382930000000001</v>
      </c>
      <c r="C7691">
        <f>LOG10(1.012963)</f>
        <v>5.5935823896021072E-3</v>
      </c>
      <c r="D7691">
        <f>LOG10(3.738293)</f>
        <v>0.57267333751802274</v>
      </c>
    </row>
    <row r="7692" spans="1:4">
      <c r="A7692">
        <v>1.0187059999999999</v>
      </c>
      <c r="B7692">
        <v>3.4755029999999998</v>
      </c>
      <c r="C7692">
        <f>LOG10(1.018706)</f>
        <v>8.0488640843516899E-3</v>
      </c>
      <c r="D7692">
        <f>LOG10(3.475503)</f>
        <v>0.54101766772204385</v>
      </c>
    </row>
    <row r="7693" spans="1:4">
      <c r="A7693">
        <v>1.0156769999999999</v>
      </c>
      <c r="B7693">
        <v>3.469579</v>
      </c>
      <c r="C7693">
        <f>LOG10(1.015677)</f>
        <v>6.7556179672227899E-3</v>
      </c>
      <c r="D7693">
        <f>LOG10(3.469579)</f>
        <v>0.5402767805346067</v>
      </c>
    </row>
    <row r="7694" spans="1:4">
      <c r="A7694">
        <v>1.014141</v>
      </c>
      <c r="B7694">
        <v>3.479136</v>
      </c>
      <c r="C7694">
        <f>LOG10(1.014141)</f>
        <v>6.0983408600821338E-3</v>
      </c>
      <c r="D7694">
        <f>LOG10(3.479136)</f>
        <v>0.54147140572232655</v>
      </c>
    </row>
    <row r="7695" spans="1:4">
      <c r="A7695">
        <v>1.0066900000000001</v>
      </c>
      <c r="B7695">
        <v>3.5894499999999998</v>
      </c>
      <c r="C7695">
        <f>LOG10(1.00669)</f>
        <v>2.8957545492146147E-3</v>
      </c>
      <c r="D7695">
        <f>LOG10(3.58945)</f>
        <v>0.55502790811476999</v>
      </c>
    </row>
    <row r="7696" spans="1:4">
      <c r="A7696">
        <v>1.0081819999999999</v>
      </c>
      <c r="B7696">
        <v>3.7871100000000002</v>
      </c>
      <c r="C7696">
        <f>LOG10(1.008182)</f>
        <v>3.5389393127461207E-3</v>
      </c>
      <c r="D7696">
        <f>LOG10(3.78711)</f>
        <v>0.57830791977601681</v>
      </c>
    </row>
    <row r="7697" spans="1:4">
      <c r="A7697">
        <v>1.009223</v>
      </c>
      <c r="B7697">
        <v>3.5241359999999999</v>
      </c>
      <c r="C7697">
        <f>LOG10(1.009223)</f>
        <v>3.987139446866554E-3</v>
      </c>
      <c r="D7697">
        <f>LOG10(3.524136)</f>
        <v>0.54705265993009355</v>
      </c>
    </row>
    <row r="7698" spans="1:4">
      <c r="A7698">
        <v>1.0057590000000001</v>
      </c>
      <c r="B7698">
        <v>3.4754939999999999</v>
      </c>
      <c r="C7698">
        <f>LOG10(1.005759)</f>
        <v>2.4939275299993282E-3</v>
      </c>
      <c r="D7698">
        <f>LOG10(3.475494)</f>
        <v>0.54101654309191183</v>
      </c>
    </row>
    <row r="7699" spans="1:4">
      <c r="A7699">
        <v>1.0079</v>
      </c>
      <c r="B7699">
        <v>3.2086410000000001</v>
      </c>
      <c r="C7699">
        <f>LOG10(1.0079)</f>
        <v>3.4174452021936831E-3</v>
      </c>
      <c r="D7699">
        <f>LOG10(3.208641)</f>
        <v>0.50632112861286194</v>
      </c>
    </row>
    <row r="7700" spans="1:4">
      <c r="A7700">
        <v>1.0083260000000001</v>
      </c>
      <c r="B7700">
        <v>3.338657</v>
      </c>
      <c r="C7700">
        <f>LOG10(1.008326)</f>
        <v>3.6009657520168154E-3</v>
      </c>
      <c r="D7700">
        <f>LOG10(3.338657)</f>
        <v>0.52357180370278145</v>
      </c>
    </row>
    <row r="7701" spans="1:4">
      <c r="A7701">
        <v>1.0121</v>
      </c>
      <c r="B7701">
        <v>3.5058280000000002</v>
      </c>
      <c r="C7701">
        <f>LOG10(1.0121)</f>
        <v>5.2234248581359841E-3</v>
      </c>
      <c r="D7701">
        <f>LOG10(3.505828)</f>
        <v>0.54479060528793621</v>
      </c>
    </row>
    <row r="7702" spans="1:4">
      <c r="A7702">
        <v>1.0137290000000001</v>
      </c>
      <c r="B7702">
        <v>3.5084209999999998</v>
      </c>
      <c r="C7702">
        <f>LOG10(1.013729)</f>
        <v>5.921870643543597E-3</v>
      </c>
      <c r="D7702">
        <f>LOG10(3.508421)</f>
        <v>0.54511170185661351</v>
      </c>
    </row>
    <row r="7703" spans="1:4">
      <c r="A7703">
        <v>1.0130520000000001</v>
      </c>
      <c r="B7703">
        <v>3.65611</v>
      </c>
      <c r="C7703">
        <f>LOG10(1.013052)</f>
        <v>5.6317382856978957E-3</v>
      </c>
      <c r="D7703">
        <f>LOG10(3.65611)</f>
        <v>0.56301925371232642</v>
      </c>
    </row>
    <row r="7704" spans="1:4">
      <c r="A7704">
        <v>1.013871</v>
      </c>
      <c r="B7704">
        <v>3.7031230000000002</v>
      </c>
      <c r="C7704">
        <f>LOG10(1.013871)</f>
        <v>5.9827010011397966E-3</v>
      </c>
      <c r="D7704">
        <f>LOG10(3.703123)</f>
        <v>0.56856813747048385</v>
      </c>
    </row>
    <row r="7705" spans="1:4">
      <c r="A7705">
        <v>1.0202990000000001</v>
      </c>
      <c r="B7705">
        <v>3.6785459999999999</v>
      </c>
      <c r="C7705">
        <f>LOG10(1.020299)</f>
        <v>8.7274609984644459E-3</v>
      </c>
      <c r="D7705">
        <f>LOG10(3.678546)</f>
        <v>0.56567619123926494</v>
      </c>
    </row>
    <row r="7706" spans="1:4">
      <c r="A7706">
        <v>1.01735</v>
      </c>
      <c r="B7706">
        <v>3.3990269999999998</v>
      </c>
      <c r="C7706">
        <f>LOG10(1.01735)</f>
        <v>7.4703894210520344E-3</v>
      </c>
      <c r="D7706">
        <f>LOG10(3.399027)</f>
        <v>0.53135461439313292</v>
      </c>
    </row>
    <row r="7707" spans="1:4">
      <c r="A7707">
        <v>1.7895490000000001</v>
      </c>
      <c r="B7707">
        <v>3.3688720000000001</v>
      </c>
      <c r="C7707">
        <f>LOG10(1.789549)</f>
        <v>0.25274359439311939</v>
      </c>
      <c r="D7707">
        <f>LOG10(3.368872)</f>
        <v>0.52748451031334553</v>
      </c>
    </row>
    <row r="7708" spans="1:4">
      <c r="A7708">
        <v>1.5116780000000001</v>
      </c>
      <c r="B7708">
        <v>3.6853189999999998</v>
      </c>
      <c r="C7708">
        <f>LOG10(1.511678)</f>
        <v>0.17945929267579735</v>
      </c>
      <c r="D7708">
        <f>LOG10(3.685319)</f>
        <v>0.56647508620960707</v>
      </c>
    </row>
    <row r="7709" spans="1:4">
      <c r="A7709">
        <v>1.3285499999999999</v>
      </c>
      <c r="B7709">
        <v>3.462027</v>
      </c>
      <c r="C7709">
        <f>LOG10(1.32855)</f>
        <v>0.12337790373347961</v>
      </c>
      <c r="D7709">
        <f>LOG10(3.462027)</f>
        <v>0.53933045057152018</v>
      </c>
    </row>
    <row r="7710" spans="1:4">
      <c r="A7710">
        <v>1.3076570000000001</v>
      </c>
      <c r="B7710">
        <v>3.6072069999999998</v>
      </c>
      <c r="C7710">
        <f>LOG10(1.307657)</f>
        <v>0.1164938429621226</v>
      </c>
      <c r="D7710">
        <f>LOG10(3.607207)</f>
        <v>0.55717106507363712</v>
      </c>
    </row>
    <row r="7711" spans="1:4">
      <c r="A7711">
        <v>1.326379</v>
      </c>
      <c r="B7711">
        <v>3.4597530000000001</v>
      </c>
      <c r="C7711">
        <f>LOG10(1.326379)</f>
        <v>0.12266763725903487</v>
      </c>
      <c r="D7711">
        <f>LOG10(3.459753)</f>
        <v>0.53904509458292238</v>
      </c>
    </row>
    <row r="7712" spans="1:4">
      <c r="A7712">
        <v>1.2949120000000001</v>
      </c>
      <c r="B7712">
        <v>3.340713</v>
      </c>
      <c r="C7712">
        <f>LOG10(1.294912)</f>
        <v>0.11224025551148684</v>
      </c>
      <c r="D7712">
        <f>LOG10(3.340713)</f>
        <v>0.52383916708675149</v>
      </c>
    </row>
    <row r="7713" spans="1:4">
      <c r="A7713">
        <v>1.3242449999999999</v>
      </c>
      <c r="B7713">
        <v>3.6967910000000002</v>
      </c>
      <c r="C7713">
        <f>LOG10(1.324245)</f>
        <v>0.1219683418292634</v>
      </c>
      <c r="D7713">
        <f>LOG10(3.696791)</f>
        <v>0.56782489820295134</v>
      </c>
    </row>
    <row r="7714" spans="1:4">
      <c r="A7714">
        <v>1.328298</v>
      </c>
      <c r="B7714">
        <v>3.5985999999999998</v>
      </c>
      <c r="C7714">
        <f>LOG10(1.328298)</f>
        <v>0.12329551873458786</v>
      </c>
      <c r="D7714">
        <f>LOG10(3.5986)</f>
        <v>0.55613357562008359</v>
      </c>
    </row>
    <row r="7715" spans="1:4">
      <c r="A7715">
        <v>1.127518</v>
      </c>
      <c r="B7715">
        <v>3.7895819999999998</v>
      </c>
      <c r="C7715">
        <f>LOG10(1.127518)</f>
        <v>5.2123483799022707E-2</v>
      </c>
      <c r="D7715">
        <f>LOG10(3.789582)</f>
        <v>0.57859130888497312</v>
      </c>
    </row>
    <row r="7716" spans="1:4">
      <c r="A7716">
        <v>1.2786820000000001</v>
      </c>
      <c r="B7716">
        <v>3.5668150000000001</v>
      </c>
      <c r="C7716">
        <f>LOG10(1.278682)</f>
        <v>0.1067625516586264</v>
      </c>
      <c r="D7716">
        <f>LOG10(3.566815)</f>
        <v>0.55228058436982874</v>
      </c>
    </row>
    <row r="7717" spans="1:4">
      <c r="A7717">
        <v>1.2915939999999999</v>
      </c>
      <c r="B7717">
        <v>3.5765340000000001</v>
      </c>
      <c r="C7717">
        <f>LOG10(1.291594)</f>
        <v>0.11112601886839447</v>
      </c>
      <c r="D7717">
        <f>LOG10(3.576534)</f>
        <v>0.55346235798165111</v>
      </c>
    </row>
    <row r="7718" spans="1:4">
      <c r="A7718">
        <v>1.2424679999999999</v>
      </c>
      <c r="B7718">
        <v>3.6483270000000001</v>
      </c>
      <c r="C7718">
        <f>LOG10(1.242468)</f>
        <v>9.4285212212303487E-2</v>
      </c>
      <c r="D7718">
        <f>LOG10(3.648327)</f>
        <v>0.56209375726904653</v>
      </c>
    </row>
    <row r="7719" spans="1:4">
      <c r="A7719">
        <v>1.199346</v>
      </c>
      <c r="B7719">
        <v>3.4881519999999999</v>
      </c>
      <c r="C7719">
        <f>LOG10(1.199346)</f>
        <v>7.8944491033384412E-2</v>
      </c>
      <c r="D7719">
        <f>LOG10(3.488152)</f>
        <v>0.54259540152513386</v>
      </c>
    </row>
    <row r="7720" spans="1:4">
      <c r="A7720">
        <v>1.237746</v>
      </c>
      <c r="B7720">
        <v>3.7356760000000002</v>
      </c>
      <c r="C7720">
        <f>LOG10(1.237746)</f>
        <v>9.2631531504645009E-2</v>
      </c>
      <c r="D7720">
        <f>LOG10(3.735676)</f>
        <v>0.57236920227058219</v>
      </c>
    </row>
    <row r="7721" spans="1:4">
      <c r="A7721">
        <v>1.2060930000000001</v>
      </c>
      <c r="B7721">
        <v>3.5877910000000002</v>
      </c>
      <c r="C7721">
        <f>LOG10(1.206093)</f>
        <v>8.1380796883398568E-2</v>
      </c>
      <c r="D7721">
        <f>LOG10(3.587791)</f>
        <v>0.55482713610270873</v>
      </c>
    </row>
    <row r="7722" spans="1:4">
      <c r="A7722">
        <v>1.200413</v>
      </c>
      <c r="B7722">
        <v>3.6800660000000001</v>
      </c>
      <c r="C7722">
        <f>LOG10(1.200413)</f>
        <v>7.9330690016471764E-2</v>
      </c>
      <c r="D7722">
        <f>LOG10(3.680066)</f>
        <v>0.56585560758079279</v>
      </c>
    </row>
    <row r="7723" spans="1:4">
      <c r="A7723">
        <v>1.2397530000000001</v>
      </c>
      <c r="B7723">
        <v>4.0195429999999996</v>
      </c>
      <c r="C7723">
        <f>LOG10(1.239753)</f>
        <v>9.3335167886212156E-2</v>
      </c>
      <c r="D7723">
        <f>LOG10(4.019543)</f>
        <v>0.60417667898983718</v>
      </c>
    </row>
    <row r="7724" spans="1:4">
      <c r="A7724">
        <v>1.250383</v>
      </c>
      <c r="B7724">
        <v>3.9201920000000001</v>
      </c>
      <c r="C7724">
        <f>LOG10(1.250383)</f>
        <v>9.704306045548336E-2</v>
      </c>
      <c r="D7724">
        <f>LOG10(3.920192)</f>
        <v>0.59330733806599856</v>
      </c>
    </row>
    <row r="7725" spans="1:4">
      <c r="A7725">
        <v>1.294432</v>
      </c>
      <c r="B7725">
        <v>3.2996910000000002</v>
      </c>
      <c r="C7725">
        <f>LOG10(1.294432)</f>
        <v>0.11207924071105752</v>
      </c>
      <c r="D7725">
        <f>LOG10(3.299691)</f>
        <v>0.51847327221783912</v>
      </c>
    </row>
    <row r="7726" spans="1:4">
      <c r="A7726">
        <v>1.2294160000000001</v>
      </c>
      <c r="B7726">
        <v>3.31325</v>
      </c>
      <c r="C7726">
        <f>LOG10(1.229416)</f>
        <v>8.969886086430337E-2</v>
      </c>
      <c r="D7726">
        <f>LOG10(3.31325)</f>
        <v>0.52025420664084387</v>
      </c>
    </row>
    <row r="7727" spans="1:4">
      <c r="A7727">
        <v>1.2130240000000001</v>
      </c>
      <c r="B7727">
        <v>3.5880109999999998</v>
      </c>
      <c r="C7727">
        <f>LOG10(1.213024)</f>
        <v>8.3869393582528026E-2</v>
      </c>
      <c r="D7727">
        <f>LOG10(3.588011)</f>
        <v>0.55485376581909407</v>
      </c>
    </row>
    <row r="7728" spans="1:4">
      <c r="A7728">
        <v>1.263636</v>
      </c>
      <c r="B7728">
        <v>3.5015000000000001</v>
      </c>
      <c r="C7728">
        <f>LOG10(1.263636)</f>
        <v>0.10162199011902273</v>
      </c>
      <c r="D7728">
        <f>LOG10(3.5015)</f>
        <v>0.5442541306840103</v>
      </c>
    </row>
    <row r="7729" spans="1:4">
      <c r="A7729">
        <v>1.2755479999999999</v>
      </c>
      <c r="B7729">
        <v>3.5384030000000002</v>
      </c>
      <c r="C7729">
        <f>LOG10(1.275548)</f>
        <v>0.10569680613898573</v>
      </c>
      <c r="D7729">
        <f>LOG10(3.538403)</f>
        <v>0.54880729457398614</v>
      </c>
    </row>
    <row r="7730" spans="1:4">
      <c r="A7730">
        <v>1.2227159999999999</v>
      </c>
      <c r="B7730">
        <v>3.3930699999999998</v>
      </c>
      <c r="C7730">
        <f>LOG10(1.222716)</f>
        <v>8.7325595257227759E-2</v>
      </c>
      <c r="D7730">
        <f>LOG10(3.39307)</f>
        <v>0.53059281935633029</v>
      </c>
    </row>
    <row r="7731" spans="1:4">
      <c r="A7731">
        <v>1.294249</v>
      </c>
      <c r="B7731">
        <v>3.411473</v>
      </c>
      <c r="C7731">
        <f>LOG10(1.294249)</f>
        <v>0.11201783809689168</v>
      </c>
      <c r="D7731">
        <f>LOG10(3.411473)</f>
        <v>0.53294193841896953</v>
      </c>
    </row>
    <row r="7732" spans="1:4">
      <c r="A7732">
        <v>1.2997890000000001</v>
      </c>
      <c r="B7732">
        <v>3.570141</v>
      </c>
      <c r="C7732">
        <f>LOG10(1.299789)</f>
        <v>0.1138728572505974</v>
      </c>
      <c r="D7732">
        <f>LOG10(3.570141)</f>
        <v>0.55268536858073869</v>
      </c>
    </row>
    <row r="7733" spans="1:4">
      <c r="A7733">
        <v>1.2530479999999999</v>
      </c>
      <c r="B7733">
        <v>3.5327630000000001</v>
      </c>
      <c r="C7733">
        <f>LOG10(1.253048)</f>
        <v>9.7967707654847538E-2</v>
      </c>
      <c r="D7733">
        <f>LOG10(3.532763)</f>
        <v>0.54811450320199628</v>
      </c>
    </row>
    <row r="7734" spans="1:4">
      <c r="A7734">
        <v>1.2674939999999999</v>
      </c>
      <c r="B7734">
        <v>3.5212340000000002</v>
      </c>
      <c r="C7734">
        <f>LOG10(1.267494)</f>
        <v>0.10294591216864066</v>
      </c>
      <c r="D7734">
        <f>LOG10(3.521234)</f>
        <v>0.54669488662428845</v>
      </c>
    </row>
    <row r="7735" spans="1:4">
      <c r="A7735">
        <v>1.1770750000000001</v>
      </c>
      <c r="B7735">
        <v>3.4691649999999998</v>
      </c>
      <c r="C7735">
        <f>LOG10(1.177075)</f>
        <v>7.0804135781768252E-2</v>
      </c>
      <c r="D7735">
        <f>LOG10(3.469165)</f>
        <v>0.54022495619414357</v>
      </c>
    </row>
    <row r="7736" spans="1:4">
      <c r="A7736">
        <v>1.2249159999999999</v>
      </c>
      <c r="B7736">
        <v>3.3863310000000002</v>
      </c>
      <c r="C7736">
        <f>LOG10(1.224916)</f>
        <v>8.8106307486424576E-2</v>
      </c>
      <c r="D7736">
        <f>LOG10(3.386331)</f>
        <v>0.52972940635641375</v>
      </c>
    </row>
    <row r="7737" spans="1:4">
      <c r="A7737">
        <v>1.1705159999999999</v>
      </c>
      <c r="B7737">
        <v>3.6088640000000001</v>
      </c>
      <c r="C7737">
        <f>LOG10(1.170516)</f>
        <v>6.8377354524927283E-2</v>
      </c>
      <c r="D7737">
        <f>LOG10(3.608864)</f>
        <v>0.55737051598512677</v>
      </c>
    </row>
    <row r="7738" spans="1:4">
      <c r="A7738">
        <v>1.2163679999999999</v>
      </c>
      <c r="B7738">
        <v>3.4517199999999999</v>
      </c>
      <c r="C7738">
        <f>LOG10(1.216368)</f>
        <v>8.5064986277894564E-2</v>
      </c>
      <c r="D7738">
        <f>LOG10(3.45172)</f>
        <v>0.53803555894730493</v>
      </c>
    </row>
    <row r="7739" spans="1:4">
      <c r="A7739">
        <v>1.260413</v>
      </c>
      <c r="B7739">
        <v>3.3944540000000001</v>
      </c>
      <c r="C7739">
        <f>LOG10(1.260413)</f>
        <v>0.10051287387291481</v>
      </c>
      <c r="D7739">
        <f>LOG10(3.394454)</f>
        <v>0.53076992770137166</v>
      </c>
    </row>
    <row r="7740" spans="1:4">
      <c r="A7740">
        <v>1.2559389999999999</v>
      </c>
      <c r="B7740">
        <v>3.5466259999999998</v>
      </c>
      <c r="C7740">
        <f>LOG10(1.255939)</f>
        <v>9.8968546561421789E-2</v>
      </c>
      <c r="D7740">
        <f>LOG10(3.546626)</f>
        <v>0.54981539351844999</v>
      </c>
    </row>
    <row r="7741" spans="1:4">
      <c r="A7741">
        <v>1.318182</v>
      </c>
      <c r="B7741">
        <v>3.3897170000000001</v>
      </c>
      <c r="C7741">
        <f>LOG10(1.318182)</f>
        <v>0.11997537697943286</v>
      </c>
      <c r="D7741">
        <f>LOG10(3.389717)</f>
        <v>0.53016344142762972</v>
      </c>
    </row>
    <row r="7742" spans="1:4">
      <c r="A7742">
        <v>1.2948029999999999</v>
      </c>
      <c r="B7742">
        <v>3.1970719999999999</v>
      </c>
      <c r="C7742">
        <f>LOG10(1.294803)</f>
        <v>0.11220369697237696</v>
      </c>
      <c r="D7742">
        <f>LOG10(3.197072)</f>
        <v>0.50475241695689088</v>
      </c>
    </row>
    <row r="7743" spans="1:4">
      <c r="A7743">
        <v>1.288611</v>
      </c>
      <c r="B7743">
        <v>3.3617249999999999</v>
      </c>
      <c r="C7743">
        <f>LOG10(1.288611)</f>
        <v>0.11012183430422071</v>
      </c>
      <c r="D7743">
        <f>LOG10(3.361725)</f>
        <v>0.52656218386034959</v>
      </c>
    </row>
    <row r="7744" spans="1:4">
      <c r="A7744">
        <v>1.230823</v>
      </c>
      <c r="B7744">
        <v>3.3226770000000001</v>
      </c>
      <c r="C7744">
        <f>LOG10(1.230823)</f>
        <v>9.019560317483151E-2</v>
      </c>
      <c r="D7744">
        <f>LOG10(3.322677)</f>
        <v>0.52148812522825738</v>
      </c>
    </row>
    <row r="7745" spans="1:4">
      <c r="A7745">
        <v>1.2984869999999999</v>
      </c>
      <c r="B7745">
        <v>3.3813879999999998</v>
      </c>
      <c r="C7745">
        <f>LOG10(1.298487)</f>
        <v>0.11343760598185851</v>
      </c>
      <c r="D7745">
        <f>LOG10(3.381388)</f>
        <v>0.52909500708369783</v>
      </c>
    </row>
    <row r="7746" spans="1:4">
      <c r="A7746">
        <v>1.266122</v>
      </c>
      <c r="B7746">
        <v>3.585944</v>
      </c>
      <c r="C7746">
        <f>LOG10(1.266122)</f>
        <v>0.10247555510789093</v>
      </c>
      <c r="D7746">
        <f>LOG10(3.585944)</f>
        <v>0.55460350310656381</v>
      </c>
    </row>
    <row r="7747" spans="1:4">
      <c r="A7747">
        <v>1.294168</v>
      </c>
      <c r="B7747">
        <v>3.3176369999999999</v>
      </c>
      <c r="C7747">
        <f>LOG10(1.294168)</f>
        <v>0.11199065711867555</v>
      </c>
      <c r="D7747">
        <f>LOG10(3.317637)</f>
        <v>0.52082886585916432</v>
      </c>
    </row>
    <row r="7748" spans="1:4">
      <c r="A7748">
        <v>1.2647170000000001</v>
      </c>
      <c r="B7748">
        <v>3.3472050000000002</v>
      </c>
      <c r="C7748">
        <f>LOG10(1.264717)</f>
        <v>0.10199335627204326</v>
      </c>
      <c r="D7748">
        <f>LOG10(3.347205)</f>
        <v>0.5246823115936291</v>
      </c>
    </row>
    <row r="7749" spans="1:4">
      <c r="A7749">
        <v>1.255401</v>
      </c>
      <c r="B7749">
        <v>3.502564</v>
      </c>
      <c r="C7749">
        <f>LOG10(1.255401)</f>
        <v>9.8782470255674035E-2</v>
      </c>
      <c r="D7749">
        <f>LOG10(3.502564)</f>
        <v>0.54438607960175278</v>
      </c>
    </row>
    <row r="7750" spans="1:4">
      <c r="A7750">
        <v>1.291741</v>
      </c>
      <c r="B7750">
        <v>3.2893340000000002</v>
      </c>
      <c r="C7750">
        <f>LOG10(1.291741)</f>
        <v>0.11117544435050092</v>
      </c>
      <c r="D7750">
        <f>LOG10(3.289334)</f>
        <v>0.51710797411879761</v>
      </c>
    </row>
    <row r="7751" spans="1:4">
      <c r="A7751">
        <v>1.191629</v>
      </c>
      <c r="B7751">
        <v>3.1280990000000002</v>
      </c>
      <c r="C7751">
        <f>LOG10(1.191629)</f>
        <v>7.6141063850425336E-2</v>
      </c>
      <c r="D7751">
        <f>LOG10(3.128099)</f>
        <v>0.49528048942404213</v>
      </c>
    </row>
    <row r="7752" spans="1:4">
      <c r="A7752">
        <v>1.2100249999999999</v>
      </c>
      <c r="B7752">
        <v>3.0844130000000001</v>
      </c>
      <c r="C7752">
        <f>LOG10(1.210025)</f>
        <v>8.2794343250240376E-2</v>
      </c>
      <c r="D7752">
        <f>LOG10(3.084413)</f>
        <v>0.48917252489519042</v>
      </c>
    </row>
    <row r="7753" spans="1:4">
      <c r="A7753">
        <v>1.1885760000000001</v>
      </c>
      <c r="B7753">
        <v>3.1899549999999999</v>
      </c>
      <c r="C7753">
        <f>LOG10(1.188576)</f>
        <v>7.5026956636646838E-2</v>
      </c>
      <c r="D7753">
        <f>LOG10(3.189955)</f>
        <v>0.50378455660278265</v>
      </c>
    </row>
    <row r="7754" spans="1:4">
      <c r="A7754">
        <v>1.1375869999999999</v>
      </c>
      <c r="B7754">
        <v>3.1917689999999999</v>
      </c>
      <c r="C7754">
        <f>LOG10(1.137587)</f>
        <v>5.5984620428127733E-2</v>
      </c>
      <c r="D7754">
        <f>LOG10(3.191769)</f>
        <v>0.50403145233546875</v>
      </c>
    </row>
    <row r="7755" spans="1:4">
      <c r="A7755">
        <v>1.146631</v>
      </c>
      <c r="B7755">
        <v>3.3060679999999998</v>
      </c>
      <c r="C7755">
        <f>LOG10(1.146631)</f>
        <v>5.942367906341197E-2</v>
      </c>
      <c r="D7755">
        <f>LOG10(3.306068)</f>
        <v>0.5193117820004185</v>
      </c>
    </row>
    <row r="7756" spans="1:4">
      <c r="A7756">
        <v>1.169724</v>
      </c>
      <c r="B7756">
        <v>3.2474539999999998</v>
      </c>
      <c r="C7756">
        <f>LOG10(1.169724)</f>
        <v>6.8083400705832714E-2</v>
      </c>
      <c r="D7756">
        <f>LOG10(3.247454)</f>
        <v>0.51154300803216102</v>
      </c>
    </row>
    <row r="7757" spans="1:4">
      <c r="A7757">
        <v>1.17418</v>
      </c>
      <c r="B7757">
        <v>3.4394879999999999</v>
      </c>
      <c r="C7757">
        <f>LOG10(1.17418)</f>
        <v>6.9734678695697147E-2</v>
      </c>
      <c r="D7757">
        <f>LOG10(3.439488)</f>
        <v>0.53649379858199342</v>
      </c>
    </row>
    <row r="7758" spans="1:4">
      <c r="A7758">
        <v>1.132755</v>
      </c>
      <c r="B7758">
        <v>3.6016759999999999</v>
      </c>
      <c r="C7758">
        <f>LOG10(1.132755)</f>
        <v>5.4135987838746728E-2</v>
      </c>
      <c r="D7758">
        <f>LOG10(3.601676)</f>
        <v>0.55650464192576499</v>
      </c>
    </row>
    <row r="7759" spans="1:4">
      <c r="A7759">
        <v>1.1185</v>
      </c>
      <c r="B7759">
        <v>3.459022</v>
      </c>
      <c r="C7759">
        <f>LOG10(1.1185)</f>
        <v>4.8635988432648505E-2</v>
      </c>
      <c r="D7759">
        <f>LOG10(3.459022)</f>
        <v>0.53895332421390407</v>
      </c>
    </row>
    <row r="7760" spans="1:4">
      <c r="A7760">
        <v>1.1101369999999999</v>
      </c>
      <c r="B7760">
        <v>3.64215</v>
      </c>
      <c r="C7760">
        <f>LOG10(1.110137)</f>
        <v>4.5376577590781897E-2</v>
      </c>
      <c r="D7760">
        <f>LOG10(3.64215)</f>
        <v>0.56135782801321288</v>
      </c>
    </row>
    <row r="7761" spans="1:4">
      <c r="A7761">
        <v>1.007978</v>
      </c>
      <c r="B7761">
        <v>3.6921780000000002</v>
      </c>
      <c r="C7761">
        <f>LOG10(1.007978)</f>
        <v>3.4510533566607378E-3</v>
      </c>
      <c r="D7761">
        <f>LOG10(3.692178)</f>
        <v>0.56728263020715852</v>
      </c>
    </row>
    <row r="7762" spans="1:4">
      <c r="A7762">
        <v>1.007592</v>
      </c>
      <c r="B7762">
        <v>3.5698979999999998</v>
      </c>
      <c r="C7762">
        <f>LOG10(1.007592)</f>
        <v>3.2847106624709394E-3</v>
      </c>
      <c r="D7762">
        <f>LOG10(3.569898)</f>
        <v>0.55265580752115806</v>
      </c>
    </row>
    <row r="7763" spans="1:4">
      <c r="A7763">
        <v>1.0592490000000001</v>
      </c>
      <c r="B7763">
        <v>3.5933350000000002</v>
      </c>
      <c r="C7763">
        <f>LOG10(1.059249)</f>
        <v>2.499806267096271E-2</v>
      </c>
      <c r="D7763">
        <f>LOG10(3.593335)</f>
        <v>0.55549770756629924</v>
      </c>
    </row>
    <row r="7764" spans="1:4">
      <c r="A7764">
        <v>1.0736399999999999</v>
      </c>
      <c r="B7764">
        <v>3.6193240000000002</v>
      </c>
      <c r="C7764">
        <f>LOG10(1.07364)</f>
        <v>3.0858683390925415E-2</v>
      </c>
      <c r="D7764">
        <f>LOG10(3.619324)</f>
        <v>0.55862746266435925</v>
      </c>
    </row>
    <row r="7765" spans="1:4">
      <c r="A7765">
        <v>1.0173840000000001</v>
      </c>
      <c r="B7765">
        <v>3.6631170000000002</v>
      </c>
      <c r="C7765">
        <f>LOG10(1.017384)</f>
        <v>7.4849033696921261E-3</v>
      </c>
      <c r="D7765">
        <f>LOG10(3.663117)</f>
        <v>0.56385079025692786</v>
      </c>
    </row>
    <row r="7766" spans="1:4">
      <c r="A7766">
        <v>1.009976</v>
      </c>
      <c r="B7766">
        <v>3.632301</v>
      </c>
      <c r="C7766">
        <f>LOG10(1.009976)</f>
        <v>4.3110537911514131E-3</v>
      </c>
      <c r="D7766">
        <f>LOG10(3.632301)</f>
        <v>0.56018183027376356</v>
      </c>
    </row>
    <row r="7767" spans="1:4">
      <c r="A7767">
        <v>1.007674</v>
      </c>
      <c r="B7767">
        <v>3.6937099999999998</v>
      </c>
      <c r="C7767">
        <f>LOG10(1.007674)</f>
        <v>3.3200530416265281E-3</v>
      </c>
      <c r="D7767">
        <f>LOG10(3.69371)</f>
        <v>0.56746279518009546</v>
      </c>
    </row>
    <row r="7768" spans="1:4">
      <c r="A7768">
        <v>1.0162089999999999</v>
      </c>
      <c r="B7768">
        <v>3.5319289999999999</v>
      </c>
      <c r="C7768">
        <f>LOG10(1.016209)</f>
        <v>6.9830368968793743E-3</v>
      </c>
      <c r="D7768">
        <f>LOG10(3.531929)</f>
        <v>0.54801196466256952</v>
      </c>
    </row>
    <row r="7769" spans="1:4">
      <c r="A7769">
        <v>1.025479</v>
      </c>
      <c r="B7769">
        <v>3.6216309999999998</v>
      </c>
      <c r="C7769">
        <f>LOG10(1.025479)</f>
        <v>1.0926771210965341E-2</v>
      </c>
      <c r="D7769">
        <f>LOG10(3.621631)</f>
        <v>0.55890419892460441</v>
      </c>
    </row>
    <row r="7770" spans="1:4">
      <c r="A7770">
        <v>1.0391030000000001</v>
      </c>
      <c r="B7770">
        <v>3.6140650000000001</v>
      </c>
      <c r="C7770">
        <f>LOG10(1.039103)</f>
        <v>1.6658598678005121E-2</v>
      </c>
      <c r="D7770">
        <f>LOG10(3.614065)</f>
        <v>0.55799595920650347</v>
      </c>
    </row>
    <row r="7771" spans="1:4">
      <c r="A7771">
        <v>1.0352209999999999</v>
      </c>
      <c r="B7771">
        <v>3.6563059999999998</v>
      </c>
      <c r="C7771">
        <f>LOG10(1.035221)</f>
        <v>1.5033073304933767E-2</v>
      </c>
      <c r="D7771">
        <f>LOG10(3.656306)</f>
        <v>0.56304253513353475</v>
      </c>
    </row>
    <row r="7772" spans="1:4">
      <c r="A7772">
        <v>1.0282439999999999</v>
      </c>
      <c r="B7772">
        <v>3.5783</v>
      </c>
      <c r="C7772">
        <f>LOG10(1.028244)</f>
        <v>1.2096183997411096E-2</v>
      </c>
      <c r="D7772">
        <f>LOG10(3.5783)</f>
        <v>0.55367674844007864</v>
      </c>
    </row>
    <row r="7773" spans="1:4">
      <c r="A7773">
        <v>1.0175380000000001</v>
      </c>
      <c r="B7773">
        <v>3.6243050000000001</v>
      </c>
      <c r="C7773">
        <f>LOG10(1.017538)</f>
        <v>7.5506369460560134E-3</v>
      </c>
      <c r="D7773">
        <f>LOG10(3.624305)</f>
        <v>0.55922473818891127</v>
      </c>
    </row>
    <row r="7774" spans="1:4">
      <c r="A7774">
        <v>1.0361640000000001</v>
      </c>
      <c r="B7774">
        <v>3.7236150000000001</v>
      </c>
      <c r="C7774">
        <f>LOG10(1.036164)</f>
        <v>1.5428499287769083E-2</v>
      </c>
      <c r="D7774">
        <f>LOG10(3.723615)</f>
        <v>0.57096477112263477</v>
      </c>
    </row>
    <row r="7775" spans="1:4">
      <c r="A7775">
        <v>1.0299450000000001</v>
      </c>
      <c r="B7775">
        <v>3.7124470000000001</v>
      </c>
      <c r="C7775">
        <f>LOG10(1.029945)</f>
        <v>1.2814033603943476E-2</v>
      </c>
      <c r="D7775">
        <f>LOG10(3.712447)</f>
        <v>0.56966026225204502</v>
      </c>
    </row>
    <row r="7776" spans="1:4">
      <c r="A7776">
        <v>1.0647869999999999</v>
      </c>
      <c r="B7776">
        <v>3.8097319999999999</v>
      </c>
      <c r="C7776">
        <f>LOG10(1.064787)</f>
        <v>2.7262740191327919E-2</v>
      </c>
      <c r="D7776">
        <f>LOG10(3.809732)</f>
        <v>0.58089442580294715</v>
      </c>
    </row>
    <row r="7777" spans="1:4">
      <c r="A7777">
        <v>1.049242</v>
      </c>
      <c r="B7777">
        <v>3.4976080000000001</v>
      </c>
      <c r="C7777">
        <f>LOG10(1.049242)</f>
        <v>2.0875666595369095E-2</v>
      </c>
      <c r="D7777">
        <f>LOG10(3.497608)</f>
        <v>0.54377113362273144</v>
      </c>
    </row>
    <row r="7778" spans="1:4">
      <c r="A7778">
        <v>1.06257</v>
      </c>
      <c r="B7778">
        <v>3.4982009999999999</v>
      </c>
      <c r="C7778">
        <f>LOG10(1.06257)</f>
        <v>2.6357550122203487E-2</v>
      </c>
      <c r="D7778">
        <f>LOG10(3.498201)</f>
        <v>0.54384475959747869</v>
      </c>
    </row>
    <row r="7779" spans="1:4">
      <c r="A7779">
        <v>1.0041180000000001</v>
      </c>
      <c r="B7779">
        <v>3.5466250000000001</v>
      </c>
      <c r="C7779">
        <f>LOG10(1.004118)</f>
        <v>1.7847523882718634E-3</v>
      </c>
      <c r="D7779">
        <f>LOG10(3.546625)</f>
        <v>0.54981527106557704</v>
      </c>
    </row>
    <row r="7780" spans="1:4">
      <c r="A7780">
        <v>1.014078</v>
      </c>
      <c r="B7780">
        <v>3.6327349999999998</v>
      </c>
      <c r="C7780">
        <f>LOG10(1.014078)</f>
        <v>6.0713609803268688E-3</v>
      </c>
      <c r="D7780">
        <f>LOG10(3.632735)</f>
        <v>0.56023371819431078</v>
      </c>
    </row>
    <row r="7781" spans="1:4">
      <c r="A7781">
        <v>1.021954</v>
      </c>
      <c r="B7781">
        <v>3.5214590000000001</v>
      </c>
      <c r="C7781">
        <f>LOG10(1.021954)</f>
        <v>9.4313478576239125E-3</v>
      </c>
      <c r="D7781">
        <f>LOG10(3.521459)</f>
        <v>0.54672263630994467</v>
      </c>
    </row>
    <row r="7782" spans="1:4">
      <c r="A7782">
        <v>1.0118579999999999</v>
      </c>
      <c r="B7782">
        <v>3.493277</v>
      </c>
      <c r="C7782">
        <f>LOG10(1.011858)</f>
        <v>5.1195696742621401E-3</v>
      </c>
      <c r="D7782">
        <f>LOG10(3.493277)</f>
        <v>0.54323302445865262</v>
      </c>
    </row>
    <row r="7783" spans="1:4">
      <c r="A7783">
        <v>1.0150030000000001</v>
      </c>
      <c r="B7783">
        <v>3.4519639999999998</v>
      </c>
      <c r="C7783">
        <f>LOG10(1.015003)</f>
        <v>6.4673258763453317E-3</v>
      </c>
      <c r="D7783">
        <f>LOG10(3.451964)</f>
        <v>0.53806625787663842</v>
      </c>
    </row>
    <row r="7784" spans="1:4">
      <c r="A7784">
        <v>1.007897</v>
      </c>
      <c r="B7784">
        <v>3.5605540000000002</v>
      </c>
      <c r="C7784">
        <f>LOG10(1.007897)</f>
        <v>3.416152528927774E-3</v>
      </c>
      <c r="D7784">
        <f>LOG10(3.560554)</f>
        <v>0.55151757674370117</v>
      </c>
    </row>
    <row r="7785" spans="1:4">
      <c r="A7785">
        <v>1.017225</v>
      </c>
      <c r="B7785">
        <v>3.5584169999999999</v>
      </c>
      <c r="C7785">
        <f>LOG10(1.017225)</f>
        <v>7.4170251456567504E-3</v>
      </c>
      <c r="D7785">
        <f>LOG10(3.558417)</f>
        <v>0.55125684037163158</v>
      </c>
    </row>
    <row r="7786" spans="1:4">
      <c r="A7786">
        <v>1.0087660000000001</v>
      </c>
      <c r="B7786">
        <v>3.5468609999999998</v>
      </c>
      <c r="C7786">
        <f>LOG10(1.008766)</f>
        <v>3.7904361133769475E-3</v>
      </c>
      <c r="D7786">
        <f>LOG10(3.546861)</f>
        <v>0.54984416898622335</v>
      </c>
    </row>
    <row r="7787" spans="1:4">
      <c r="A7787">
        <v>1.0110440000000001</v>
      </c>
      <c r="B7787">
        <v>3.455587</v>
      </c>
      <c r="C7787">
        <f>LOG10(1.011044)</f>
        <v>4.7700562254153322E-3</v>
      </c>
      <c r="D7787">
        <f>LOG10(3.455587)</f>
        <v>0.53852183150967281</v>
      </c>
    </row>
    <row r="7788" spans="1:4">
      <c r="A7788">
        <v>1.015074</v>
      </c>
      <c r="B7788">
        <v>3.5408729999999999</v>
      </c>
      <c r="C7788">
        <f>LOG10(1.015074)</f>
        <v>6.4977039440025424E-3</v>
      </c>
      <c r="D7788">
        <f>LOG10(3.540873)</f>
        <v>0.54911035025759836</v>
      </c>
    </row>
    <row r="7789" spans="1:4">
      <c r="A7789">
        <v>1.013382</v>
      </c>
      <c r="B7789">
        <v>3.527844</v>
      </c>
      <c r="C7789">
        <f>LOG10(1.013382)</f>
        <v>5.7731859521848779E-3</v>
      </c>
      <c r="D7789">
        <f>LOG10(3.527844)</f>
        <v>0.54750937253770338</v>
      </c>
    </row>
    <row r="7790" spans="1:4">
      <c r="A7790">
        <v>1.0037529999999999</v>
      </c>
      <c r="B7790">
        <v>3.4875609999999999</v>
      </c>
      <c r="C7790">
        <f>LOG10(1.003753)</f>
        <v>1.6268563006837018E-3</v>
      </c>
      <c r="D7790">
        <f>LOG10(3.487561)</f>
        <v>0.54252181247712716</v>
      </c>
    </row>
    <row r="7791" spans="1:4">
      <c r="A7791">
        <v>1.0592060000000001</v>
      </c>
      <c r="B7791">
        <v>3.4461740000000001</v>
      </c>
      <c r="C7791">
        <f>LOG10(1.059206)</f>
        <v>2.4980432216009065E-2</v>
      </c>
      <c r="D7791">
        <f>LOG10(3.446174)</f>
        <v>0.53733720153107378</v>
      </c>
    </row>
    <row r="7792" spans="1:4">
      <c r="A7792">
        <v>1.0553809999999999</v>
      </c>
      <c r="B7792">
        <v>3.5536449999999999</v>
      </c>
      <c r="C7792">
        <f>LOG10(1.055381)</f>
        <v>2.3409271317860251E-2</v>
      </c>
      <c r="D7792">
        <f>LOG10(3.553645)</f>
        <v>0.55067404073387494</v>
      </c>
    </row>
    <row r="7793" spans="1:4">
      <c r="A7793">
        <v>1.0525340000000001</v>
      </c>
      <c r="B7793">
        <v>3.4658359999999999</v>
      </c>
      <c r="C7793">
        <f>LOG10(1.052534)</f>
        <v>2.2236133746555295E-2</v>
      </c>
      <c r="D7793">
        <f>LOG10(3.465836)</f>
        <v>0.53980800847018384</v>
      </c>
    </row>
    <row r="7794" spans="1:4">
      <c r="A7794">
        <v>1.051971</v>
      </c>
      <c r="B7794">
        <v>3.7018019999999998</v>
      </c>
      <c r="C7794">
        <f>LOG10(1.051971)</f>
        <v>2.2003767656529827E-2</v>
      </c>
      <c r="D7794">
        <f>LOG10(3.701802)</f>
        <v>0.56841318572777733</v>
      </c>
    </row>
    <row r="7795" spans="1:4">
      <c r="A7795">
        <v>1.0199400000000001</v>
      </c>
      <c r="B7795">
        <v>3.966774</v>
      </c>
      <c r="C7795">
        <f>LOG10(1.01994)</f>
        <v>8.5746242762839847E-3</v>
      </c>
      <c r="D7795">
        <f>LOG10(3.966774)</f>
        <v>0.59843745801162596</v>
      </c>
    </row>
    <row r="7796" spans="1:4">
      <c r="A7796">
        <v>1.0038290000000001</v>
      </c>
      <c r="B7796">
        <v>3.891095</v>
      </c>
      <c r="C7796">
        <f>LOG10(1.003829)</f>
        <v>1.6597380267008664E-3</v>
      </c>
      <c r="D7796">
        <f>LOG10(3.891095)</f>
        <v>0.59007183411192188</v>
      </c>
    </row>
    <row r="7797" spans="1:4">
      <c r="A7797">
        <v>1.0099359999999999</v>
      </c>
      <c r="B7797">
        <v>4.0254630000000002</v>
      </c>
      <c r="C7797">
        <f>LOG10(1.009936)</f>
        <v>4.2938532603575778E-3</v>
      </c>
      <c r="D7797">
        <f>LOG10(4.025463)</f>
        <v>0.60481583918360926</v>
      </c>
    </row>
    <row r="7798" spans="1:4">
      <c r="A7798">
        <v>1.010467</v>
      </c>
      <c r="B7798">
        <v>3.6349670000000001</v>
      </c>
      <c r="C7798">
        <f>LOG10(1.010467)</f>
        <v>4.5221348212148528E-3</v>
      </c>
      <c r="D7798">
        <f>LOG10(3.634967)</f>
        <v>0.5605004724762237</v>
      </c>
    </row>
    <row r="7799" spans="1:4">
      <c r="A7799">
        <v>1.0064439999999999</v>
      </c>
      <c r="B7799">
        <v>3.3536790000000001</v>
      </c>
      <c r="C7799">
        <f>LOG10(1.006444)</f>
        <v>2.7896151237416442E-3</v>
      </c>
      <c r="D7799">
        <f>LOG10(3.353679)</f>
        <v>0.52552149142442706</v>
      </c>
    </row>
    <row r="7800" spans="1:4">
      <c r="A7800">
        <v>1.010178</v>
      </c>
      <c r="B7800">
        <v>3.1389300000000002</v>
      </c>
      <c r="C7800">
        <f>LOG10(1.010178)</f>
        <v>4.3979060664104796E-3</v>
      </c>
      <c r="D7800">
        <f>LOG10(3.13893)</f>
        <v>0.49678163078360199</v>
      </c>
    </row>
    <row r="7801" spans="1:4">
      <c r="A7801">
        <v>1.0176879999999999</v>
      </c>
      <c r="B7801">
        <v>3.0808580000000001</v>
      </c>
      <c r="C7801">
        <f>LOG10(1.017688)</f>
        <v>7.6146535932523308E-3</v>
      </c>
      <c r="D7801">
        <f>LOG10(3.080858)</f>
        <v>0.48867168168674852</v>
      </c>
    </row>
    <row r="7802" spans="1:4">
      <c r="A7802">
        <v>1.0182979999999999</v>
      </c>
      <c r="B7802">
        <v>3.1938010000000001</v>
      </c>
      <c r="C7802">
        <f>LOG10(1.018298)</f>
        <v>7.8748907873075723E-3</v>
      </c>
      <c r="D7802">
        <f>LOG10(3.193801)</f>
        <v>0.50430785253686505</v>
      </c>
    </row>
    <row r="7803" spans="1:4">
      <c r="A7803">
        <v>1.0060560000000001</v>
      </c>
      <c r="B7803">
        <v>3.2277680000000002</v>
      </c>
      <c r="C7803">
        <f>LOG10(1.006056)</f>
        <v>2.6221554854150082E-3</v>
      </c>
      <c r="D7803">
        <f>LOG10(3.227768)</f>
        <v>0.50890231169417466</v>
      </c>
    </row>
    <row r="7804" spans="1:4">
      <c r="A7804">
        <v>1.0088600000000001</v>
      </c>
      <c r="B7804">
        <v>3.331852</v>
      </c>
      <c r="C7804">
        <f>LOG10(1.00886)</f>
        <v>3.8309031586355427E-3</v>
      </c>
      <c r="D7804">
        <f>LOG10(3.331852)</f>
        <v>0.52268570191516628</v>
      </c>
    </row>
    <row r="7805" spans="1:4">
      <c r="A7805">
        <v>1.0119100000000001</v>
      </c>
      <c r="B7805">
        <v>3.0532650000000001</v>
      </c>
      <c r="C7805">
        <f>LOG10(1.01191)</f>
        <v>5.1418877592046934E-3</v>
      </c>
      <c r="D7805">
        <f>LOG10(3.053265)</f>
        <v>0.48476449936685051</v>
      </c>
    </row>
    <row r="7806" spans="1:4">
      <c r="A7806">
        <v>1.0046649999999999</v>
      </c>
      <c r="B7806">
        <v>3.1072799999999998</v>
      </c>
      <c r="C7806">
        <f>LOG10(1.004665)</f>
        <v>2.0212727963723393E-3</v>
      </c>
      <c r="D7806">
        <f>LOG10(3.10728)</f>
        <v>0.4923803897132657</v>
      </c>
    </row>
    <row r="7807" spans="1:4">
      <c r="A7807">
        <v>1.0083</v>
      </c>
      <c r="B7807">
        <v>3.0926439999999999</v>
      </c>
      <c r="C7807">
        <f>LOG10(1.0083)</f>
        <v>3.5897671891398659E-3</v>
      </c>
      <c r="D7807">
        <f>LOG10(3.092644)</f>
        <v>0.49032993043516365</v>
      </c>
    </row>
    <row r="7808" spans="1:4">
      <c r="A7808">
        <v>1.01749</v>
      </c>
      <c r="B7808">
        <v>3.0632450000000002</v>
      </c>
      <c r="C7808">
        <f>LOG10(1.01749)</f>
        <v>7.5301496258469132E-3</v>
      </c>
      <c r="D7808">
        <f>LOG10(3.063245)</f>
        <v>0.48618173330441861</v>
      </c>
    </row>
    <row r="7809" spans="1:4">
      <c r="A7809">
        <v>1.004748</v>
      </c>
      <c r="B7809">
        <v>3.2184279999999998</v>
      </c>
      <c r="C7809">
        <f>LOG10(1.004748)</f>
        <v>2.057150380540944E-3</v>
      </c>
      <c r="D7809">
        <f>LOG10(3.218428)</f>
        <v>0.50764379789796654</v>
      </c>
    </row>
    <row r="7810" spans="1:4">
      <c r="A7810">
        <v>1.0051410000000001</v>
      </c>
      <c r="B7810">
        <v>2.9688150000000002</v>
      </c>
      <c r="C7810">
        <f>LOG10(1.005141)</f>
        <v>2.226988350262857E-3</v>
      </c>
      <c r="D7810">
        <f>LOG10(2.968815)</f>
        <v>0.47258313562824067</v>
      </c>
    </row>
    <row r="7811" spans="1:4">
      <c r="A7811">
        <v>1.0086040000000001</v>
      </c>
      <c r="B7811">
        <v>2.912598</v>
      </c>
      <c r="C7811">
        <f>LOG10(1.008604)</f>
        <v>3.7206861852828897E-3</v>
      </c>
      <c r="D7811">
        <f>LOG10(2.912598)</f>
        <v>0.4642805469587783</v>
      </c>
    </row>
    <row r="7812" spans="1:4">
      <c r="A7812">
        <v>1.010435</v>
      </c>
      <c r="B7812">
        <v>2.9400339999999998</v>
      </c>
      <c r="C7812">
        <f>LOG10(1.010435)</f>
        <v>4.5083811375408508E-3</v>
      </c>
      <c r="D7812">
        <f>LOG10(2.940034)</f>
        <v>0.46835235283630816</v>
      </c>
    </row>
    <row r="7813" spans="1:4">
      <c r="A7813">
        <v>1.0061580000000001</v>
      </c>
      <c r="B7813">
        <v>3.1733310000000001</v>
      </c>
      <c r="C7813">
        <f>LOG10(1.006158)</f>
        <v>2.6661846365809315E-3</v>
      </c>
      <c r="D7813">
        <f>LOG10(3.173331)</f>
        <v>0.50151537433051663</v>
      </c>
    </row>
    <row r="7814" spans="1:4">
      <c r="A7814">
        <v>1.003695</v>
      </c>
      <c r="B7814">
        <v>3.0212279999999998</v>
      </c>
      <c r="C7814">
        <f>LOG10(1.003695)</f>
        <v>1.6017606768295839E-3</v>
      </c>
      <c r="D7814">
        <f>LOG10(3.021228)</f>
        <v>0.48018350097850732</v>
      </c>
    </row>
    <row r="7815" spans="1:4">
      <c r="A7815">
        <v>1.011185</v>
      </c>
      <c r="B7815">
        <v>3.0818750000000001</v>
      </c>
      <c r="C7815">
        <f>LOG10(1.011185)</f>
        <v>4.8306186266543301E-3</v>
      </c>
      <c r="D7815">
        <f>LOG10(3.081875)</f>
        <v>0.48881501987521297</v>
      </c>
    </row>
    <row r="7816" spans="1:4">
      <c r="A7816">
        <v>1.011225</v>
      </c>
      <c r="B7816">
        <v>3.0183040000000001</v>
      </c>
      <c r="C7816">
        <f>LOG10(1.011225)</f>
        <v>4.8477979120399965E-3</v>
      </c>
      <c r="D7816">
        <f>LOG10(3.018304)</f>
        <v>0.47976297926778455</v>
      </c>
    </row>
    <row r="7817" spans="1:4">
      <c r="A7817">
        <v>1.0067459999999999</v>
      </c>
      <c r="B7817">
        <v>3.104193</v>
      </c>
      <c r="C7817">
        <f>LOG10(1.006746)</f>
        <v>2.9199127454451195E-3</v>
      </c>
      <c r="D7817">
        <f>LOG10(3.104193)</f>
        <v>0.49194871523733591</v>
      </c>
    </row>
    <row r="7818" spans="1:4">
      <c r="A7818">
        <v>1.0203089999999999</v>
      </c>
      <c r="B7818">
        <v>3.1055739999999998</v>
      </c>
      <c r="C7818">
        <f>LOG10(1.020309)</f>
        <v>8.7317175188926701E-3</v>
      </c>
      <c r="D7818">
        <f>LOG10(3.105574)</f>
        <v>0.49214188212730003</v>
      </c>
    </row>
    <row r="7819" spans="1:4">
      <c r="A7819">
        <v>1.005636</v>
      </c>
      <c r="B7819">
        <v>3.2735029999999998</v>
      </c>
      <c r="C7819">
        <f>LOG10(1.005636)</f>
        <v>2.4408119347624625E-3</v>
      </c>
      <c r="D7819">
        <f>LOG10(3.273503)</f>
        <v>0.51501274326713364</v>
      </c>
    </row>
    <row r="7820" spans="1:4">
      <c r="A7820">
        <v>1.015603</v>
      </c>
      <c r="B7820">
        <v>3.0682719999999999</v>
      </c>
      <c r="C7820">
        <f>LOG10(1.015603)</f>
        <v>6.7239750704532475E-3</v>
      </c>
      <c r="D7820">
        <f>LOG10(3.068272)</f>
        <v>0.48689385686199532</v>
      </c>
    </row>
    <row r="7821" spans="1:4">
      <c r="A7821">
        <v>1.004346</v>
      </c>
      <c r="B7821">
        <v>3.0955349999999999</v>
      </c>
      <c r="C7821">
        <f>LOG10(1.004346)</f>
        <v>1.8833542475028369E-3</v>
      </c>
      <c r="D7821">
        <f>LOG10(3.095535)</f>
        <v>0.49073571877403577</v>
      </c>
    </row>
    <row r="7822" spans="1:4">
      <c r="A7822">
        <v>1.0093049999999999</v>
      </c>
      <c r="B7822">
        <v>3.1267450000000001</v>
      </c>
      <c r="C7822">
        <f>LOG10(1.009305)</f>
        <v>4.0224247117086765E-3</v>
      </c>
      <c r="D7822">
        <f>LOG10(3.126745)</f>
        <v>0.4950924640351812</v>
      </c>
    </row>
    <row r="7823" spans="1:4">
      <c r="A7823">
        <v>1.005325</v>
      </c>
      <c r="B7823">
        <v>3.2176529999999999</v>
      </c>
      <c r="C7823">
        <f>LOG10(1.005325)</f>
        <v>2.3064825420505259E-3</v>
      </c>
      <c r="D7823">
        <f>LOG10(3.217653)</f>
        <v>0.50753920685099185</v>
      </c>
    </row>
    <row r="7824" spans="1:4">
      <c r="A7824">
        <v>1.0067429999999999</v>
      </c>
      <c r="B7824">
        <v>3.2909090000000001</v>
      </c>
      <c r="C7824">
        <f>LOG10(1.006743)</f>
        <v>2.9186185904279331E-3</v>
      </c>
      <c r="D7824">
        <f>LOG10(3.290909)</f>
        <v>0.51731587337785534</v>
      </c>
    </row>
    <row r="7825" spans="1:4">
      <c r="A7825">
        <v>1.006032</v>
      </c>
      <c r="B7825">
        <v>3.262645</v>
      </c>
      <c r="C7825">
        <f>LOG10(1.006032)</f>
        <v>2.6117950364026562E-3</v>
      </c>
      <c r="D7825">
        <f>LOG10(3.262645)</f>
        <v>0.51356982189439071</v>
      </c>
    </row>
    <row r="7826" spans="1:4">
      <c r="A7826">
        <v>1.009091</v>
      </c>
      <c r="B7826">
        <v>3.1179579999999998</v>
      </c>
      <c r="C7826">
        <f>LOG10(1.009091)</f>
        <v>3.9303327540596142E-3</v>
      </c>
      <c r="D7826">
        <f>LOG10(3.117958)</f>
        <v>0.49387026079153629</v>
      </c>
    </row>
    <row r="7827" spans="1:4">
      <c r="A7827">
        <v>1.0186649999999999</v>
      </c>
      <c r="B7827">
        <v>3.270921</v>
      </c>
      <c r="C7827">
        <f>LOG10(1.018665)</f>
        <v>8.0313846230651402E-3</v>
      </c>
      <c r="D7827">
        <f>LOG10(3.270921)</f>
        <v>0.51467005507625363</v>
      </c>
    </row>
    <row r="7828" spans="1:4">
      <c r="A7828">
        <v>1.0102070000000001</v>
      </c>
      <c r="B7828">
        <v>3.2065220000000001</v>
      </c>
      <c r="C7828">
        <f>LOG10(1.010207)</f>
        <v>4.4103735317461302E-3</v>
      </c>
      <c r="D7828">
        <f>LOG10(3.206522)</f>
        <v>0.50603422396503872</v>
      </c>
    </row>
    <row r="7829" spans="1:4">
      <c r="A7829">
        <v>1.025064</v>
      </c>
      <c r="B7829">
        <v>3.0478399999999999</v>
      </c>
      <c r="C7829">
        <f>LOG10(1.025064)</f>
        <v>1.0750981468979305E-2</v>
      </c>
      <c r="D7829">
        <f>LOG10(3.04784)</f>
        <v>0.48399216445858084</v>
      </c>
    </row>
    <row r="7830" spans="1:4">
      <c r="A7830">
        <v>1.007039</v>
      </c>
      <c r="B7830">
        <v>3.2086160000000001</v>
      </c>
      <c r="C7830">
        <f>LOG10(1.007039)</f>
        <v>3.0462899744895509E-3</v>
      </c>
      <c r="D7830">
        <f>LOG10(3.208616)</f>
        <v>0.50631774481132574</v>
      </c>
    </row>
    <row r="7831" spans="1:4">
      <c r="A7831">
        <v>1.0200689999999999</v>
      </c>
      <c r="B7831">
        <v>3.354746</v>
      </c>
      <c r="C7831">
        <f>LOG10(1.020069)</f>
        <v>8.6295495126335452E-3</v>
      </c>
      <c r="D7831">
        <f>LOG10(3.354746)</f>
        <v>0.52565964373770435</v>
      </c>
    </row>
    <row r="7832" spans="1:4">
      <c r="A7832">
        <v>1.0048429999999999</v>
      </c>
      <c r="B7832">
        <v>3.1617540000000002</v>
      </c>
      <c r="C7832">
        <f>LOG10(1.004843)</f>
        <v>2.0982114480034516E-3</v>
      </c>
      <c r="D7832">
        <f>LOG10(3.161754)</f>
        <v>0.49992807666556388</v>
      </c>
    </row>
    <row r="7833" spans="1:4">
      <c r="A7833">
        <v>1.0059800000000001</v>
      </c>
      <c r="B7833">
        <v>3.0949810000000002</v>
      </c>
      <c r="C7833">
        <f>LOG10(1.00598)</f>
        <v>2.5893465489542993E-3</v>
      </c>
      <c r="D7833">
        <f>LOG10(3.094981)</f>
        <v>0.49065798724289472</v>
      </c>
    </row>
    <row r="7834" spans="1:4">
      <c r="A7834">
        <v>1.005584</v>
      </c>
      <c r="B7834">
        <v>3.2530969999999999</v>
      </c>
      <c r="C7834">
        <f>LOG10(1.005584)</f>
        <v>2.4183546073055203E-3</v>
      </c>
      <c r="D7834">
        <f>LOG10(3.253097)</f>
        <v>0.51229701315479514</v>
      </c>
    </row>
    <row r="7835" spans="1:4">
      <c r="A7835">
        <v>1.016283</v>
      </c>
      <c r="B7835">
        <v>3.2950840000000001</v>
      </c>
      <c r="C7835">
        <f>LOG10(1.016283)</f>
        <v>7.0146609246001202E-3</v>
      </c>
      <c r="D7835">
        <f>LOG10(3.295084)</f>
        <v>0.51786649033260312</v>
      </c>
    </row>
    <row r="7836" spans="1:4">
      <c r="A7836">
        <v>1.008141</v>
      </c>
      <c r="B7836">
        <v>3.3039360000000002</v>
      </c>
      <c r="C7836">
        <f>LOG10(1.008141)</f>
        <v>3.5212773867943073E-3</v>
      </c>
      <c r="D7836">
        <f>LOG10(3.303936)</f>
        <v>0.51903162608295583</v>
      </c>
    </row>
    <row r="7837" spans="1:4">
      <c r="A7837">
        <v>1.007236</v>
      </c>
      <c r="B7837">
        <v>3.2183220000000001</v>
      </c>
      <c r="C7837">
        <f>LOG10(1.007236)</f>
        <v>3.1312396593217899E-3</v>
      </c>
      <c r="D7837">
        <f>LOG10(3.218322)</f>
        <v>0.50762949402875124</v>
      </c>
    </row>
    <row r="7838" spans="1:4">
      <c r="A7838">
        <v>1.0053920000000001</v>
      </c>
      <c r="B7838">
        <v>3.10961</v>
      </c>
      <c r="C7838">
        <f>LOG10(1.005392)</f>
        <v>2.3354251832061975E-3</v>
      </c>
      <c r="D7838">
        <f>LOG10(3.10961)</f>
        <v>0.49270592424587401</v>
      </c>
    </row>
    <row r="7839" spans="1:4">
      <c r="A7839">
        <v>1.0139769999999999</v>
      </c>
      <c r="B7839">
        <v>3.1831909999999999</v>
      </c>
      <c r="C7839">
        <f>LOG10(1.013977)</f>
        <v>6.0281040245652668E-3</v>
      </c>
      <c r="D7839">
        <f>LOG10(3.183191)</f>
        <v>0.50286269823689222</v>
      </c>
    </row>
    <row r="7840" spans="1:4">
      <c r="A7840">
        <v>1.0202869999999999</v>
      </c>
      <c r="B7840">
        <v>3.253892</v>
      </c>
      <c r="C7840">
        <f>LOG10(1.020287)</f>
        <v>8.7223531188818631E-3</v>
      </c>
      <c r="D7840">
        <f>LOG10(3.253892)</f>
        <v>0.51240313416247807</v>
      </c>
    </row>
    <row r="7841" spans="1:4">
      <c r="A7841">
        <v>1.004</v>
      </c>
      <c r="B7841">
        <v>3.3973789999999999</v>
      </c>
      <c r="C7841">
        <f>LOG10(1.004)</f>
        <v>1.7337128090005314E-3</v>
      </c>
      <c r="D7841">
        <f>LOG10(3.397379)</f>
        <v>0.53114399798198741</v>
      </c>
    </row>
    <row r="7842" spans="1:4">
      <c r="A7842">
        <v>1.0070030000000001</v>
      </c>
      <c r="B7842">
        <v>3.2919160000000001</v>
      </c>
      <c r="C7842">
        <f>LOG10(1.007003)</f>
        <v>3.0307643783498979E-3</v>
      </c>
      <c r="D7842">
        <f>LOG10(3.291916)</f>
        <v>0.5174487447656525</v>
      </c>
    </row>
    <row r="7843" spans="1:4">
      <c r="A7843">
        <v>1.0074190000000001</v>
      </c>
      <c r="B7843">
        <v>3.2660640000000001</v>
      </c>
      <c r="C7843">
        <f>LOG10(1.007419)</f>
        <v>3.2101374263408542E-3</v>
      </c>
      <c r="D7843">
        <f>LOG10(3.266064)</f>
        <v>0.5140246906806597</v>
      </c>
    </row>
    <row r="7844" spans="1:4">
      <c r="A7844">
        <v>1.0065329999999999</v>
      </c>
      <c r="B7844">
        <v>3.1865540000000001</v>
      </c>
      <c r="C7844">
        <f>LOG10(1.006533)</f>
        <v>2.8280181545905585E-3</v>
      </c>
      <c r="D7844">
        <f>LOG10(3.186554)</f>
        <v>0.50332128252192931</v>
      </c>
    </row>
    <row r="7845" spans="1:4">
      <c r="A7845">
        <v>1.0031080000000001</v>
      </c>
      <c r="B7845">
        <v>3.4268610000000002</v>
      </c>
      <c r="C7845">
        <f>LOG10(1.003108)</f>
        <v>1.3476940164272196E-3</v>
      </c>
      <c r="D7845">
        <f>LOG10(3.426861)</f>
        <v>0.53489648897691489</v>
      </c>
    </row>
    <row r="7846" spans="1:4">
      <c r="A7846">
        <v>1.0253699999999999</v>
      </c>
      <c r="B7846">
        <v>3.3704290000000001</v>
      </c>
      <c r="C7846">
        <f>LOG10(1.02537)</f>
        <v>1.0880606818977352E-2</v>
      </c>
      <c r="D7846">
        <f>LOG10(3.370429)</f>
        <v>0.52768518291139521</v>
      </c>
    </row>
    <row r="7847" spans="1:4">
      <c r="A7847">
        <v>1.0024949999999999</v>
      </c>
      <c r="B7847">
        <v>3.1939489999999999</v>
      </c>
      <c r="C7847">
        <f>LOG10(1.002495)</f>
        <v>1.0822152295518715E-3</v>
      </c>
      <c r="D7847">
        <f>LOG10(3.193949)</f>
        <v>0.5043279771764746</v>
      </c>
    </row>
    <row r="7848" spans="1:4">
      <c r="A7848">
        <v>1.0097149999999999</v>
      </c>
      <c r="B7848">
        <v>3.2811460000000001</v>
      </c>
      <c r="C7848">
        <f>LOG10(1.009715)</f>
        <v>4.1988080462253266E-3</v>
      </c>
      <c r="D7848">
        <f>LOG10(3.281146)</f>
        <v>0.51602555546487661</v>
      </c>
    </row>
    <row r="7849" spans="1:4">
      <c r="A7849">
        <v>1.003285</v>
      </c>
      <c r="B7849">
        <v>3.2599480000000001</v>
      </c>
      <c r="C7849">
        <f>LOG10(1.003285)</f>
        <v>1.4243192075001866E-3</v>
      </c>
      <c r="D7849">
        <f>LOG10(3.259948)</f>
        <v>0.51321067261604536</v>
      </c>
    </row>
    <row r="7850" spans="1:4">
      <c r="A7850">
        <v>1.014772</v>
      </c>
      <c r="B7850">
        <v>2.9235709999999999</v>
      </c>
      <c r="C7850">
        <f>LOG10(1.014772)</f>
        <v>6.3684754857820372E-3</v>
      </c>
      <c r="D7850">
        <f>LOG10(2.923571)</f>
        <v>0.46591364530304219</v>
      </c>
    </row>
    <row r="7851" spans="1:4">
      <c r="A7851">
        <v>1.0124439999999999</v>
      </c>
      <c r="B7851">
        <v>3.585699</v>
      </c>
      <c r="C7851">
        <f>LOG10(1.012444)</f>
        <v>5.3710109844068155E-3</v>
      </c>
      <c r="D7851">
        <f>LOG10(3.585699)</f>
        <v>0.55457383008795214</v>
      </c>
    </row>
    <row r="7852" spans="1:4">
      <c r="A7852">
        <v>1.017198</v>
      </c>
      <c r="B7852">
        <v>3.7549450000000002</v>
      </c>
      <c r="C7852">
        <f>LOG10(1.017198)</f>
        <v>7.40549760097988E-3</v>
      </c>
      <c r="D7852">
        <f>LOG10(3.754945)</f>
        <v>0.57460358012276014</v>
      </c>
    </row>
    <row r="7853" spans="1:4">
      <c r="A7853">
        <v>1.019676</v>
      </c>
      <c r="B7853">
        <v>3.5073509999999999</v>
      </c>
      <c r="C7853">
        <f>LOG10(1.019676)</f>
        <v>8.462197482355353E-3</v>
      </c>
      <c r="D7853">
        <f>LOG10(3.507351)</f>
        <v>0.54497923030558837</v>
      </c>
    </row>
    <row r="7854" spans="1:4">
      <c r="A7854">
        <v>1.0068870000000001</v>
      </c>
      <c r="B7854">
        <v>3.721584</v>
      </c>
      <c r="C7854">
        <f>LOG10(1.006887)</f>
        <v>2.9807336815824543E-3</v>
      </c>
      <c r="D7854">
        <f>LOG10(3.721584)</f>
        <v>0.57072782591415205</v>
      </c>
    </row>
    <row r="7855" spans="1:4">
      <c r="A7855">
        <v>1.014877</v>
      </c>
      <c r="B7855">
        <v>3.6227960000000001</v>
      </c>
      <c r="C7855">
        <f>LOG10(1.014877)</f>
        <v>6.4134102707035E-3</v>
      </c>
      <c r="D7855">
        <f>LOG10(3.622796)</f>
        <v>0.5590438795579461</v>
      </c>
    </row>
    <row r="7856" spans="1:4">
      <c r="A7856">
        <v>1.0155749999999999</v>
      </c>
      <c r="B7856">
        <v>3.3453520000000001</v>
      </c>
      <c r="C7856">
        <f>LOG10(1.015575)</f>
        <v>6.7120014812413501E-3</v>
      </c>
      <c r="D7856">
        <f>LOG10(3.345352)</f>
        <v>0.52444182124127769</v>
      </c>
    </row>
    <row r="7857" spans="1:4">
      <c r="A7857">
        <v>1.031407</v>
      </c>
      <c r="B7857">
        <v>4.0308520000000003</v>
      </c>
      <c r="C7857">
        <f>LOG10(1.031407)</f>
        <v>1.34300745702666E-2</v>
      </c>
      <c r="D7857">
        <f>LOG10(4.030852)</f>
        <v>0.60539685254072073</v>
      </c>
    </row>
    <row r="7858" spans="1:4">
      <c r="A7858">
        <v>1.0119279999999999</v>
      </c>
      <c r="B7858">
        <v>3.7302659999999999</v>
      </c>
      <c r="C7858">
        <f>LOG10(1.011928)</f>
        <v>5.1496129829374229E-3</v>
      </c>
      <c r="D7858">
        <f>LOG10(3.730266)</f>
        <v>0.57173980183904183</v>
      </c>
    </row>
    <row r="7859" spans="1:4">
      <c r="A7859">
        <v>1.0096590000000001</v>
      </c>
      <c r="B7859">
        <v>3.788027</v>
      </c>
      <c r="C7859">
        <f>LOG10(1.009659)</f>
        <v>4.1747208875387784E-3</v>
      </c>
      <c r="D7859">
        <f>LOG10(3.788027)</f>
        <v>0.57841306587221297</v>
      </c>
    </row>
    <row r="7860" spans="1:4">
      <c r="A7860">
        <v>1.0216449999999999</v>
      </c>
      <c r="B7860">
        <v>3.687659</v>
      </c>
      <c r="C7860">
        <f>LOG10(1.021645)</f>
        <v>9.30001387680786E-3</v>
      </c>
      <c r="D7860">
        <f>LOG10(3.687659)</f>
        <v>0.5667507547716929</v>
      </c>
    </row>
    <row r="7861" spans="1:4">
      <c r="A7861">
        <v>1.0235529999999999</v>
      </c>
      <c r="B7861">
        <v>3.9100890000000001</v>
      </c>
      <c r="C7861">
        <f>LOG10(1.023553)</f>
        <v>1.0110335529643093E-2</v>
      </c>
      <c r="D7861">
        <f>LOG10(3.910089)</f>
        <v>0.59218664275878052</v>
      </c>
    </row>
    <row r="7862" spans="1:4">
      <c r="A7862">
        <v>1.018554</v>
      </c>
      <c r="B7862">
        <v>3.7725629999999999</v>
      </c>
      <c r="C7862">
        <f>LOG10(1.018554)</f>
        <v>7.984058648254428E-3</v>
      </c>
      <c r="D7862">
        <f>LOG10(3.772563)</f>
        <v>0.57663650101857633</v>
      </c>
    </row>
    <row r="7863" spans="1:4">
      <c r="A7863">
        <v>1.012785</v>
      </c>
      <c r="B7863">
        <v>3.8535789999999999</v>
      </c>
      <c r="C7863">
        <f>LOG10(1.012785)</f>
        <v>5.5172605391273812E-3</v>
      </c>
      <c r="D7863">
        <f>LOG10(3.853579)</f>
        <v>0.58586426663392321</v>
      </c>
    </row>
    <row r="7864" spans="1:4">
      <c r="A7864">
        <v>1.0239830000000001</v>
      </c>
      <c r="B7864">
        <v>3.8631980000000001</v>
      </c>
      <c r="C7864">
        <f>LOG10(1.023983)</f>
        <v>1.0292746612978246E-2</v>
      </c>
      <c r="D7864">
        <f>LOG10(3.863198)</f>
        <v>0.58694696755557729</v>
      </c>
    </row>
    <row r="7865" spans="1:4">
      <c r="A7865">
        <v>1.011215</v>
      </c>
      <c r="B7865">
        <v>3.8126350000000002</v>
      </c>
      <c r="C7865">
        <f>LOG10(1.011215)</f>
        <v>4.8435031544016025E-3</v>
      </c>
      <c r="D7865">
        <f>LOG10(3.812635)</f>
        <v>0.58122523037898566</v>
      </c>
    </row>
    <row r="7866" spans="1:4">
      <c r="A7866">
        <v>1.0180720000000001</v>
      </c>
      <c r="B7866">
        <v>3.9091019999999999</v>
      </c>
      <c r="C7866">
        <f>LOG10(1.018072)</f>
        <v>7.7784932236889398E-3</v>
      </c>
      <c r="D7866">
        <f>LOG10(3.909102)</f>
        <v>0.59207700260395746</v>
      </c>
    </row>
    <row r="7867" spans="1:4">
      <c r="A7867">
        <v>1.020408</v>
      </c>
      <c r="B7867">
        <v>4.5415830000000001</v>
      </c>
      <c r="C7867">
        <f>LOG10(1.020408)</f>
        <v>8.7738548203824714E-3</v>
      </c>
      <c r="D7867">
        <f>LOG10(4.541583)</f>
        <v>0.65720725557440896</v>
      </c>
    </row>
    <row r="7868" spans="1:4">
      <c r="A7868">
        <v>1.0326010000000001</v>
      </c>
      <c r="B7868">
        <v>4.3107030000000002</v>
      </c>
      <c r="C7868">
        <f>LOG10(1.032601)</f>
        <v>1.3932541294461354E-2</v>
      </c>
      <c r="D7868">
        <f>LOG10(4.310703)</f>
        <v>0.63454810174406184</v>
      </c>
    </row>
    <row r="7869" spans="1:4">
      <c r="A7869">
        <v>1.014367</v>
      </c>
      <c r="B7869">
        <v>3.1111279999999999</v>
      </c>
      <c r="C7869">
        <f>LOG10(1.014367)</f>
        <v>6.1951120370420101E-3</v>
      </c>
      <c r="D7869">
        <f>LOG10(3.111128)</f>
        <v>0.49291787949511118</v>
      </c>
    </row>
    <row r="7870" spans="1:4">
      <c r="A7870">
        <v>1.017744</v>
      </c>
      <c r="B7870">
        <v>3.774194</v>
      </c>
      <c r="C7870">
        <f>LOG10(1.017744)</f>
        <v>7.6385507226997829E-3</v>
      </c>
      <c r="D7870">
        <f>LOG10(3.774194)</f>
        <v>0.57682421987874699</v>
      </c>
    </row>
    <row r="7871" spans="1:4">
      <c r="A7871">
        <v>1.0138689999999999</v>
      </c>
      <c r="B7871">
        <v>3.7066249999999998</v>
      </c>
      <c r="C7871">
        <f>LOG10(1.013869)</f>
        <v>5.9818442946943627E-3</v>
      </c>
      <c r="D7871">
        <f>LOG10(3.706625)</f>
        <v>0.56897865059154173</v>
      </c>
    </row>
    <row r="7872" spans="1:4">
      <c r="A7872">
        <v>1.0314749999999999</v>
      </c>
      <c r="B7872">
        <v>3.6479849999999998</v>
      </c>
      <c r="C7872">
        <f>LOG10(1.031475)</f>
        <v>1.3458706382246246E-2</v>
      </c>
      <c r="D7872">
        <f>LOG10(3.647985)</f>
        <v>0.56205304390237043</v>
      </c>
    </row>
    <row r="7873" spans="1:4">
      <c r="A7873">
        <v>1.0111220000000001</v>
      </c>
      <c r="B7873">
        <v>3.858215</v>
      </c>
      <c r="C7873">
        <f>LOG10(1.011122)</f>
        <v>4.8035598740824182E-3</v>
      </c>
      <c r="D7873">
        <f>LOG10(3.858215)</f>
        <v>0.58638642515129114</v>
      </c>
    </row>
    <row r="7874" spans="1:4">
      <c r="A7874">
        <v>1.0098450000000001</v>
      </c>
      <c r="B7874">
        <v>3.5122789999999999</v>
      </c>
      <c r="C7874">
        <f>LOG10(1.009845)</f>
        <v>4.2547195147882638E-3</v>
      </c>
      <c r="D7874">
        <f>LOG10(3.512279)</f>
        <v>0.54558900704835611</v>
      </c>
    </row>
    <row r="7875" spans="1:4">
      <c r="A7875">
        <v>1.009539</v>
      </c>
      <c r="B7875">
        <v>3.6481170000000001</v>
      </c>
      <c r="C7875">
        <f>LOG10(1.009539)</f>
        <v>4.1231010484840671E-3</v>
      </c>
      <c r="D7875">
        <f>LOG10(3.648117)</f>
        <v>0.56206875828564451</v>
      </c>
    </row>
    <row r="7876" spans="1:4">
      <c r="A7876">
        <v>1.0165919999999999</v>
      </c>
      <c r="B7876">
        <v>3.7370299999999999</v>
      </c>
      <c r="C7876">
        <f>LOG10(1.016592)</f>
        <v>7.1466877299290995E-3</v>
      </c>
      <c r="D7876">
        <f>LOG10(3.73703)</f>
        <v>0.57252658427783154</v>
      </c>
    </row>
    <row r="7877" spans="1:4">
      <c r="A7877">
        <v>1.0083789999999999</v>
      </c>
      <c r="B7877">
        <v>3.53993</v>
      </c>
      <c r="C7877">
        <f>LOG10(1.008379)</f>
        <v>3.6237926975007709E-3</v>
      </c>
      <c r="D7877">
        <f>LOG10(3.53993)</f>
        <v>0.54899467419688719</v>
      </c>
    </row>
    <row r="7878" spans="1:4">
      <c r="A7878">
        <v>1.0091399999999999</v>
      </c>
      <c r="B7878">
        <v>3.753536</v>
      </c>
      <c r="C7878">
        <f>LOG10(1.00914)</f>
        <v>3.9514209541887625E-3</v>
      </c>
      <c r="D7878">
        <f>LOG10(3.753536)</f>
        <v>0.57444058552180566</v>
      </c>
    </row>
    <row r="7879" spans="1:4">
      <c r="A7879">
        <v>1.0076210000000001</v>
      </c>
      <c r="B7879">
        <v>3.4647969999999999</v>
      </c>
      <c r="C7879">
        <f>LOG10(1.007621)</f>
        <v>3.2972101252831468E-3</v>
      </c>
      <c r="D7879">
        <f>LOG10(3.464797)</f>
        <v>0.53967779468737997</v>
      </c>
    </row>
    <row r="7880" spans="1:4">
      <c r="A7880">
        <v>1.011204</v>
      </c>
      <c r="B7880">
        <v>3.5625119999999999</v>
      </c>
      <c r="C7880">
        <f>LOG10(1.011204)</f>
        <v>4.8387788719448264E-3</v>
      </c>
      <c r="D7880">
        <f>LOG10(3.562512)</f>
        <v>0.55175633590077866</v>
      </c>
    </row>
    <row r="7881" spans="1:4">
      <c r="A7881">
        <v>1.0087010000000001</v>
      </c>
      <c r="B7881">
        <v>3.5433590000000001</v>
      </c>
      <c r="C7881">
        <f>LOG10(1.008701)</f>
        <v>3.7624513767408872E-3</v>
      </c>
      <c r="D7881">
        <f>LOG10(3.543359)</f>
        <v>0.54941515566948484</v>
      </c>
    </row>
    <row r="7882" spans="1:4">
      <c r="A7882">
        <v>1.0179389999999999</v>
      </c>
      <c r="B7882">
        <v>3.4899360000000001</v>
      </c>
      <c r="C7882">
        <f>LOG10(1.017939)</f>
        <v>7.7217536813432826E-3</v>
      </c>
      <c r="D7882">
        <f>LOG10(3.489936)</f>
        <v>0.54281746274665921</v>
      </c>
    </row>
    <row r="7883" spans="1:4">
      <c r="A7883">
        <v>1.022367</v>
      </c>
      <c r="B7883">
        <v>3.5588000000000002</v>
      </c>
      <c r="C7883">
        <f>LOG10(1.022367)</f>
        <v>9.6068228671416771E-3</v>
      </c>
      <c r="D7883">
        <f>LOG10(3.5588)</f>
        <v>0.55130358189622741</v>
      </c>
    </row>
    <row r="7884" spans="1:4">
      <c r="A7884">
        <v>1.0145759999999999</v>
      </c>
      <c r="B7884">
        <v>3.6237279999999998</v>
      </c>
      <c r="C7884">
        <f>LOG10(1.014576)</f>
        <v>6.2845847792913287E-3</v>
      </c>
      <c r="D7884">
        <f>LOG10(3.623728)</f>
        <v>0.55915559172763341</v>
      </c>
    </row>
    <row r="7885" spans="1:4">
      <c r="A7885">
        <v>1.026994</v>
      </c>
      <c r="B7885">
        <v>3.29671</v>
      </c>
      <c r="C7885">
        <f>LOG10(1.026994)</f>
        <v>1.1567906329017975E-2</v>
      </c>
      <c r="D7885">
        <f>LOG10(3.29671)</f>
        <v>0.51808074546311755</v>
      </c>
    </row>
    <row r="7886" spans="1:4">
      <c r="A7886">
        <v>1.0230969999999999</v>
      </c>
      <c r="B7886">
        <v>3.3577650000000001</v>
      </c>
      <c r="C7886">
        <f>LOG10(1.023097)</f>
        <v>9.9168111976617162E-3</v>
      </c>
      <c r="D7886">
        <f>LOG10(3.357765)</f>
        <v>0.52605029788464641</v>
      </c>
    </row>
    <row r="7887" spans="1:4">
      <c r="A7887">
        <v>1.0349060000000001</v>
      </c>
      <c r="B7887">
        <v>3.3618790000000001</v>
      </c>
      <c r="C7887">
        <f>LOG10(1.034906)</f>
        <v>1.4900904831351902E-2</v>
      </c>
      <c r="D7887">
        <f>LOG10(3.361879)</f>
        <v>0.52658207835450033</v>
      </c>
    </row>
    <row r="7888" spans="1:4">
      <c r="A7888">
        <v>1.018683</v>
      </c>
      <c r="B7888">
        <v>3.4184999999999999</v>
      </c>
      <c r="C7888">
        <f>LOG10(1.018683)</f>
        <v>8.039058619529655E-3</v>
      </c>
      <c r="D7888">
        <f>LOG10(3.4185)</f>
        <v>0.53383558423605681</v>
      </c>
    </row>
    <row r="7889" spans="1:4">
      <c r="A7889">
        <v>1.0189600000000001</v>
      </c>
      <c r="B7889">
        <v>3.5223580000000001</v>
      </c>
      <c r="C7889">
        <f>LOG10(1.01896)</f>
        <v>8.1571358020668169E-3</v>
      </c>
      <c r="D7889">
        <f>LOG10(3.522358)</f>
        <v>0.54683349402852277</v>
      </c>
    </row>
    <row r="7890" spans="1:4">
      <c r="A7890">
        <v>1.022297</v>
      </c>
      <c r="B7890">
        <v>3.6292170000000001</v>
      </c>
      <c r="C7890">
        <f>LOG10(1.022297)</f>
        <v>9.5770863297496064E-3</v>
      </c>
      <c r="D7890">
        <f>LOG10(3.629217)</f>
        <v>0.55981293653481856</v>
      </c>
    </row>
    <row r="7891" spans="1:4">
      <c r="A7891">
        <v>1.032089</v>
      </c>
      <c r="B7891">
        <v>3.3758319999999999</v>
      </c>
      <c r="C7891">
        <f>LOG10(1.032089)</f>
        <v>1.371714936706075E-2</v>
      </c>
      <c r="D7891">
        <f>LOG10(3.375832)</f>
        <v>0.52838082560515409</v>
      </c>
    </row>
    <row r="7892" spans="1:4">
      <c r="A7892">
        <v>1.0208710000000001</v>
      </c>
      <c r="B7892">
        <v>3.4816389999999999</v>
      </c>
      <c r="C7892">
        <f>LOG10(1.020871)</f>
        <v>8.970866937363561E-3</v>
      </c>
      <c r="D7892">
        <f>LOG10(3.481639)</f>
        <v>0.5417837385114358</v>
      </c>
    </row>
    <row r="7893" spans="1:4">
      <c r="A7893">
        <v>1.0224789999999999</v>
      </c>
      <c r="B7893">
        <v>3.6468569999999998</v>
      </c>
      <c r="C7893">
        <f>LOG10(1.022479)</f>
        <v>9.6543970923124306E-3</v>
      </c>
      <c r="D7893">
        <f>LOG10(3.646857)</f>
        <v>0.56191873415872107</v>
      </c>
    </row>
    <row r="7894" spans="1:4">
      <c r="A7894">
        <v>1.0179469999999999</v>
      </c>
      <c r="B7894">
        <v>3.2412200000000002</v>
      </c>
      <c r="C7894">
        <f>LOG10(1.017947)</f>
        <v>7.7251667956878458E-3</v>
      </c>
      <c r="D7894">
        <f>LOG10(3.24122)</f>
        <v>0.51070851006441054</v>
      </c>
    </row>
    <row r="7895" spans="1:4">
      <c r="A7895">
        <v>1.025182</v>
      </c>
      <c r="B7895">
        <v>3.0982210000000001</v>
      </c>
      <c r="C7895">
        <f>LOG10(1.025182)</f>
        <v>1.0800972298295589E-2</v>
      </c>
      <c r="D7895">
        <f>LOG10(3.098221)</f>
        <v>0.49111239329964462</v>
      </c>
    </row>
    <row r="7896" spans="1:4">
      <c r="A7896">
        <v>1.0132000000000001</v>
      </c>
      <c r="B7896">
        <v>3.1988569999999998</v>
      </c>
      <c r="C7896">
        <f>LOG10(1.0132)</f>
        <v>5.6951811185104E-3</v>
      </c>
      <c r="D7896">
        <f>LOG10(3.198857)</f>
        <v>0.50499482604877532</v>
      </c>
    </row>
    <row r="7897" spans="1:4">
      <c r="A7897">
        <v>1.0142709999999999</v>
      </c>
      <c r="B7897">
        <v>3.2768609999999998</v>
      </c>
      <c r="C7897">
        <f>LOG10(1.014271)</f>
        <v>6.1540083307189738E-3</v>
      </c>
      <c r="D7897">
        <f>LOG10(3.276861)</f>
        <v>0.51545801959009374</v>
      </c>
    </row>
    <row r="7898" spans="1:4">
      <c r="A7898">
        <v>1.0140420000000001</v>
      </c>
      <c r="B7898">
        <v>3.2389039999999998</v>
      </c>
      <c r="C7898">
        <f>LOG10(1.014042)</f>
        <v>6.0559431536202375E-3</v>
      </c>
      <c r="D7898">
        <f>LOG10(3.238904)</f>
        <v>0.51039807586194319</v>
      </c>
    </row>
    <row r="7899" spans="1:4">
      <c r="A7899">
        <v>1.0183679999999999</v>
      </c>
      <c r="B7899">
        <v>3.2646109999999999</v>
      </c>
      <c r="C7899">
        <f>LOG10(1.018368)</f>
        <v>7.9047441002663039E-3</v>
      </c>
      <c r="D7899">
        <f>LOG10(3.264611)</f>
        <v>0.51383143963306732</v>
      </c>
    </row>
    <row r="7900" spans="1:4">
      <c r="A7900">
        <v>1.0134080000000001</v>
      </c>
      <c r="B7900">
        <v>3.3459789999999998</v>
      </c>
      <c r="C7900">
        <f>LOG10(1.013408)</f>
        <v>5.78432835621306E-3</v>
      </c>
      <c r="D7900">
        <f>LOG10(3.345979)</f>
        <v>0.52452321092023702</v>
      </c>
    </row>
    <row r="7901" spans="1:4">
      <c r="A7901">
        <v>1.015366</v>
      </c>
      <c r="B7901">
        <v>3.5277409999999998</v>
      </c>
      <c r="C7901">
        <f>LOG10(1.015366)</f>
        <v>6.6226167605250436E-3</v>
      </c>
      <c r="D7901">
        <f>LOG10(3.527741)</f>
        <v>0.54749669255960398</v>
      </c>
    </row>
    <row r="7902" spans="1:4">
      <c r="A7902">
        <v>1.0261830000000001</v>
      </c>
      <c r="B7902">
        <v>3.4998480000000001</v>
      </c>
      <c r="C7902">
        <f>LOG10(1.026183)</f>
        <v>1.1224815749743735E-2</v>
      </c>
      <c r="D7902">
        <f>LOG10(3.499848)</f>
        <v>0.54404918315178685</v>
      </c>
    </row>
    <row r="7903" spans="1:4">
      <c r="A7903">
        <v>1.0118240000000001</v>
      </c>
      <c r="B7903">
        <v>3.4306930000000002</v>
      </c>
      <c r="C7903">
        <f>LOG10(1.011824)</f>
        <v>5.1049764601246994E-3</v>
      </c>
      <c r="D7903">
        <f>LOG10(3.430693)</f>
        <v>0.535381856391557</v>
      </c>
    </row>
    <row r="7904" spans="1:4">
      <c r="A7904">
        <v>1.0128239999999999</v>
      </c>
      <c r="B7904">
        <v>3.636469</v>
      </c>
      <c r="C7904">
        <f>LOG10(1.012824)</f>
        <v>5.5339838897802236E-3</v>
      </c>
      <c r="D7904">
        <f>LOG10(3.636469)</f>
        <v>0.56067988967004789</v>
      </c>
    </row>
    <row r="7905" spans="1:4">
      <c r="A7905">
        <v>1.013406</v>
      </c>
      <c r="B7905">
        <v>3.5777770000000002</v>
      </c>
      <c r="C7905">
        <f>LOG10(1.013406)</f>
        <v>5.7834712583601424E-3</v>
      </c>
      <c r="D7905">
        <f>LOG10(3.577777)</f>
        <v>0.55361326784465192</v>
      </c>
    </row>
    <row r="7906" spans="1:4">
      <c r="A7906">
        <v>1.009474</v>
      </c>
      <c r="B7906">
        <v>3.4884529999999998</v>
      </c>
      <c r="C7906">
        <f>LOG10(1.009474)</f>
        <v>4.0951377403394881E-3</v>
      </c>
      <c r="D7906">
        <f>LOG10(3.488453)</f>
        <v>0.54263287609596988</v>
      </c>
    </row>
    <row r="7907" spans="1:4">
      <c r="A7907">
        <v>1.0197430000000001</v>
      </c>
      <c r="B7907">
        <v>3.5311129999999999</v>
      </c>
      <c r="C7907">
        <f>LOG10(1.019743)</f>
        <v>8.4907327958912218E-3</v>
      </c>
      <c r="D7907">
        <f>LOG10(3.531113)</f>
        <v>0.54791161574809055</v>
      </c>
    </row>
    <row r="7908" spans="1:4">
      <c r="A7908">
        <v>1.0152829999999999</v>
      </c>
      <c r="B7908">
        <v>3.4930490000000001</v>
      </c>
      <c r="C7908">
        <f>LOG10(1.015283)</f>
        <v>6.5871143748167625E-3</v>
      </c>
      <c r="D7908">
        <f>LOG10(3.493049)</f>
        <v>0.54320467790227689</v>
      </c>
    </row>
    <row r="7909" spans="1:4">
      <c r="A7909">
        <v>1.0142139999999999</v>
      </c>
      <c r="B7909">
        <v>3.5009519999999998</v>
      </c>
      <c r="C7909">
        <f>LOG10(1.014214)</f>
        <v>6.1296011643115419E-3</v>
      </c>
      <c r="D7909">
        <f>LOG10(3.500952)</f>
        <v>0.54418615638684442</v>
      </c>
    </row>
    <row r="7910" spans="1:4">
      <c r="A7910">
        <v>1.0105059999999999</v>
      </c>
      <c r="B7910">
        <v>3.5698780000000001</v>
      </c>
      <c r="C7910">
        <f>LOG10(1.010506)</f>
        <v>4.5388965343067999E-3</v>
      </c>
      <c r="D7910">
        <f>LOG10(3.569878)</f>
        <v>0.55265337442251805</v>
      </c>
    </row>
    <row r="7911" spans="1:4">
      <c r="A7911">
        <v>1.013344</v>
      </c>
      <c r="B7911">
        <v>3.4562189999999999</v>
      </c>
      <c r="C7911">
        <f>LOG10(1.013344)</f>
        <v>5.7569003858929874E-3</v>
      </c>
      <c r="D7911">
        <f>LOG10(3.456219)</f>
        <v>0.53860125333179221</v>
      </c>
    </row>
    <row r="7912" spans="1:4">
      <c r="A7912">
        <v>1.027328</v>
      </c>
      <c r="B7912">
        <v>3.5148000000000001</v>
      </c>
      <c r="C7912">
        <f>LOG10(1.027328)</f>
        <v>1.1709125045688305E-2</v>
      </c>
      <c r="D7912">
        <f>LOG10(3.5148)</f>
        <v>0.54590061772922349</v>
      </c>
    </row>
    <row r="7913" spans="1:4">
      <c r="A7913">
        <v>1.0331939999999999</v>
      </c>
      <c r="B7913">
        <v>3.5537879999999999</v>
      </c>
      <c r="C7913">
        <f>LOG10(1.033194)</f>
        <v>1.4181875458637722E-2</v>
      </c>
      <c r="D7913">
        <f>LOG10(3.553788)</f>
        <v>0.55069151655416626</v>
      </c>
    </row>
    <row r="7914" spans="1:4">
      <c r="A7914">
        <v>1.051356</v>
      </c>
      <c r="B7914">
        <v>3.471565</v>
      </c>
      <c r="C7914">
        <f>LOG10(1.051356)</f>
        <v>2.1749797528269131E-2</v>
      </c>
      <c r="D7914">
        <f>LOG10(3.471565)</f>
        <v>0.54052530120053621</v>
      </c>
    </row>
    <row r="7915" spans="1:4">
      <c r="A7915">
        <v>1.0280199999999999</v>
      </c>
      <c r="B7915">
        <v>3.4867870000000001</v>
      </c>
      <c r="C7915">
        <f>LOG10(1.02802)</f>
        <v>1.2001563886052689E-2</v>
      </c>
      <c r="D7915">
        <f>LOG10(3.486787)</f>
        <v>0.54242541811012024</v>
      </c>
    </row>
    <row r="7916" spans="1:4">
      <c r="A7916">
        <v>1.0158990000000001</v>
      </c>
      <c r="B7916">
        <v>3.4874320000000001</v>
      </c>
      <c r="C7916">
        <f>LOG10(1.015899)</f>
        <v>6.8505328267863515E-3</v>
      </c>
      <c r="D7916">
        <f>LOG10(3.487432)</f>
        <v>0.5425057482350063</v>
      </c>
    </row>
    <row r="7917" spans="1:4">
      <c r="A7917">
        <v>1.0183899999999999</v>
      </c>
      <c r="B7917">
        <v>3.476728</v>
      </c>
      <c r="C7917">
        <f>LOG10(1.01839)</f>
        <v>7.9141261462454815E-3</v>
      </c>
      <c r="D7917">
        <f>LOG10(3.476728)</f>
        <v>0.54117071521020632</v>
      </c>
    </row>
    <row r="7918" spans="1:4">
      <c r="A7918">
        <v>1.0177480000000001</v>
      </c>
      <c r="B7918">
        <v>3.603634</v>
      </c>
      <c r="C7918">
        <f>LOG10(1.017748)</f>
        <v>7.6402576102018362E-3</v>
      </c>
      <c r="D7918">
        <f>LOG10(3.603634)</f>
        <v>0.55674067579981001</v>
      </c>
    </row>
    <row r="7919" spans="1:4">
      <c r="A7919">
        <v>1.016831</v>
      </c>
      <c r="B7919">
        <v>3.6347309999999999</v>
      </c>
      <c r="C7919">
        <f>LOG10(1.016831)</f>
        <v>7.2487780295400423E-3</v>
      </c>
      <c r="D7919">
        <f>LOG10(3.634731)</f>
        <v>0.56047227501939256</v>
      </c>
    </row>
    <row r="7920" spans="1:4">
      <c r="A7920">
        <v>1.012608</v>
      </c>
      <c r="B7920">
        <v>3.6140370000000002</v>
      </c>
      <c r="C7920">
        <f>LOG10(1.012608)</f>
        <v>5.4413541609651143E-3</v>
      </c>
      <c r="D7920">
        <f>LOG10(3.614037)</f>
        <v>0.55799259449319605</v>
      </c>
    </row>
    <row r="7921" spans="1:4">
      <c r="A7921">
        <v>1.0088170000000001</v>
      </c>
      <c r="B7921">
        <v>3.3281010000000002</v>
      </c>
      <c r="C7921">
        <f>LOG10(1.008817)</f>
        <v>3.8123921058509061E-3</v>
      </c>
      <c r="D7921">
        <f>LOG10(3.328101)</f>
        <v>0.52219649762982967</v>
      </c>
    </row>
    <row r="7922" spans="1:4">
      <c r="A7922">
        <v>1.006308</v>
      </c>
      <c r="B7922">
        <v>3.358384</v>
      </c>
      <c r="C7922">
        <f>LOG10(1.006308)</f>
        <v>2.7309252805531219E-3</v>
      </c>
      <c r="D7922">
        <f>LOG10(3.358384)</f>
        <v>0.52613035217917115</v>
      </c>
    </row>
    <row r="7923" spans="1:4">
      <c r="A7923">
        <v>1.009007</v>
      </c>
      <c r="B7923">
        <v>3.3911340000000001</v>
      </c>
      <c r="C7923">
        <f>LOG10(1.009007)</f>
        <v>3.8941791713288159E-3</v>
      </c>
      <c r="D7923">
        <f>LOG10(3.391134)</f>
        <v>0.53034495117907976</v>
      </c>
    </row>
    <row r="7924" spans="1:4">
      <c r="A7924">
        <v>1.013924</v>
      </c>
      <c r="B7924">
        <v>3.3564050000000001</v>
      </c>
      <c r="C7924">
        <f>LOG10(1.013924)</f>
        <v>6.0054031061811328E-3</v>
      </c>
      <c r="D7924">
        <f>LOG10(3.356405)</f>
        <v>0.52587435938339711</v>
      </c>
    </row>
    <row r="7925" spans="1:4">
      <c r="A7925">
        <v>1.0136400000000001</v>
      </c>
      <c r="B7925">
        <v>3.3708230000000001</v>
      </c>
      <c r="C7925">
        <f>LOG10(1.01364)</f>
        <v>5.8837402302698207E-3</v>
      </c>
      <c r="D7925">
        <f>LOG10(3.370823)</f>
        <v>0.52773594856325468</v>
      </c>
    </row>
    <row r="7926" spans="1:4">
      <c r="A7926">
        <v>1.015882</v>
      </c>
      <c r="B7926">
        <v>3.313672</v>
      </c>
      <c r="C7926">
        <f>LOG10(1.015882)</f>
        <v>6.8432653051463763E-3</v>
      </c>
      <c r="D7926">
        <f>LOG10(3.313672)</f>
        <v>0.52030951807248926</v>
      </c>
    </row>
    <row r="7927" spans="1:4">
      <c r="A7927">
        <v>1.0104740000000001</v>
      </c>
      <c r="B7927">
        <v>3.3865569999999998</v>
      </c>
      <c r="C7927">
        <f>LOG10(1.010474)</f>
        <v>4.5251433814581989E-3</v>
      </c>
      <c r="D7927">
        <f>LOG10(3.386557)</f>
        <v>0.52975838972449729</v>
      </c>
    </row>
    <row r="7928" spans="1:4">
      <c r="A7928">
        <v>1.014702</v>
      </c>
      <c r="B7928">
        <v>3.3791709999999999</v>
      </c>
      <c r="C7928">
        <f>LOG10(1.014702)</f>
        <v>6.3385163793876808E-3</v>
      </c>
      <c r="D7928">
        <f>LOG10(3.379171)</f>
        <v>0.52881016942429915</v>
      </c>
    </row>
    <row r="7929" spans="1:4">
      <c r="A7929">
        <v>1.0152369999999999</v>
      </c>
      <c r="B7929">
        <v>3.4587650000000001</v>
      </c>
      <c r="C7929">
        <f>LOG10(1.015237)</f>
        <v>6.5674371038014923E-3</v>
      </c>
      <c r="D7929">
        <f>LOG10(3.458765)</f>
        <v>0.53892105560491088</v>
      </c>
    </row>
    <row r="7930" spans="1:4">
      <c r="A7930">
        <v>1.0133019999999999</v>
      </c>
      <c r="B7930">
        <v>3.3464610000000001</v>
      </c>
      <c r="C7930">
        <f>LOG10(1.013302)</f>
        <v>5.738899838937485E-3</v>
      </c>
      <c r="D7930">
        <f>LOG10(3.346461)</f>
        <v>0.52458576805653989</v>
      </c>
    </row>
    <row r="7931" spans="1:4">
      <c r="A7931">
        <v>1.028896</v>
      </c>
      <c r="B7931">
        <v>3.4503409999999999</v>
      </c>
      <c r="C7931">
        <f>LOG10(1.028896)</f>
        <v>1.2371478835567455E-2</v>
      </c>
      <c r="D7931">
        <f>LOG10(3.450341)</f>
        <v>0.53786201887035878</v>
      </c>
    </row>
    <row r="7932" spans="1:4">
      <c r="A7932">
        <v>1.0239279999999999</v>
      </c>
      <c r="B7932">
        <v>3.4487359999999998</v>
      </c>
      <c r="C7932">
        <f>LOG10(1.023928)</f>
        <v>1.0269419235459905E-2</v>
      </c>
      <c r="D7932">
        <f>LOG10(3.448736)</f>
        <v>0.53765995049047854</v>
      </c>
    </row>
    <row r="7933" spans="1:4">
      <c r="A7933">
        <v>1.0202310000000001</v>
      </c>
      <c r="B7933">
        <v>3.4743620000000002</v>
      </c>
      <c r="C7933">
        <f>LOG10(1.020231)</f>
        <v>8.6985155531337371E-3</v>
      </c>
      <c r="D7933">
        <f>LOG10(3.474362)</f>
        <v>0.54087506638854932</v>
      </c>
    </row>
    <row r="7934" spans="1:4">
      <c r="A7934">
        <v>1.0213970000000001</v>
      </c>
      <c r="B7934">
        <v>3.312703</v>
      </c>
      <c r="C7934">
        <f>LOG10(1.021397)</f>
        <v>9.19457793174072E-3</v>
      </c>
      <c r="D7934">
        <f>LOG10(3.312703)</f>
        <v>0.52018250100630625</v>
      </c>
    </row>
    <row r="7935" spans="1:4">
      <c r="A7935">
        <v>1.0416000000000001</v>
      </c>
      <c r="B7935">
        <v>3.4735819999999999</v>
      </c>
      <c r="C7935">
        <f>LOG10(1.0416)</f>
        <v>1.7700971224116763E-2</v>
      </c>
      <c r="D7935">
        <f>LOG10(3.473582)</f>
        <v>0.54077755561491392</v>
      </c>
    </row>
    <row r="7936" spans="1:4">
      <c r="A7936">
        <v>1.050325</v>
      </c>
      <c r="B7936">
        <v>3.3819530000000002</v>
      </c>
      <c r="C7936">
        <f>LOG10(1.050325)</f>
        <v>2.1323702752934808E-2</v>
      </c>
      <c r="D7936">
        <f>LOG10(3.381953)</f>
        <v>0.52916756778493901</v>
      </c>
    </row>
    <row r="7937" spans="1:4">
      <c r="A7937">
        <v>1.0256449999999999</v>
      </c>
      <c r="B7937">
        <v>3.3221229999999999</v>
      </c>
      <c r="C7937">
        <f>LOG10(1.025645)</f>
        <v>1.0997067189319931E-2</v>
      </c>
      <c r="D7937">
        <f>LOG10(3.322123)</f>
        <v>0.52141570795654668</v>
      </c>
    </row>
    <row r="7938" spans="1:4">
      <c r="A7938">
        <v>1.0137160000000001</v>
      </c>
      <c r="B7938">
        <v>3.7814649999999999</v>
      </c>
      <c r="C7938">
        <f>LOG10(1.013716)</f>
        <v>5.9163012413996794E-3</v>
      </c>
      <c r="D7938">
        <f>LOG10(3.781465)</f>
        <v>0.57766008506342137</v>
      </c>
    </row>
    <row r="7939" spans="1:4">
      <c r="A7939">
        <v>1.0110969999999999</v>
      </c>
      <c r="B7939">
        <v>3.8266290000000001</v>
      </c>
      <c r="C7939">
        <f>LOG10(1.011097)</f>
        <v>4.7928218065949645E-3</v>
      </c>
      <c r="D7939">
        <f>LOG10(3.826629)</f>
        <v>0.58281635847138757</v>
      </c>
    </row>
    <row r="7940" spans="1:4">
      <c r="A7940">
        <v>1.0135430000000001</v>
      </c>
      <c r="B7940">
        <v>3.770016</v>
      </c>
      <c r="C7940">
        <f>LOG10(1.013543)</f>
        <v>5.8421785510560818E-3</v>
      </c>
      <c r="D7940">
        <f>LOG10(3.770016)</f>
        <v>0.57634319336148654</v>
      </c>
    </row>
    <row r="7941" spans="1:4">
      <c r="A7941">
        <v>1.0127139999999999</v>
      </c>
      <c r="B7941">
        <v>4.0316660000000004</v>
      </c>
      <c r="C7941">
        <f>LOG10(1.012714)</f>
        <v>5.4868138114540256E-3</v>
      </c>
      <c r="D7941">
        <f>LOG10(4.031666)</f>
        <v>0.60548454616434311</v>
      </c>
    </row>
    <row r="7942" spans="1:4">
      <c r="A7942">
        <v>1.020974</v>
      </c>
      <c r="B7942">
        <v>3.1866210000000001</v>
      </c>
      <c r="C7942">
        <f>LOG10(1.020974)</f>
        <v>9.0146825371509708E-3</v>
      </c>
      <c r="D7942">
        <f>LOG10(3.186621)</f>
        <v>0.5033304138356901</v>
      </c>
    </row>
    <row r="7943" spans="1:4">
      <c r="A7943">
        <v>1.013844</v>
      </c>
      <c r="B7943">
        <v>3.137251</v>
      </c>
      <c r="C7943">
        <f>LOG10(1.013844)</f>
        <v>5.9711353215328687E-3</v>
      </c>
      <c r="D7943">
        <f>LOG10(3.137251)</f>
        <v>0.49654926640389063</v>
      </c>
    </row>
    <row r="7944" spans="1:4">
      <c r="A7944">
        <v>1.0237289999999999</v>
      </c>
      <c r="B7944">
        <v>3.1245769999999999</v>
      </c>
      <c r="C7944">
        <f>LOG10(1.023729)</f>
        <v>1.0185006072346297E-2</v>
      </c>
      <c r="D7944">
        <f>LOG10(3.124577)</f>
        <v>0.4947912316000212</v>
      </c>
    </row>
    <row r="7945" spans="1:4">
      <c r="A7945">
        <v>1.0139990000000001</v>
      </c>
      <c r="B7945">
        <v>3.5445600000000002</v>
      </c>
      <c r="C7945">
        <f>LOG10(1.013999)</f>
        <v>6.0375266988003939E-3</v>
      </c>
      <c r="D7945">
        <f>LOG10(3.54456)</f>
        <v>0.54956233220402417</v>
      </c>
    </row>
    <row r="7946" spans="1:4">
      <c r="A7946">
        <v>1.011557</v>
      </c>
      <c r="B7946">
        <v>4.1294959999999996</v>
      </c>
      <c r="C7946">
        <f>LOG10(1.011557)</f>
        <v>4.990359759324191E-3</v>
      </c>
      <c r="D7946">
        <f>LOG10(4.129496)</f>
        <v>0.61589704977368298</v>
      </c>
    </row>
    <row r="7947" spans="1:4">
      <c r="A7947">
        <v>1.0125900000000001</v>
      </c>
      <c r="B7947">
        <v>4.217384</v>
      </c>
      <c r="C7947">
        <f>LOG10(1.01259)</f>
        <v>5.4336341250235424E-3</v>
      </c>
      <c r="D7947">
        <f>LOG10(4.217384)</f>
        <v>0.62504314606786704</v>
      </c>
    </row>
    <row r="7948" spans="1:4">
      <c r="A7948">
        <v>1.0204260000000001</v>
      </c>
      <c r="B7948">
        <v>4.5215509999999997</v>
      </c>
      <c r="C7948">
        <f>LOG10(1.020426)</f>
        <v>8.781515708700182E-3</v>
      </c>
      <c r="D7948">
        <f>LOG10(4.521551)</f>
        <v>0.65528743374929421</v>
      </c>
    </row>
    <row r="7949" spans="1:4">
      <c r="A7949">
        <v>1.016052</v>
      </c>
      <c r="B7949">
        <v>3.8874490000000002</v>
      </c>
      <c r="C7949">
        <f>LOG10(1.016052)</f>
        <v>6.9159350494351346E-3</v>
      </c>
      <c r="D7949">
        <f>LOG10(3.887449)</f>
        <v>0.5896647045007809</v>
      </c>
    </row>
    <row r="7950" spans="1:4">
      <c r="A7950">
        <v>1.01078</v>
      </c>
      <c r="B7950">
        <v>4.3770889999999998</v>
      </c>
      <c r="C7950">
        <f>LOG10(1.01078)</f>
        <v>4.656640078535992E-3</v>
      </c>
      <c r="D7950">
        <f>LOG10(4.377089)</f>
        <v>0.64118537727702218</v>
      </c>
    </row>
    <row r="7951" spans="1:4">
      <c r="A7951">
        <v>1.009916</v>
      </c>
      <c r="B7951">
        <v>4.3707570000000002</v>
      </c>
      <c r="C7951">
        <f>LOG10(1.009916)</f>
        <v>4.2852527394894062E-3</v>
      </c>
      <c r="D7951">
        <f>LOG10(4.370757)</f>
        <v>0.64055666178759108</v>
      </c>
    </row>
    <row r="7952" spans="1:4">
      <c r="A7952">
        <v>1.0163059999999999</v>
      </c>
      <c r="B7952">
        <v>4.7219360000000004</v>
      </c>
      <c r="C7952">
        <f>LOG10(1.016306)</f>
        <v>7.0244895452254907E-3</v>
      </c>
      <c r="D7952">
        <f>LOG10(4.721936)</f>
        <v>0.67412009645825177</v>
      </c>
    </row>
    <row r="7953" spans="1:4">
      <c r="A7953">
        <v>1.008337</v>
      </c>
      <c r="B7953">
        <v>5.1248279999999999</v>
      </c>
      <c r="C7953">
        <f>LOG10(1.008337)</f>
        <v>3.6057035186153755E-3</v>
      </c>
      <c r="D7953">
        <f>LOG10(5.124828)</f>
        <v>0.7096792941366904</v>
      </c>
    </row>
    <row r="7954" spans="1:4">
      <c r="A7954">
        <v>1.015066</v>
      </c>
      <c r="B7954">
        <v>4.4793560000000001</v>
      </c>
      <c r="C7954">
        <f>LOG10(1.015066)</f>
        <v>6.4942811693611407E-3</v>
      </c>
      <c r="D7954">
        <f>LOG10(4.479356)</f>
        <v>0.65121557967879617</v>
      </c>
    </row>
    <row r="7955" spans="1:4">
      <c r="A7955">
        <v>1.0067280000000001</v>
      </c>
      <c r="B7955">
        <v>4.5996649999999999</v>
      </c>
      <c r="C7955">
        <f>LOG10(1.006728)</f>
        <v>2.9121477574945405E-3</v>
      </c>
      <c r="D7955">
        <f>LOG10(4.599665)</f>
        <v>0.66272620256214376</v>
      </c>
    </row>
    <row r="7956" spans="1:4">
      <c r="A7956">
        <v>1.016524</v>
      </c>
      <c r="B7956">
        <v>4.7435020000000003</v>
      </c>
      <c r="C7956">
        <f>LOG10(1.016524)</f>
        <v>7.1176367315793597E-3</v>
      </c>
      <c r="D7956">
        <f>LOG10(4.743502)</f>
        <v>0.67609908802807039</v>
      </c>
    </row>
    <row r="7957" spans="1:4">
      <c r="A7957">
        <v>1.015309</v>
      </c>
      <c r="B7957">
        <v>4.6352900000000004</v>
      </c>
      <c r="C7957">
        <f>LOG10(1.015309)</f>
        <v>6.5982359162491495E-3</v>
      </c>
      <c r="D7957">
        <f>LOG10(4.63529)</f>
        <v>0.6660769103165195</v>
      </c>
    </row>
    <row r="7958" spans="1:4">
      <c r="A7958">
        <v>1.006564</v>
      </c>
      <c r="B7958">
        <v>5.3973449999999996</v>
      </c>
      <c r="C7958">
        <f>LOG10(1.006564)</f>
        <v>2.8413936938120814E-3</v>
      </c>
      <c r="D7958">
        <f>LOG10(5.397345)</f>
        <v>0.7321801791931577</v>
      </c>
    </row>
    <row r="7959" spans="1:4">
      <c r="A7959">
        <v>1.008324</v>
      </c>
      <c r="B7959">
        <v>4.9041410000000001</v>
      </c>
      <c r="C7959">
        <f>LOG10(1.008324)</f>
        <v>3.6001043343550179E-3</v>
      </c>
      <c r="D7959">
        <f>LOG10(4.904141)</f>
        <v>0.69056294818279795</v>
      </c>
    </row>
    <row r="7960" spans="1:4">
      <c r="A7960">
        <v>1.0103519999999999</v>
      </c>
      <c r="B7960">
        <v>4.9240599999999999</v>
      </c>
      <c r="C7960">
        <f>LOG10(1.010352)</f>
        <v>4.4727054903615443E-3</v>
      </c>
      <c r="D7960">
        <f>LOG10(4.92406)</f>
        <v>0.6923233361987905</v>
      </c>
    </row>
    <row r="7961" spans="1:4">
      <c r="A7961">
        <v>1.0117579999999999</v>
      </c>
      <c r="B7961">
        <v>5.2511900000000002</v>
      </c>
      <c r="C7961">
        <f>LOG10(1.011758)</f>
        <v>5.076647056309256E-3</v>
      </c>
      <c r="D7961">
        <f>LOG10(5.25119)</f>
        <v>0.72025773233366452</v>
      </c>
    </row>
    <row r="7962" spans="1:4">
      <c r="A7962">
        <v>1.0096259999999999</v>
      </c>
      <c r="B7962">
        <v>5.1852179999999999</v>
      </c>
      <c r="C7962">
        <f>LOG10(1.009626)</f>
        <v>4.1605260434190456E-3</v>
      </c>
      <c r="D7962">
        <f>LOG10(5.185218)</f>
        <v>0.71476701997420355</v>
      </c>
    </row>
    <row r="7963" spans="1:4">
      <c r="A7963">
        <v>1.0196499999999999</v>
      </c>
      <c r="B7963">
        <v>5.2637919999999996</v>
      </c>
      <c r="C7963">
        <f>LOG10(1.01965)</f>
        <v>8.4511235721221375E-3</v>
      </c>
      <c r="D7963">
        <f>LOG10(5.263792)</f>
        <v>0.72129871969461823</v>
      </c>
    </row>
    <row r="7964" spans="1:4">
      <c r="A7964">
        <v>1.008481</v>
      </c>
      <c r="B7964">
        <v>5.5009709999999998</v>
      </c>
      <c r="C7964">
        <f>LOG10(1.008481)</f>
        <v>3.6677204239586496E-3</v>
      </c>
      <c r="D7964">
        <f>LOG10(5.500971)</f>
        <v>0.7404393554436447</v>
      </c>
    </row>
    <row r="7965" spans="1:4">
      <c r="A7965">
        <v>1.0156890000000001</v>
      </c>
      <c r="B7965">
        <v>5.0425950000000004</v>
      </c>
      <c r="C7965">
        <f>LOG10(1.015689)</f>
        <v>6.7607490305397434E-3</v>
      </c>
      <c r="D7965">
        <f>LOG10(5.042595)</f>
        <v>0.70265408885547997</v>
      </c>
    </row>
    <row r="7966" spans="1:4">
      <c r="A7966">
        <v>1.0076830000000001</v>
      </c>
      <c r="B7966">
        <v>5.3531950000000004</v>
      </c>
      <c r="C7966">
        <f>LOG10(1.007683)</f>
        <v>3.3239319080876264E-3</v>
      </c>
      <c r="D7966">
        <f>LOG10(5.353195)</f>
        <v>0.72861306364898448</v>
      </c>
    </row>
    <row r="7967" spans="1:4">
      <c r="A7967">
        <v>1.011163</v>
      </c>
      <c r="B7967">
        <v>5.869186</v>
      </c>
      <c r="C7967">
        <f>LOG10(1.011163)</f>
        <v>4.8211697300230543E-3</v>
      </c>
      <c r="D7967">
        <f>LOG10(5.869186)</f>
        <v>0.7685778729304491</v>
      </c>
    </row>
    <row r="7968" spans="1:4">
      <c r="A7968">
        <v>1.00831</v>
      </c>
      <c r="B7968">
        <v>5.7078759999999997</v>
      </c>
      <c r="C7968">
        <f>LOG10(1.00831)</f>
        <v>3.5940743628810421E-3</v>
      </c>
      <c r="D7968">
        <f>LOG10(5.707876)</f>
        <v>0.75647452977184759</v>
      </c>
    </row>
    <row r="7969" spans="1:4">
      <c r="A7969">
        <v>1.018049</v>
      </c>
      <c r="B7969">
        <v>5.8369730000000004</v>
      </c>
      <c r="C7969">
        <f>LOG10(1.018049)</f>
        <v>7.7686816524863977E-3</v>
      </c>
      <c r="D7969">
        <f>LOG10(5.836973)</f>
        <v>0.76618768440522056</v>
      </c>
    </row>
    <row r="7970" spans="1:4">
      <c r="A7970">
        <v>1.015228</v>
      </c>
      <c r="B7970">
        <v>5.5633189999999999</v>
      </c>
      <c r="C7970">
        <f>LOG10(1.015228)</f>
        <v>6.5635870986675716E-3</v>
      </c>
      <c r="D7970">
        <f>LOG10(5.563319)</f>
        <v>0.74533396304485822</v>
      </c>
    </row>
    <row r="7971" spans="1:4">
      <c r="A7971">
        <v>1.024205</v>
      </c>
      <c r="B7971">
        <v>5.8408350000000002</v>
      </c>
      <c r="C7971">
        <f>LOG10(1.024205)</f>
        <v>1.0386891657632404E-2</v>
      </c>
      <c r="D7971">
        <f>LOG10(5.840835)</f>
        <v>0.76647493786070764</v>
      </c>
    </row>
    <row r="7972" spans="1:4">
      <c r="A7972">
        <v>1.007752</v>
      </c>
      <c r="B7972">
        <v>6.077547</v>
      </c>
      <c r="C7972">
        <f>LOG10(1.007752)</f>
        <v>3.3536687334012462E-3</v>
      </c>
      <c r="D7972">
        <f>LOG10(6.077547)</f>
        <v>0.78372832609401966</v>
      </c>
    </row>
    <row r="7973" spans="1:4">
      <c r="A7973">
        <v>1.0158780000000001</v>
      </c>
      <c r="B7973">
        <v>5.5208729999999999</v>
      </c>
      <c r="C7973">
        <f>LOG10(1.015878)</f>
        <v>6.8415552823803318E-3</v>
      </c>
      <c r="D7973">
        <f>LOG10(5.520873)</f>
        <v>0.74200775691489218</v>
      </c>
    </row>
    <row r="7974" spans="1:4">
      <c r="A7974">
        <v>1.00969</v>
      </c>
      <c r="B7974">
        <v>6.7183299999999999</v>
      </c>
      <c r="C7974">
        <f>LOG10(1.00969)</f>
        <v>4.1880550154582332E-3</v>
      </c>
      <c r="D7974">
        <f>LOG10(6.71833)</f>
        <v>0.82726133229206211</v>
      </c>
    </row>
    <row r="7975" spans="1:4">
      <c r="A7975">
        <v>1.0126740000000001</v>
      </c>
      <c r="B7975">
        <v>5.8139050000000001</v>
      </c>
      <c r="C7975">
        <f>LOG10(1.012674)</f>
        <v>5.469659785382666E-3</v>
      </c>
      <c r="D7975">
        <f>LOG10(5.813905)</f>
        <v>0.76446793106136812</v>
      </c>
    </row>
    <row r="7976" spans="1:4">
      <c r="A7976">
        <v>1.006559</v>
      </c>
      <c r="B7976">
        <v>5.8239700000000001</v>
      </c>
      <c r="C7976">
        <f>LOG10(1.006559)</f>
        <v>2.8392363766391762E-3</v>
      </c>
      <c r="D7976">
        <f>LOG10(5.82397)</f>
        <v>0.76521912920539048</v>
      </c>
    </row>
    <row r="7977" spans="1:4">
      <c r="A7977">
        <v>1.0169319999999999</v>
      </c>
      <c r="B7977">
        <v>6.1483660000000002</v>
      </c>
      <c r="C7977">
        <f>LOG10(1.016932)</f>
        <v>7.2919135794622782E-3</v>
      </c>
      <c r="D7977">
        <f>LOG10(6.148366)</f>
        <v>0.78875971228399266</v>
      </c>
    </row>
    <row r="7978" spans="1:4">
      <c r="A7978">
        <v>1.0178050000000001</v>
      </c>
      <c r="B7978">
        <v>6.4464680000000003</v>
      </c>
      <c r="C7978">
        <f>LOG10(1.017805)</f>
        <v>7.6645800282130047E-3</v>
      </c>
      <c r="D7978">
        <f>LOG10(6.446468)</f>
        <v>0.80932183118556145</v>
      </c>
    </row>
    <row r="7979" spans="1:4">
      <c r="A7979">
        <v>1.0155920000000001</v>
      </c>
      <c r="B7979">
        <v>6.3746150000000004</v>
      </c>
      <c r="C7979">
        <f>LOG10(1.015592)</f>
        <v>6.7192711997751736E-3</v>
      </c>
      <c r="D7979">
        <f>LOG10(6.374615)</f>
        <v>0.80445396033350303</v>
      </c>
    </row>
    <row r="7980" spans="1:4">
      <c r="A7980">
        <v>1.0089729999999999</v>
      </c>
      <c r="B7980">
        <v>5.9213329999999997</v>
      </c>
      <c r="C7980">
        <f>LOG10(1.008973)</f>
        <v>3.8795447226364142E-3</v>
      </c>
      <c r="D7980">
        <f>LOG10(5.921333)</f>
        <v>0.77241948533396332</v>
      </c>
    </row>
    <row r="7981" spans="1:4">
      <c r="A7981">
        <v>1.0149680000000001</v>
      </c>
      <c r="B7981">
        <v>6.189908</v>
      </c>
      <c r="C7981">
        <f>LOG10(1.014968)</f>
        <v>6.4523499906128526E-3</v>
      </c>
      <c r="D7981">
        <f>LOG10(6.189908)</f>
        <v>0.79168419419148184</v>
      </c>
    </row>
    <row r="7982" spans="1:4">
      <c r="A7982">
        <v>1.013514</v>
      </c>
      <c r="B7982">
        <v>6.1855789999999997</v>
      </c>
      <c r="C7982">
        <f>LOG10(1.013514)</f>
        <v>5.8297521220251492E-3</v>
      </c>
      <c r="D7982">
        <f>LOG10(6.185579)</f>
        <v>0.7913803579240537</v>
      </c>
    </row>
    <row r="7983" spans="1:4">
      <c r="A7983">
        <v>1.0178830000000001</v>
      </c>
      <c r="B7983">
        <v>6.4646840000000001</v>
      </c>
      <c r="C7983">
        <f>LOG10(1.017883)</f>
        <v>7.697861129840603E-3</v>
      </c>
      <c r="D7983">
        <f>LOG10(6.464684)</f>
        <v>0.8105473010013523</v>
      </c>
    </row>
    <row r="7984" spans="1:4">
      <c r="A7984">
        <v>1.01295</v>
      </c>
      <c r="B7984">
        <v>6.3654640000000002</v>
      </c>
      <c r="C7984">
        <f>LOG10(1.01295)</f>
        <v>5.5880087758636721E-3</v>
      </c>
      <c r="D7984">
        <f>LOG10(6.365464)</f>
        <v>0.80383006632352483</v>
      </c>
    </row>
    <row r="7985" spans="1:4">
      <c r="A7985">
        <v>1.009503</v>
      </c>
      <c r="B7985">
        <v>6.6020000000000003</v>
      </c>
      <c r="C7985">
        <f>LOG10(1.009503)</f>
        <v>4.1076139002720526E-3</v>
      </c>
      <c r="D7985">
        <f>LOG10(6.602)</f>
        <v>0.81967551999429278</v>
      </c>
    </row>
    <row r="7986" spans="1:4">
      <c r="A7986">
        <v>1.012335</v>
      </c>
      <c r="B7986">
        <v>6.5224679999999999</v>
      </c>
      <c r="C7986">
        <f>LOG10(1.012335)</f>
        <v>5.3242522037466582E-3</v>
      </c>
      <c r="D7986">
        <f>LOG10(6.522468)</f>
        <v>0.81441195707735425</v>
      </c>
    </row>
    <row r="7987" spans="1:4">
      <c r="A7987">
        <v>1.0124759999999999</v>
      </c>
      <c r="B7987">
        <v>6.5366679999999997</v>
      </c>
      <c r="C7987">
        <f>LOG10(1.012476)</f>
        <v>5.3847373769774602E-3</v>
      </c>
      <c r="D7987">
        <f>LOG10(6.536668)</f>
        <v>0.81535642753444237</v>
      </c>
    </row>
    <row r="7988" spans="1:4">
      <c r="A7988">
        <v>1.013134</v>
      </c>
      <c r="B7988">
        <v>7.3596349999999999</v>
      </c>
      <c r="C7988">
        <f>LOG10(1.013134)</f>
        <v>5.666890189358737E-3</v>
      </c>
      <c r="D7988">
        <f>LOG10(7.359635)</f>
        <v>0.86685627610154026</v>
      </c>
    </row>
    <row r="7989" spans="1:4">
      <c r="A7989">
        <v>1.011436</v>
      </c>
      <c r="B7989">
        <v>6.9748320000000001</v>
      </c>
      <c r="C7989">
        <f>LOG10(1.011436)</f>
        <v>4.9384073972814401E-3</v>
      </c>
      <c r="D7989">
        <f>LOG10(6.974832)</f>
        <v>0.84353375139342734</v>
      </c>
    </row>
    <row r="7990" spans="1:4">
      <c r="A7990">
        <v>1.01569</v>
      </c>
      <c r="B7990">
        <v>6.8389819999999997</v>
      </c>
      <c r="C7990">
        <f>LOG10(1.01569)</f>
        <v>6.7611766164130515E-3</v>
      </c>
      <c r="D7990">
        <f>LOG10(6.838982)</f>
        <v>0.83499146068419794</v>
      </c>
    </row>
    <row r="7991" spans="1:4">
      <c r="A7991">
        <v>1.0157499999999999</v>
      </c>
      <c r="B7991">
        <v>6.5646829999999996</v>
      </c>
      <c r="C7991">
        <f>LOG10(1.01575)</f>
        <v>6.7868309984491938E-3</v>
      </c>
      <c r="D7991">
        <f>LOG10(6.564683)</f>
        <v>0.81721375941640517</v>
      </c>
    </row>
    <row r="7992" spans="1:4">
      <c r="A7992">
        <v>1.028643</v>
      </c>
      <c r="B7992">
        <v>6.7374359999999998</v>
      </c>
      <c r="C7992">
        <f>LOG10(1.028643)</f>
        <v>1.2264675023367233E-2</v>
      </c>
      <c r="D7992">
        <f>LOG10(6.737436)</f>
        <v>0.82849465278049372</v>
      </c>
    </row>
    <row r="7993" spans="1:4">
      <c r="A7993">
        <v>1.048743</v>
      </c>
      <c r="B7993">
        <v>6.6076870000000003</v>
      </c>
      <c r="C7993">
        <f>LOG10(1.048743)</f>
        <v>2.0669075079646805E-2</v>
      </c>
      <c r="D7993">
        <f>LOG10(6.607687)</f>
        <v>0.82004946267305179</v>
      </c>
    </row>
    <row r="7994" spans="1:4">
      <c r="A7994">
        <v>1.009649</v>
      </c>
      <c r="B7994">
        <v>3.3839290000000002</v>
      </c>
      <c r="C7994">
        <f>LOG10(1.009649)</f>
        <v>4.1704194686179438E-3</v>
      </c>
      <c r="D7994">
        <f>LOG10(3.383929)</f>
        <v>0.52942124230088239</v>
      </c>
    </row>
    <row r="7995" spans="1:4">
      <c r="A7995">
        <v>1.0096259999999999</v>
      </c>
      <c r="B7995">
        <v>3.561226</v>
      </c>
      <c r="C7995">
        <f>LOG10(1.009626)</f>
        <v>4.1605260434190456E-3</v>
      </c>
      <c r="D7995">
        <f>LOG10(3.561226)</f>
        <v>0.55159953543737184</v>
      </c>
    </row>
    <row r="7996" spans="1:4">
      <c r="A7996">
        <v>1.0414000000000001</v>
      </c>
      <c r="B7996">
        <v>5.9756210000000003</v>
      </c>
      <c r="C7996">
        <f>LOG10(1.0414)</f>
        <v>1.7617573339673596E-2</v>
      </c>
      <c r="D7996">
        <f>LOG10(5.975621)</f>
        <v>0.77638304482670639</v>
      </c>
    </row>
    <row r="7997" spans="1:4">
      <c r="A7997">
        <v>1.032853</v>
      </c>
      <c r="B7997">
        <v>3.4489990000000001</v>
      </c>
      <c r="C7997">
        <f>LOG10(1.032853)</f>
        <v>1.4038515293381328E-2</v>
      </c>
      <c r="D7997">
        <f>LOG10(3.448999)</f>
        <v>0.53769306844841569</v>
      </c>
    </row>
    <row r="7998" spans="1:4">
      <c r="A7998">
        <v>1.040297</v>
      </c>
      <c r="B7998">
        <v>4.75657</v>
      </c>
      <c r="C7998">
        <f>LOG10(1.040297)</f>
        <v>1.7157346074737477E-2</v>
      </c>
      <c r="D7998">
        <f>LOG10(4.75657)</f>
        <v>0.67729389241884419</v>
      </c>
    </row>
    <row r="7999" spans="1:4">
      <c r="A7999">
        <v>1.0055700000000001</v>
      </c>
      <c r="B7999">
        <v>4.3016269999999999</v>
      </c>
      <c r="C7999">
        <f>LOG10(1.00557)</f>
        <v>2.4123082053425422E-3</v>
      </c>
      <c r="D7999">
        <f>LOG10(4.301627)</f>
        <v>0.6336327494115519</v>
      </c>
    </row>
    <row r="8000" spans="1:4">
      <c r="A8000">
        <v>1.005814</v>
      </c>
      <c r="B8000">
        <v>3.6698309999999998</v>
      </c>
      <c r="C8000">
        <f>LOG10(1.005814)</f>
        <v>2.5176763042278495E-3</v>
      </c>
      <c r="D8000">
        <f>LOG10(3.669831)</f>
        <v>0.56464606494489689</v>
      </c>
    </row>
    <row r="8001" spans="1:4">
      <c r="A8001">
        <v>1.01457</v>
      </c>
      <c r="B8001">
        <v>3.5793379999999999</v>
      </c>
      <c r="C8001">
        <f>LOG10(1.01457)</f>
        <v>6.2820164407968041E-3</v>
      </c>
      <c r="D8001">
        <f>LOG10(3.579338)</f>
        <v>0.55380271113206603</v>
      </c>
    </row>
    <row r="8002" spans="1:4">
      <c r="A8002">
        <v>1.002867</v>
      </c>
      <c r="B8002">
        <v>3.5923310000000002</v>
      </c>
      <c r="C8002">
        <f>LOG10(1.002867)</f>
        <v>1.2433408010159347E-3</v>
      </c>
      <c r="D8002">
        <f>LOG10(3.592331)</f>
        <v>0.5553763460494493</v>
      </c>
    </row>
    <row r="8003" spans="1:4">
      <c r="A8003">
        <v>1.0052479999999999</v>
      </c>
      <c r="B8003">
        <v>3.5951599999999999</v>
      </c>
      <c r="C8003">
        <f>LOG10(1.005248)</f>
        <v>2.2732177214019396E-3</v>
      </c>
      <c r="D8003">
        <f>LOG10(3.59516)</f>
        <v>0.55571822311134778</v>
      </c>
    </row>
    <row r="8004" spans="1:4">
      <c r="A8004">
        <v>1.0048220000000001</v>
      </c>
      <c r="B8004">
        <v>3.48787</v>
      </c>
      <c r="C8004">
        <f>LOG10(1.004822)</f>
        <v>2.0891351252131109E-3</v>
      </c>
      <c r="D8004">
        <f>LOG10(3.48787)</f>
        <v>0.54256028952463742</v>
      </c>
    </row>
    <row r="8005" spans="1:4">
      <c r="A8005">
        <v>1.022222</v>
      </c>
      <c r="B8005">
        <v>3.203392</v>
      </c>
      <c r="C8005">
        <f>LOG10(1.022222)</f>
        <v>9.545223494376226E-3</v>
      </c>
      <c r="D8005">
        <f>LOG10(3.203392)</f>
        <v>0.50561008665636376</v>
      </c>
    </row>
    <row r="8006" spans="1:4">
      <c r="A8006">
        <v>1.013031</v>
      </c>
      <c r="B8006">
        <v>3.7028379999999999</v>
      </c>
      <c r="C8006">
        <f>LOG10(1.013031)</f>
        <v>5.6227355112604066E-3</v>
      </c>
      <c r="D8006">
        <f>LOG10(3.702838)</f>
        <v>0.56853471198325711</v>
      </c>
    </row>
    <row r="8007" spans="1:4">
      <c r="A8007">
        <v>1.0153019999999999</v>
      </c>
      <c r="B8007">
        <v>3.3840050000000002</v>
      </c>
      <c r="C8007">
        <f>LOG10(1.015302)</f>
        <v>6.5952416831110703E-3</v>
      </c>
      <c r="D8007">
        <f>LOG10(3.384005)</f>
        <v>0.52943099605457611</v>
      </c>
    </row>
    <row r="8008" spans="1:4">
      <c r="A8008">
        <v>1.0080990000000001</v>
      </c>
      <c r="B8008">
        <v>3.5839430000000001</v>
      </c>
      <c r="C8008">
        <f>LOG10(1.008099)</f>
        <v>3.5031839373611835E-3</v>
      </c>
      <c r="D8008">
        <f>LOG10(3.583943)</f>
        <v>0.55436109390796684</v>
      </c>
    </row>
    <row r="8009" spans="1:4">
      <c r="A8009">
        <v>1.0173350000000001</v>
      </c>
      <c r="B8009">
        <v>3.47201</v>
      </c>
      <c r="C8009">
        <f>LOG10(1.017335)</f>
        <v>7.4639860542128301E-3</v>
      </c>
      <c r="D8009">
        <f>LOG10(3.47201)</f>
        <v>0.54058096735081518</v>
      </c>
    </row>
    <row r="8010" spans="1:4">
      <c r="A8010">
        <v>1.00481</v>
      </c>
      <c r="B8010">
        <v>3.9293689999999999</v>
      </c>
      <c r="C8010">
        <f>LOG10(1.00481)</f>
        <v>2.0839485698806374E-3</v>
      </c>
      <c r="D8010">
        <f>LOG10(3.929369)</f>
        <v>0.59432281454328295</v>
      </c>
    </row>
    <row r="8011" spans="1:4">
      <c r="A8011">
        <v>1.0049380000000001</v>
      </c>
      <c r="B8011">
        <v>3.7924229999999999</v>
      </c>
      <c r="C8011">
        <f>LOG10(1.004938)</f>
        <v>2.139268633648668E-3</v>
      </c>
      <c r="D8011">
        <f>LOG10(3.792423)</f>
        <v>0.57891677178847456</v>
      </c>
    </row>
    <row r="8012" spans="1:4">
      <c r="A8012">
        <v>1.005226</v>
      </c>
      <c r="B8012">
        <v>3.046659</v>
      </c>
      <c r="C8012">
        <f>LOG10(1.005226)</f>
        <v>2.2637130189265648E-3</v>
      </c>
      <c r="D8012">
        <f>LOG10(3.046659)</f>
        <v>0.48382384814921803</v>
      </c>
    </row>
    <row r="8013" spans="1:4">
      <c r="A8013">
        <v>1.0057529999999999</v>
      </c>
      <c r="B8013">
        <v>3.55654</v>
      </c>
      <c r="C8013">
        <f>LOG10(1.005753)</f>
        <v>2.4913366760630829E-3</v>
      </c>
      <c r="D8013">
        <f>LOG10(3.55654)</f>
        <v>0.55102769752187353</v>
      </c>
    </row>
    <row r="8014" spans="1:4">
      <c r="A8014">
        <v>1.0098879999999999</v>
      </c>
      <c r="B8014">
        <v>3.4983659999999999</v>
      </c>
      <c r="C8014">
        <f>LOG10(1.009888)</f>
        <v>4.2732117241293709E-3</v>
      </c>
      <c r="D8014">
        <f>LOG10(3.498366)</f>
        <v>0.54386524352610466</v>
      </c>
    </row>
    <row r="8015" spans="1:4">
      <c r="A8015">
        <v>1.0058210000000001</v>
      </c>
      <c r="B8015">
        <v>3.7377600000000002</v>
      </c>
      <c r="C8015">
        <f>LOG10(1.005821)</f>
        <v>2.5206987823348363E-3</v>
      </c>
      <c r="D8015">
        <f>LOG10(3.73776)</f>
        <v>0.57261141207173538</v>
      </c>
    </row>
    <row r="8016" spans="1:4">
      <c r="A8016">
        <v>1.007576</v>
      </c>
      <c r="B8016">
        <v>3.4325830000000002</v>
      </c>
      <c r="C8016">
        <f>LOG10(1.007576)</f>
        <v>3.2778142531287853E-3</v>
      </c>
      <c r="D8016">
        <f>LOG10(3.432583)</f>
        <v>0.53562104729442772</v>
      </c>
    </row>
    <row r="8017" spans="1:4">
      <c r="A8017">
        <v>1.0060070000000001</v>
      </c>
      <c r="B8017">
        <v>3.3873959999999999</v>
      </c>
      <c r="C8017">
        <f>LOG10(1.006007)</f>
        <v>2.6010026391895657E-3</v>
      </c>
      <c r="D8017">
        <f>LOG10(3.387396)</f>
        <v>0.5298659703564208</v>
      </c>
    </row>
    <row r="8018" spans="1:4">
      <c r="A8018">
        <v>1.0181420000000001</v>
      </c>
      <c r="B8018">
        <v>3.5429439999999999</v>
      </c>
      <c r="C8018">
        <f>LOG10(1.018142)</f>
        <v>7.8083531635039201E-3</v>
      </c>
      <c r="D8018">
        <f>LOG10(3.542944)</f>
        <v>0.54936428790100356</v>
      </c>
    </row>
    <row r="8019" spans="1:4">
      <c r="A8019">
        <v>1.008238</v>
      </c>
      <c r="B8019">
        <v>3.4165939999999999</v>
      </c>
      <c r="C8019">
        <f>LOG10(1.008238)</f>
        <v>3.5630617584596715E-3</v>
      </c>
      <c r="D8019">
        <f>LOG10(3.416594)</f>
        <v>0.53359337387173311</v>
      </c>
    </row>
    <row r="8020" spans="1:4">
      <c r="A8020">
        <v>1.0246960000000001</v>
      </c>
      <c r="B8020">
        <v>3.427403</v>
      </c>
      <c r="C8020">
        <f>LOG10(1.024696)</f>
        <v>1.0595040899295555E-2</v>
      </c>
      <c r="D8020">
        <f>LOG10(3.427403)</f>
        <v>0.53496517253205134</v>
      </c>
    </row>
    <row r="8021" spans="1:4">
      <c r="A8021">
        <v>1.003155</v>
      </c>
      <c r="B8021">
        <v>3.585229</v>
      </c>
      <c r="C8021">
        <f>LOG10(1.003155)</f>
        <v>1.3680421369409777E-3</v>
      </c>
      <c r="D8021">
        <f>LOG10(3.585229)</f>
        <v>0.55451690066214088</v>
      </c>
    </row>
    <row r="8022" spans="1:4">
      <c r="A8022">
        <v>1.011255</v>
      </c>
      <c r="B8022">
        <v>3.5765370000000001</v>
      </c>
      <c r="C8022">
        <f>LOG10(1.011255)</f>
        <v>4.8606819301346546E-3</v>
      </c>
      <c r="D8022">
        <f>LOG10(3.576537)</f>
        <v>0.55346272226810811</v>
      </c>
    </row>
    <row r="8023" spans="1:4">
      <c r="A8023">
        <v>1.005531</v>
      </c>
      <c r="B8023">
        <v>3.3699590000000001</v>
      </c>
      <c r="C8023">
        <f>LOG10(1.005531)</f>
        <v>2.395464213124943E-3</v>
      </c>
      <c r="D8023">
        <f>LOG10(3.369959)</f>
        <v>0.5276246171377853</v>
      </c>
    </row>
    <row r="8024" spans="1:4">
      <c r="A8024">
        <v>1.0056879999999999</v>
      </c>
      <c r="B8024">
        <v>3.3867970000000001</v>
      </c>
      <c r="C8024">
        <f>LOG10(1.005688)</f>
        <v>2.4632681010131265E-3</v>
      </c>
      <c r="D8024">
        <f>LOG10(3.386797)</f>
        <v>0.52978916640491314</v>
      </c>
    </row>
    <row r="8025" spans="1:4">
      <c r="A8025">
        <v>1.0085740000000001</v>
      </c>
      <c r="B8025">
        <v>3.5754139999999999</v>
      </c>
      <c r="C8025">
        <f>LOG10(1.008574)</f>
        <v>3.7077683025198939E-3</v>
      </c>
      <c r="D8025">
        <f>LOG10(3.575414)</f>
        <v>0.55332633634846584</v>
      </c>
    </row>
    <row r="8026" spans="1:4">
      <c r="A8026">
        <v>1.0044919999999999</v>
      </c>
      <c r="B8026">
        <v>3.4991729999999999</v>
      </c>
      <c r="C8026">
        <f>LOG10(1.004492)</f>
        <v>1.9464822792002749E-3</v>
      </c>
      <c r="D8026">
        <f>LOG10(3.499173)</f>
        <v>0.54396541464296433</v>
      </c>
    </row>
    <row r="8027" spans="1:4">
      <c r="A8027">
        <v>1.004724</v>
      </c>
      <c r="B8027">
        <v>3.6507800000000001</v>
      </c>
      <c r="C8027">
        <f>LOG10(1.004724)</f>
        <v>2.0467764439385089E-3</v>
      </c>
      <c r="D8027">
        <f>LOG10(3.65078)</f>
        <v>0.56238566267726031</v>
      </c>
    </row>
    <row r="8028" spans="1:4">
      <c r="A8028">
        <v>1.006683</v>
      </c>
      <c r="B8028">
        <v>3.4218449999999998</v>
      </c>
      <c r="C8028">
        <f>LOG10(1.006683)</f>
        <v>2.8927346801954374E-3</v>
      </c>
      <c r="D8028">
        <f>LOG10(3.421845)</f>
        <v>0.53426033332627454</v>
      </c>
    </row>
    <row r="8029" spans="1:4">
      <c r="A8029">
        <v>1.0063489999999999</v>
      </c>
      <c r="B8029">
        <v>3.191516</v>
      </c>
      <c r="C8029">
        <f>LOG10(1.006349)</f>
        <v>2.7486193772228258E-3</v>
      </c>
      <c r="D8029">
        <f>LOG10(3.191516)</f>
        <v>0.50399702601611152</v>
      </c>
    </row>
    <row r="8030" spans="1:4">
      <c r="A8030">
        <v>1.008988</v>
      </c>
      <c r="B8030">
        <v>3.4626109999999999</v>
      </c>
      <c r="C8030">
        <f>LOG10(1.008988)</f>
        <v>3.8860011578487016E-3</v>
      </c>
      <c r="D8030">
        <f>LOG10(3.462611)</f>
        <v>0.53940370435837026</v>
      </c>
    </row>
    <row r="8031" spans="1:4">
      <c r="A8031">
        <v>1.0231440000000001</v>
      </c>
      <c r="B8031">
        <v>3.3279700000000001</v>
      </c>
      <c r="C8031">
        <f>LOG10(1.023144)</f>
        <v>9.9367617710820512E-3</v>
      </c>
      <c r="D8031">
        <f>LOG10(3.32797)</f>
        <v>0.52217940268684104</v>
      </c>
    </row>
    <row r="8032" spans="1:4">
      <c r="A8032">
        <v>1.0065710000000001</v>
      </c>
      <c r="B8032">
        <v>3.3289390000000001</v>
      </c>
      <c r="C8032">
        <f>LOG10(1.006571)</f>
        <v>2.844413919850945E-3</v>
      </c>
      <c r="D8032">
        <f>LOG10(3.328939)</f>
        <v>0.52230583714942314</v>
      </c>
    </row>
    <row r="8033" spans="1:4">
      <c r="A8033">
        <v>1.005711</v>
      </c>
      <c r="B8033">
        <v>3.5265369999999998</v>
      </c>
      <c r="C8033">
        <f>LOG10(1.005711)</f>
        <v>2.4732002657246095E-3</v>
      </c>
      <c r="D8033">
        <f>LOG10(3.526537)</f>
        <v>0.54734844476974109</v>
      </c>
    </row>
    <row r="8034" spans="1:4">
      <c r="A8034">
        <v>1.0036389999999999</v>
      </c>
      <c r="B8034">
        <v>3.245571</v>
      </c>
      <c r="C8034">
        <f>LOG10(1.003639)</f>
        <v>1.577529043237052E-3</v>
      </c>
      <c r="D8034">
        <f>LOG10(3.245571)</f>
        <v>0.51129111418226847</v>
      </c>
    </row>
    <row r="8035" spans="1:4">
      <c r="A8035">
        <v>1.0147839999999999</v>
      </c>
      <c r="B8035">
        <v>3.5412880000000002</v>
      </c>
      <c r="C8035">
        <f>LOG10(1.014784)</f>
        <v>6.3736111250872413E-3</v>
      </c>
      <c r="D8035">
        <f>LOG10(3.541288)</f>
        <v>0.54916124777608077</v>
      </c>
    </row>
    <row r="8036" spans="1:4">
      <c r="A8036">
        <v>1.0047740000000001</v>
      </c>
      <c r="B8036">
        <v>3.5074160000000001</v>
      </c>
      <c r="C8036">
        <f>LOG10(1.004774)</f>
        <v>2.0683885322308982E-3</v>
      </c>
      <c r="D8036">
        <f>LOG10(3.507416)</f>
        <v>0.54498727879567344</v>
      </c>
    </row>
    <row r="8037" spans="1:4">
      <c r="A8037">
        <v>1.0037119999999999</v>
      </c>
      <c r="B8037">
        <v>3.700177</v>
      </c>
      <c r="C8037">
        <f>LOG10(1.003712)</f>
        <v>1.6091164409496681E-3</v>
      </c>
      <c r="D8037">
        <f>LOG10(3.700177)</f>
        <v>0.56822249927907753</v>
      </c>
    </row>
    <row r="8038" spans="1:4">
      <c r="A8038">
        <v>1.007679</v>
      </c>
      <c r="B8038">
        <v>3.558862</v>
      </c>
      <c r="C8038">
        <f>LOG10(1.007679)</f>
        <v>3.3222079717152371E-3</v>
      </c>
      <c r="D8038">
        <f>LOG10(3.558862)</f>
        <v>0.55131114793627778</v>
      </c>
    </row>
    <row r="8039" spans="1:4">
      <c r="A8039">
        <v>1.0086759999999999</v>
      </c>
      <c r="B8039">
        <v>3.389535</v>
      </c>
      <c r="C8039">
        <f>LOG10(1.008676)</f>
        <v>3.7516875363201745E-3</v>
      </c>
      <c r="D8039">
        <f>LOG10(3.389535)</f>
        <v>0.53014012275007494</v>
      </c>
    </row>
    <row r="8040" spans="1:4">
      <c r="A8040">
        <v>1.00406</v>
      </c>
      <c r="B8040">
        <v>3.3671199999999999</v>
      </c>
      <c r="C8040">
        <f>LOG10(1.00406)</f>
        <v>1.7596658870180483E-3</v>
      </c>
      <c r="D8040">
        <f>LOG10(3.36712)</f>
        <v>0.52725859438308542</v>
      </c>
    </row>
    <row r="8041" spans="1:4">
      <c r="A8041">
        <v>1.0042310000000001</v>
      </c>
      <c r="B8041">
        <v>3.2353529999999999</v>
      </c>
      <c r="C8041">
        <f>LOG10(1.004231)</f>
        <v>1.8336236516895933E-3</v>
      </c>
      <c r="D8041">
        <f>LOG10(3.235353)</f>
        <v>0.50992167220361362</v>
      </c>
    </row>
    <row r="8042" spans="1:4">
      <c r="A8042">
        <v>1.009422</v>
      </c>
      <c r="B8042">
        <v>3.2934369999999999</v>
      </c>
      <c r="C8042">
        <f>LOG10(1.009422)</f>
        <v>4.072765797392513E-3</v>
      </c>
      <c r="D8042">
        <f>LOG10(3.293437)</f>
        <v>0.51764936025846542</v>
      </c>
    </row>
    <row r="8043" spans="1:4">
      <c r="A8043">
        <v>1.0081329999999999</v>
      </c>
      <c r="B8043">
        <v>3.2266080000000001</v>
      </c>
      <c r="C8043">
        <f>LOG10(1.008133)</f>
        <v>3.5178310735896061E-3</v>
      </c>
      <c r="D8043">
        <f>LOG10(3.226608)</f>
        <v>0.50874620625363887</v>
      </c>
    </row>
    <row r="8044" spans="1:4">
      <c r="A8044">
        <v>1.0035799999999999</v>
      </c>
      <c r="B8044">
        <v>3.3655870000000001</v>
      </c>
      <c r="C8044">
        <f>LOG10(1.00358)</f>
        <v>1.5519978237341627E-3</v>
      </c>
      <c r="D8044">
        <f>LOG10(3.365587)</f>
        <v>0.52706082149551925</v>
      </c>
    </row>
    <row r="8045" spans="1:4">
      <c r="A8045">
        <v>1.0102789999999999</v>
      </c>
      <c r="B8045">
        <v>3.4461680000000001</v>
      </c>
      <c r="C8045">
        <f>LOG10(1.010279)</f>
        <v>4.4413256914841385E-3</v>
      </c>
      <c r="D8045">
        <f>LOG10(3.446168)</f>
        <v>0.53733644539712355</v>
      </c>
    </row>
    <row r="8046" spans="1:4">
      <c r="A8046">
        <v>1.0136320000000001</v>
      </c>
      <c r="B8046">
        <v>3.2188490000000001</v>
      </c>
      <c r="C8046">
        <f>LOG10(1.013632)</f>
        <v>5.8803126133982345E-3</v>
      </c>
      <c r="D8046">
        <f>LOG10(3.218849)</f>
        <v>0.50770060389750393</v>
      </c>
    </row>
    <row r="8047" spans="1:4">
      <c r="A8047">
        <v>1.0041279999999999</v>
      </c>
      <c r="B8047">
        <v>3.2845149999999999</v>
      </c>
      <c r="C8047">
        <f>LOG10(1.004128)</f>
        <v>1.7890775006525184E-3</v>
      </c>
      <c r="D8047">
        <f>LOG10(3.284515)</f>
        <v>0.51647124958095869</v>
      </c>
    </row>
    <row r="8048" spans="1:4">
      <c r="A8048">
        <v>1.00482</v>
      </c>
      <c r="B8048">
        <v>3.1883859999999999</v>
      </c>
      <c r="C8048">
        <f>LOG10(1.00482)</f>
        <v>2.0882707036257516E-3</v>
      </c>
      <c r="D8048">
        <f>LOG10(3.188386)</f>
        <v>0.50357089350265982</v>
      </c>
    </row>
    <row r="8049" spans="1:4">
      <c r="A8049">
        <v>1.020583</v>
      </c>
      <c r="B8049">
        <v>3.156244</v>
      </c>
      <c r="C8049">
        <f>LOG10(1.020583)</f>
        <v>8.8483299498850858E-3</v>
      </c>
      <c r="D8049">
        <f>LOG10(3.156244)</f>
        <v>0.49917056987244174</v>
      </c>
    </row>
    <row r="8050" spans="1:4">
      <c r="A8050">
        <v>1.0082150000000001</v>
      </c>
      <c r="B8050">
        <v>3.2773370000000002</v>
      </c>
      <c r="C8050">
        <f>LOG10(1.008215)</f>
        <v>3.5531544875397367E-3</v>
      </c>
      <c r="D8050">
        <f>LOG10(3.277337)</f>
        <v>0.51552110104529225</v>
      </c>
    </row>
    <row r="8051" spans="1:4">
      <c r="A8051">
        <v>1.005503</v>
      </c>
      <c r="B8051">
        <v>3.2121040000000001</v>
      </c>
      <c r="C8051">
        <f>LOG10(1.005503)</f>
        <v>2.3833706876111617E-3</v>
      </c>
      <c r="D8051">
        <f>LOG10(3.212104)</f>
        <v>0.50678959821776359</v>
      </c>
    </row>
    <row r="8052" spans="1:4">
      <c r="A8052">
        <v>1.0058849999999999</v>
      </c>
      <c r="B8052">
        <v>3.0421309999999999</v>
      </c>
      <c r="C8052">
        <f>LOG10(1.005885)</f>
        <v>2.54833189259162E-3</v>
      </c>
      <c r="D8052">
        <f>LOG10(3.042131)</f>
        <v>0.48317791167363966</v>
      </c>
    </row>
    <row r="8053" spans="1:4">
      <c r="A8053">
        <v>1.0062390000000001</v>
      </c>
      <c r="B8053">
        <v>3.2234769999999999</v>
      </c>
      <c r="C8053">
        <f>LOG10(1.006239)</f>
        <v>2.7011457829682096E-3</v>
      </c>
      <c r="D8053">
        <f>LOG10(3.223477)</f>
        <v>0.50832457580081791</v>
      </c>
    </row>
    <row r="8054" spans="1:4">
      <c r="A8054">
        <v>1.010596</v>
      </c>
      <c r="B8054">
        <v>3.2489379999999999</v>
      </c>
      <c r="C8054">
        <f>LOG10(1.010596)</f>
        <v>4.5775749418262533E-3</v>
      </c>
      <c r="D8054">
        <f>LOG10(3.248938)</f>
        <v>0.51174142371346676</v>
      </c>
    </row>
    <row r="8055" spans="1:4">
      <c r="A8055">
        <v>1.01227</v>
      </c>
      <c r="B8055">
        <v>3.0857329999999998</v>
      </c>
      <c r="C8055">
        <f>LOG10(1.01227)</f>
        <v>5.2963661308253699E-3</v>
      </c>
      <c r="D8055">
        <f>LOG10(3.085733)</f>
        <v>0.48935834504429482</v>
      </c>
    </row>
    <row r="8056" spans="1:4">
      <c r="A8056">
        <v>1.024885</v>
      </c>
      <c r="B8056">
        <v>3.271058</v>
      </c>
      <c r="C8056">
        <f>LOG10(1.024885)</f>
        <v>1.0675136935814599E-2</v>
      </c>
      <c r="D8056">
        <f>LOG10(3.271058)</f>
        <v>0.51468824478430042</v>
      </c>
    </row>
    <row r="8057" spans="1:4">
      <c r="A8057">
        <v>1.0115559999999999</v>
      </c>
      <c r="B8057">
        <v>3.2702849999999999</v>
      </c>
      <c r="C8057">
        <f>LOG10(1.011556)</f>
        <v>4.9899304264278436E-3</v>
      </c>
      <c r="D8057">
        <f>LOG10(3.270285)</f>
        <v>0.51458560236482365</v>
      </c>
    </row>
    <row r="8058" spans="1:4">
      <c r="A8058">
        <v>1.0152669999999999</v>
      </c>
      <c r="B8058">
        <v>3.2928169999999999</v>
      </c>
      <c r="C8058">
        <f>LOG10(1.015267)</f>
        <v>6.5802702077579819E-3</v>
      </c>
      <c r="D8058">
        <f>LOG10(3.292817)</f>
        <v>0.51756759524315465</v>
      </c>
    </row>
    <row r="8059" spans="1:4">
      <c r="A8059">
        <v>1.0111159999999999</v>
      </c>
      <c r="B8059">
        <v>3.1024660000000002</v>
      </c>
      <c r="C8059">
        <f>LOG10(1.011116)</f>
        <v>4.8009827620990589E-3</v>
      </c>
      <c r="D8059">
        <f>LOG10(3.102466)</f>
        <v>0.4917070307531059</v>
      </c>
    </row>
    <row r="8060" spans="1:4">
      <c r="A8060">
        <v>1.006432</v>
      </c>
      <c r="B8060">
        <v>3.1995969999999998</v>
      </c>
      <c r="C8060">
        <f>LOG10(1.006432)</f>
        <v>2.7844369271881977E-3</v>
      </c>
      <c r="D8060">
        <f>LOG10(3.199597)</f>
        <v>0.50509528091429168</v>
      </c>
    </row>
    <row r="8061" spans="1:4">
      <c r="A8061">
        <v>1.013539</v>
      </c>
      <c r="B8061">
        <v>3.125499</v>
      </c>
      <c r="C8061">
        <f>LOG10(1.013539)</f>
        <v>5.8404645819836272E-3</v>
      </c>
      <c r="D8061">
        <f>LOG10(3.125499)</f>
        <v>0.49491936428679795</v>
      </c>
    </row>
    <row r="8062" spans="1:4">
      <c r="A8062">
        <v>1.011482</v>
      </c>
      <c r="B8062">
        <v>3.2727379999999999</v>
      </c>
      <c r="C8062">
        <f>LOG10(1.011482)</f>
        <v>4.9581586142571051E-3</v>
      </c>
      <c r="D8062">
        <f>LOG10(3.272738)</f>
        <v>0.51491123912753101</v>
      </c>
    </row>
    <row r="8063" spans="1:4">
      <c r="A8063">
        <v>1.0203629999999999</v>
      </c>
      <c r="B8063">
        <v>3.2537759999999998</v>
      </c>
      <c r="C8063">
        <f>LOG10(1.020363)</f>
        <v>8.7547020083434488E-3</v>
      </c>
      <c r="D8063">
        <f>LOG10(3.253776)</f>
        <v>0.51238765145503018</v>
      </c>
    </row>
    <row r="8064" spans="1:4">
      <c r="A8064">
        <v>1.0149779999999999</v>
      </c>
      <c r="B8064">
        <v>3.191675</v>
      </c>
      <c r="C8064">
        <f>LOG10(1.014978)</f>
        <v>6.4566288678036743E-3</v>
      </c>
      <c r="D8064">
        <f>LOG10(3.191675)</f>
        <v>0.50401866184766875</v>
      </c>
    </row>
    <row r="8065" spans="1:4">
      <c r="A8065">
        <v>1.0103930000000001</v>
      </c>
      <c r="B8065">
        <v>3.032775</v>
      </c>
      <c r="C8065">
        <f>LOG10(1.010393)</f>
        <v>4.4903287666883994E-3</v>
      </c>
      <c r="D8065">
        <f>LOG10(3.032775)</f>
        <v>0.48184019142405032</v>
      </c>
    </row>
    <row r="8066" spans="1:4">
      <c r="A8066">
        <v>1.0128870000000001</v>
      </c>
      <c r="B8066">
        <v>3.1368499999999999</v>
      </c>
      <c r="C8066">
        <f>LOG10(1.012887)</f>
        <v>5.5609971728880206E-3</v>
      </c>
      <c r="D8066">
        <f>LOG10(3.13685)</f>
        <v>0.49649375180905692</v>
      </c>
    </row>
    <row r="8067" spans="1:4">
      <c r="A8067">
        <v>1.0202659999999999</v>
      </c>
      <c r="B8067">
        <v>3.3942730000000001</v>
      </c>
      <c r="C8067">
        <f>LOG10(1.020266)</f>
        <v>8.713414185053326E-3</v>
      </c>
      <c r="D8067">
        <f>LOG10(3.394273)</f>
        <v>0.53074676951538391</v>
      </c>
    </row>
    <row r="8068" spans="1:4">
      <c r="A8068">
        <v>1.0084649999999999</v>
      </c>
      <c r="B8068">
        <v>3.2254459999999998</v>
      </c>
      <c r="C8068">
        <f>LOG10(1.008465)</f>
        <v>3.6608300940136687E-3</v>
      </c>
      <c r="D8068">
        <f>LOG10(3.225446)</f>
        <v>0.50858977538885441</v>
      </c>
    </row>
    <row r="8069" spans="1:4">
      <c r="A8069">
        <v>1.0127269999999999</v>
      </c>
      <c r="B8069">
        <v>3.149289</v>
      </c>
      <c r="C8069">
        <f>LOG10(1.012727)</f>
        <v>5.4923887240432715E-3</v>
      </c>
      <c r="D8069">
        <f>LOG10(3.149289)</f>
        <v>0.49821251625617585</v>
      </c>
    </row>
    <row r="8070" spans="1:4">
      <c r="A8070">
        <v>1.006861</v>
      </c>
      <c r="B8070">
        <v>3.1480519999999999</v>
      </c>
      <c r="C8070">
        <f>LOG10(1.006861)</f>
        <v>2.9695191139899376E-3</v>
      </c>
      <c r="D8070">
        <f>LOG10(3.148052)</f>
        <v>0.49804189748834227</v>
      </c>
    </row>
    <row r="8071" spans="1:4">
      <c r="A8071">
        <v>1.0080750000000001</v>
      </c>
      <c r="B8071">
        <v>3.104749</v>
      </c>
      <c r="C8071">
        <f>LOG10(1.008075)</f>
        <v>3.4928444849466789E-3</v>
      </c>
      <c r="D8071">
        <f>LOG10(3.104749)</f>
        <v>0.49202649587454711</v>
      </c>
    </row>
    <row r="8072" spans="1:4">
      <c r="A8072">
        <v>1.0071270000000001</v>
      </c>
      <c r="B8072">
        <v>3.3247900000000001</v>
      </c>
      <c r="C8072">
        <f>LOG10(1.007127)</f>
        <v>3.0842390952987016E-3</v>
      </c>
      <c r="D8072">
        <f>LOG10(3.32479)</f>
        <v>0.52176421964773123</v>
      </c>
    </row>
    <row r="8073" spans="1:4">
      <c r="A8073">
        <v>1.033523</v>
      </c>
      <c r="B8073">
        <v>2.99187</v>
      </c>
      <c r="C8073">
        <f>LOG10(1.033523)</f>
        <v>1.432014585149086E-2</v>
      </c>
      <c r="D8073">
        <f>LOG10(2.99187)</f>
        <v>0.47594271903560004</v>
      </c>
    </row>
    <row r="8074" spans="1:4">
      <c r="A8074">
        <v>1.009374</v>
      </c>
      <c r="B8074">
        <v>3.0616889999999999</v>
      </c>
      <c r="C8074">
        <f>LOG10(1.009374)</f>
        <v>4.0521137501967541E-3</v>
      </c>
      <c r="D8074">
        <f>LOG10(3.061689)</f>
        <v>0.48596107387253606</v>
      </c>
    </row>
    <row r="8075" spans="1:4">
      <c r="A8075">
        <v>1.0166109999999999</v>
      </c>
      <c r="B8075">
        <v>3.022078</v>
      </c>
      <c r="C8075">
        <f>LOG10(1.016611)</f>
        <v>7.1548045733101076E-3</v>
      </c>
      <c r="D8075">
        <f>LOG10(3.022078)</f>
        <v>0.4803056693122148</v>
      </c>
    </row>
    <row r="8076" spans="1:4">
      <c r="A8076">
        <v>1.010575</v>
      </c>
      <c r="B8076">
        <v>3.0668700000000002</v>
      </c>
      <c r="C8076">
        <f>LOG10(1.010575)</f>
        <v>4.5685502881771386E-3</v>
      </c>
      <c r="D8076">
        <f>LOG10(3.06687)</f>
        <v>0.48669536728368495</v>
      </c>
    </row>
    <row r="8077" spans="1:4">
      <c r="A8077">
        <v>1.0190410000000001</v>
      </c>
      <c r="B8077">
        <v>3.036362</v>
      </c>
      <c r="C8077">
        <f>LOG10(1.019041)</f>
        <v>8.1916577213913769E-3</v>
      </c>
      <c r="D8077">
        <f>LOG10(3.036362)</f>
        <v>0.48235354760235799</v>
      </c>
    </row>
    <row r="8078" spans="1:4">
      <c r="A8078">
        <v>1.006229</v>
      </c>
      <c r="B8078">
        <v>3.0965989999999999</v>
      </c>
      <c r="C8078">
        <f>LOG10(1.006229)</f>
        <v>2.6968297443339586E-3</v>
      </c>
      <c r="D8078">
        <f>LOG10(3.096599)</f>
        <v>0.49088496920475738</v>
      </c>
    </row>
    <row r="8079" spans="1:4">
      <c r="A8079">
        <v>1.0094069999999999</v>
      </c>
      <c r="B8079">
        <v>3.1573910000000001</v>
      </c>
      <c r="C8079">
        <f>LOG10(1.009407)</f>
        <v>4.0663121381388457E-3</v>
      </c>
      <c r="D8079">
        <f>LOG10(3.157391)</f>
        <v>0.4993283666966874</v>
      </c>
    </row>
    <row r="8080" spans="1:4">
      <c r="A8080">
        <v>1.0109159999999999</v>
      </c>
      <c r="B8080">
        <v>3.1271979999999999</v>
      </c>
      <c r="C8080">
        <f>LOG10(1.010916)</f>
        <v>4.7150702773669723E-3</v>
      </c>
      <c r="D8080">
        <f>LOG10(3.127198)</f>
        <v>0.49515537967117151</v>
      </c>
    </row>
    <row r="8081" spans="1:4">
      <c r="A8081">
        <v>1.0146630000000001</v>
      </c>
      <c r="B8081">
        <v>3.2260719999999998</v>
      </c>
      <c r="C8081">
        <f>LOG10(1.014663)</f>
        <v>6.3218239807346357E-3</v>
      </c>
      <c r="D8081">
        <f>LOG10(3.226072)</f>
        <v>0.50867405581604219</v>
      </c>
    </row>
    <row r="8082" spans="1:4">
      <c r="A8082">
        <v>1.0053300000000001</v>
      </c>
      <c r="B8082">
        <v>3.1479689999999998</v>
      </c>
      <c r="C8082">
        <f>LOG10(1.00533)</f>
        <v>2.3086425072454848E-3</v>
      </c>
      <c r="D8082">
        <f>LOG10(3.147969)</f>
        <v>0.49803044694140153</v>
      </c>
    </row>
    <row r="8083" spans="1:4">
      <c r="A8083">
        <v>1.0060420000000001</v>
      </c>
      <c r="B8083">
        <v>3.242089</v>
      </c>
      <c r="C8083">
        <f>LOG10(1.006042)</f>
        <v>2.6161119201943027E-3</v>
      </c>
      <c r="D8083">
        <f>LOG10(3.242089)</f>
        <v>0.51082493268348783</v>
      </c>
    </row>
    <row r="8084" spans="1:4">
      <c r="A8084">
        <v>1.009153</v>
      </c>
      <c r="B8084">
        <v>3.128965</v>
      </c>
      <c r="C8084">
        <f>LOG10(1.009153)</f>
        <v>3.9570156109257557E-3</v>
      </c>
      <c r="D8084">
        <f>LOG10(3.128965)</f>
        <v>0.495400705238913</v>
      </c>
    </row>
    <row r="8085" spans="1:4">
      <c r="A8085">
        <v>1.0097640000000001</v>
      </c>
      <c r="B8085">
        <v>3.1920540000000002</v>
      </c>
      <c r="C8085">
        <f>LOG10(1.009764)</f>
        <v>4.2198832142439262E-3</v>
      </c>
      <c r="D8085">
        <f>LOG10(3.192054)</f>
        <v>0.50407022970364601</v>
      </c>
    </row>
    <row r="8086" spans="1:4">
      <c r="A8086">
        <v>1.0347649999999999</v>
      </c>
      <c r="B8086">
        <v>3.1125240000000001</v>
      </c>
      <c r="C8086">
        <f>LOG10(1.034765)</f>
        <v>1.4841730670779358E-2</v>
      </c>
      <c r="D8086">
        <f>LOG10(3.112524)</f>
        <v>0.49311270886760983</v>
      </c>
    </row>
    <row r="8087" spans="1:4">
      <c r="A8087">
        <v>1.0178339999999999</v>
      </c>
      <c r="B8087">
        <v>3.2860369999999999</v>
      </c>
      <c r="C8087">
        <f>LOG10(1.017834)</f>
        <v>7.6769540689697151E-3</v>
      </c>
      <c r="D8087">
        <f>LOG10(3.286037)</f>
        <v>0.51667244917979882</v>
      </c>
    </row>
    <row r="8088" spans="1:4">
      <c r="A8088">
        <v>1.026634</v>
      </c>
      <c r="B8088">
        <v>3.226356</v>
      </c>
      <c r="C8088">
        <f>LOG10(1.026634)</f>
        <v>1.1415643100150202E-2</v>
      </c>
      <c r="D8088">
        <f>LOG10(3.226356)</f>
        <v>0.50871228627221776</v>
      </c>
    </row>
    <row r="8089" spans="1:4">
      <c r="A8089">
        <v>1.009379</v>
      </c>
      <c r="B8089">
        <v>3.0646300000000002</v>
      </c>
      <c r="C8089">
        <f>LOG10(1.009379)</f>
        <v>4.0542650509349173E-3</v>
      </c>
      <c r="D8089">
        <f>LOG10(3.06463)</f>
        <v>0.48637804862340872</v>
      </c>
    </row>
    <row r="8090" spans="1:4">
      <c r="A8090">
        <v>1.0118910000000001</v>
      </c>
      <c r="B8090">
        <v>3.3045819999999999</v>
      </c>
      <c r="C8090">
        <f>LOG10(1.011891)</f>
        <v>5.1337332072933142E-3</v>
      </c>
      <c r="D8090">
        <f>LOG10(3.304582)</f>
        <v>0.51911653293686855</v>
      </c>
    </row>
    <row r="8091" spans="1:4">
      <c r="A8091">
        <v>1.014615</v>
      </c>
      <c r="B8091">
        <v>3.2361719999999998</v>
      </c>
      <c r="C8091">
        <f>LOG10(1.014615)</f>
        <v>6.3012786092919212E-3</v>
      </c>
      <c r="D8091">
        <f>LOG10(3.236172)</f>
        <v>0.51003159596426584</v>
      </c>
    </row>
    <row r="8092" spans="1:4">
      <c r="A8092">
        <v>1.028</v>
      </c>
      <c r="B8092">
        <v>3.1755610000000001</v>
      </c>
      <c r="C8092">
        <f>LOG10(1.028)</f>
        <v>1.1993114659256938E-2</v>
      </c>
      <c r="D8092">
        <f>LOG10(3.175561)</f>
        <v>0.50182045960664723</v>
      </c>
    </row>
    <row r="8093" spans="1:4">
      <c r="A8093">
        <v>1.0254449999999999</v>
      </c>
      <c r="B8093">
        <v>3.1757879999999998</v>
      </c>
      <c r="C8093">
        <f>LOG10(1.025445)</f>
        <v>1.0912371835477899E-2</v>
      </c>
      <c r="D8093">
        <f>LOG10(3.175788)</f>
        <v>0.50185150335733197</v>
      </c>
    </row>
    <row r="8094" spans="1:4">
      <c r="A8094">
        <v>1.0101990000000001</v>
      </c>
      <c r="B8094">
        <v>3.0388009999999999</v>
      </c>
      <c r="C8094">
        <f>LOG10(1.010199)</f>
        <v>4.4069342667120252E-3</v>
      </c>
      <c r="D8094">
        <f>LOG10(3.038801)</f>
        <v>0.48270226064866512</v>
      </c>
    </row>
    <row r="8095" spans="1:4">
      <c r="A8095">
        <v>1.018969</v>
      </c>
      <c r="B8095">
        <v>3.1044160000000001</v>
      </c>
      <c r="C8095">
        <f>LOG10(1.018969)</f>
        <v>8.160971706396283E-3</v>
      </c>
      <c r="D8095">
        <f>LOG10(3.104416)</f>
        <v>0.49197991310130385</v>
      </c>
    </row>
    <row r="8096" spans="1:4">
      <c r="A8096">
        <v>1.031102</v>
      </c>
      <c r="B8096">
        <v>3.136368</v>
      </c>
      <c r="C8096">
        <f>LOG10(1.031102)</f>
        <v>1.3301629246686403E-2</v>
      </c>
      <c r="D8096">
        <f>LOG10(3.136368)</f>
        <v>0.49642701415042967</v>
      </c>
    </row>
    <row r="8097" spans="1:4">
      <c r="A8097">
        <v>1.0095689999999999</v>
      </c>
      <c r="B8097">
        <v>3.1253989999999998</v>
      </c>
      <c r="C8097">
        <f>LOG10(1.009569)</f>
        <v>4.1360065834609439E-3</v>
      </c>
      <c r="D8097">
        <f>LOG10(3.125399)</f>
        <v>0.49490546885987075</v>
      </c>
    </row>
    <row r="8098" spans="1:4">
      <c r="A8098">
        <v>1.01301</v>
      </c>
      <c r="B8098">
        <v>3.1552440000000002</v>
      </c>
      <c r="C8098">
        <f>LOG10(1.01301)</f>
        <v>5.6137325501946474E-3</v>
      </c>
      <c r="D8098">
        <f>LOG10(3.155244)</f>
        <v>0.49903294955674521</v>
      </c>
    </row>
    <row r="8099" spans="1:4">
      <c r="A8099">
        <v>1.0086889999999999</v>
      </c>
      <c r="B8099">
        <v>3.0302820000000001</v>
      </c>
      <c r="C8099">
        <f>LOG10(1.008689)</f>
        <v>3.7572847666328228E-3</v>
      </c>
      <c r="D8099">
        <f>LOG10(3.030282)</f>
        <v>0.48148304610794951</v>
      </c>
    </row>
    <row r="8100" spans="1:4">
      <c r="A8100">
        <v>1.0083899999999999</v>
      </c>
      <c r="B8100">
        <v>3.0406089999999999</v>
      </c>
      <c r="C8100">
        <f>LOG10(1.00839)</f>
        <v>3.628530215085557E-3</v>
      </c>
      <c r="D8100">
        <f>LOG10(3.040609)</f>
        <v>0.48296057665183983</v>
      </c>
    </row>
    <row r="8101" spans="1:4">
      <c r="A8101">
        <v>1.0056609999999999</v>
      </c>
      <c r="B8101">
        <v>3.0349750000000002</v>
      </c>
      <c r="C8101">
        <f>LOG10(1.005661)</f>
        <v>2.4516083134654737E-3</v>
      </c>
      <c r="D8101">
        <f>LOG10(3.034975)</f>
        <v>0.48215511801201277</v>
      </c>
    </row>
    <row r="8102" spans="1:4">
      <c r="A8102">
        <v>1.0157830000000001</v>
      </c>
      <c r="B8102">
        <v>3.3606250000000002</v>
      </c>
      <c r="C8102">
        <f>LOG10(1.015783)</f>
        <v>6.8009402626394797E-3</v>
      </c>
      <c r="D8102">
        <f>LOG10(3.360625)</f>
        <v>0.52642005382119439</v>
      </c>
    </row>
    <row r="8103" spans="1:4">
      <c r="A8103">
        <v>1.0169619999999999</v>
      </c>
      <c r="B8103">
        <v>3.328716</v>
      </c>
      <c r="C8103">
        <f>LOG10(1.016962)</f>
        <v>7.3047252937974705E-3</v>
      </c>
      <c r="D8103">
        <f>LOG10(3.328716)</f>
        <v>0.52227674352126108</v>
      </c>
    </row>
    <row r="8104" spans="1:4">
      <c r="A8104">
        <v>1.011611</v>
      </c>
      <c r="B8104">
        <v>3.2948390000000001</v>
      </c>
      <c r="C8104">
        <f>LOG10(1.011611)</f>
        <v>5.0135431054707733E-3</v>
      </c>
      <c r="D8104">
        <f>LOG10(3.294839)</f>
        <v>0.51783419795282415</v>
      </c>
    </row>
    <row r="8105" spans="1:4">
      <c r="A8105">
        <v>1.006054</v>
      </c>
      <c r="B8105">
        <v>3.376671</v>
      </c>
      <c r="C8105">
        <f>LOG10(1.006054)</f>
        <v>2.621292124103915E-3</v>
      </c>
      <c r="D8105">
        <f>LOG10(3.376671)</f>
        <v>0.52848874797770018</v>
      </c>
    </row>
    <row r="8106" spans="1:4">
      <c r="A8106">
        <v>1.006254</v>
      </c>
      <c r="B8106">
        <v>3.5049579999999998</v>
      </c>
      <c r="C8106">
        <f>LOG10(1.006254)</f>
        <v>2.7076197604961965E-3</v>
      </c>
      <c r="D8106">
        <f>LOG10(3.504958)</f>
        <v>0.54468281817214192</v>
      </c>
    </row>
    <row r="8107" spans="1:4">
      <c r="A8107">
        <v>1.033566</v>
      </c>
      <c r="B8107">
        <v>3.0097200000000002</v>
      </c>
      <c r="C8107">
        <f>LOG10(1.033566)</f>
        <v>1.4338214413342371E-2</v>
      </c>
      <c r="D8107">
        <f>LOG10(3.00972)</f>
        <v>0.4785260942279923</v>
      </c>
    </row>
    <row r="8108" spans="1:4">
      <c r="A8108">
        <v>1.007838</v>
      </c>
      <c r="B8108">
        <v>3.401634</v>
      </c>
      <c r="C8108">
        <f>LOG10(1.007838)</f>
        <v>3.3907291727429353E-3</v>
      </c>
      <c r="D8108">
        <f>LOG10(3.401634)</f>
        <v>0.53168758372355018</v>
      </c>
    </row>
    <row r="8109" spans="1:4">
      <c r="A8109">
        <v>1.032548</v>
      </c>
      <c r="B8109">
        <v>3.2609159999999999</v>
      </c>
      <c r="C8109">
        <f>LOG10(1.032548)</f>
        <v>1.3910249820532877E-2</v>
      </c>
      <c r="D8109">
        <f>LOG10(3.260916)</f>
        <v>0.51333961168349729</v>
      </c>
    </row>
    <row r="8110" spans="1:4">
      <c r="A8110">
        <v>1.00684</v>
      </c>
      <c r="B8110">
        <v>3.403565</v>
      </c>
      <c r="C8110">
        <f>LOG10(1.00684)</f>
        <v>2.9604609825987132E-3</v>
      </c>
      <c r="D8110">
        <f>LOG10(3.403565)</f>
        <v>0.53193404901194596</v>
      </c>
    </row>
    <row r="8111" spans="1:4">
      <c r="A8111">
        <v>1.0126900000000001</v>
      </c>
      <c r="B8111">
        <v>3.4520390000000001</v>
      </c>
      <c r="C8111">
        <f>LOG10(1.01269)</f>
        <v>5.4765214771186734E-3</v>
      </c>
      <c r="D8111">
        <f>LOG10(3.452039)</f>
        <v>0.53807569358694862</v>
      </c>
    </row>
    <row r="8112" spans="1:4">
      <c r="A8112">
        <v>1.009204</v>
      </c>
      <c r="B8112">
        <v>3.3317199999999998</v>
      </c>
      <c r="C8112">
        <f>LOG10(1.009204)</f>
        <v>3.9789631837107388E-3</v>
      </c>
      <c r="D8112">
        <f>LOG10(3.33172)</f>
        <v>0.52266849586663289</v>
      </c>
    </row>
    <row r="8113" spans="1:4">
      <c r="A8113">
        <v>1.009798</v>
      </c>
      <c r="B8113">
        <v>3.396601</v>
      </c>
      <c r="C8113">
        <f>LOG10(1.009798)</f>
        <v>4.234506199213982E-3</v>
      </c>
      <c r="D8113">
        <f>LOG10(3.396601)</f>
        <v>0.53104453312975131</v>
      </c>
    </row>
    <row r="8114" spans="1:4">
      <c r="A8114">
        <v>1.0243899999999999</v>
      </c>
      <c r="B8114">
        <v>3.3889619999999998</v>
      </c>
      <c r="C8114">
        <f>LOG10(1.02439)</f>
        <v>1.0465330274704549E-2</v>
      </c>
      <c r="D8114">
        <f>LOG10(3.388962)</f>
        <v>0.53006669917587457</v>
      </c>
    </row>
    <row r="8115" spans="1:4">
      <c r="A8115">
        <v>1.026651</v>
      </c>
      <c r="B8115">
        <v>3.3049040000000001</v>
      </c>
      <c r="C8115">
        <f>LOG10(1.026651)</f>
        <v>1.1422834509226385E-2</v>
      </c>
      <c r="D8115">
        <f>LOG10(3.304904)</f>
        <v>0.51915884873064844</v>
      </c>
    </row>
    <row r="8116" spans="1:4">
      <c r="A8116">
        <v>1.0062709999999999</v>
      </c>
      <c r="B8116">
        <v>3.3315860000000002</v>
      </c>
      <c r="C8116">
        <f>LOG10(1.006271)</f>
        <v>2.7149568183638026E-3</v>
      </c>
      <c r="D8116">
        <f>LOG10(3.331586)</f>
        <v>0.52265102842311983</v>
      </c>
    </row>
    <row r="8117" spans="1:4">
      <c r="A8117">
        <v>1.01528</v>
      </c>
      <c r="B8117">
        <v>3.1957270000000002</v>
      </c>
      <c r="C8117">
        <f>LOG10(1.01528)</f>
        <v>6.5858311017090573E-3</v>
      </c>
      <c r="D8117">
        <f>LOG10(3.195727)</f>
        <v>0.50456967193807245</v>
      </c>
    </row>
    <row r="8118" spans="1:4">
      <c r="A8118">
        <v>1.018062</v>
      </c>
      <c r="B8118">
        <v>3.2691789999999998</v>
      </c>
      <c r="C8118">
        <f>LOG10(1.018062)</f>
        <v>7.7742273504025098E-3</v>
      </c>
      <c r="D8118">
        <f>LOG10(3.269179)</f>
        <v>0.51443870050816842</v>
      </c>
    </row>
    <row r="8119" spans="1:4">
      <c r="A8119">
        <v>1.0433779999999999</v>
      </c>
      <c r="B8119">
        <v>3.0589230000000001</v>
      </c>
      <c r="C8119">
        <f>LOG10(1.043378)</f>
        <v>1.8441675227710314E-2</v>
      </c>
      <c r="D8119">
        <f>LOG10(3.058923)</f>
        <v>0.48556854494937574</v>
      </c>
    </row>
    <row r="8120" spans="1:4">
      <c r="A8120">
        <v>1.011673</v>
      </c>
      <c r="B8120">
        <v>3.4875090000000002</v>
      </c>
      <c r="C8120">
        <f>LOG10(1.011673)</f>
        <v>5.0401594953462751E-3</v>
      </c>
      <c r="D8120">
        <f>LOG10(3.487509)</f>
        <v>0.54251533704016119</v>
      </c>
    </row>
    <row r="8121" spans="1:4">
      <c r="A8121">
        <v>1.0353810000000001</v>
      </c>
      <c r="B8121">
        <v>3.1639179999999998</v>
      </c>
      <c r="C8121">
        <f>LOG10(1.035381)</f>
        <v>1.5100191096998965E-2</v>
      </c>
      <c r="D8121">
        <f>LOG10(3.163918)</f>
        <v>0.50022521926021657</v>
      </c>
    </row>
    <row r="8122" spans="1:4">
      <c r="A8122">
        <v>1.0163930000000001</v>
      </c>
      <c r="B8122">
        <v>3.4416020000000001</v>
      </c>
      <c r="C8122">
        <f>LOG10(1.016393)</f>
        <v>7.0616653592035844E-3</v>
      </c>
      <c r="D8122">
        <f>LOG10(3.441602)</f>
        <v>0.53676064542272006</v>
      </c>
    </row>
    <row r="8123" spans="1:4">
      <c r="A8123">
        <v>1.004583</v>
      </c>
      <c r="B8123">
        <v>1.537288</v>
      </c>
      <c r="C8123">
        <f>LOG10(1.004583)</f>
        <v>1.9858245614747046E-3</v>
      </c>
      <c r="D8123">
        <f>LOG10(1.537288)</f>
        <v>0.18675523711193112</v>
      </c>
    </row>
    <row r="8124" spans="1:4">
      <c r="A8124">
        <v>1.002948</v>
      </c>
      <c r="B8124">
        <v>1.362306</v>
      </c>
      <c r="C8124">
        <f>LOG10(1.002948)</f>
        <v>1.2784166709773066E-3</v>
      </c>
      <c r="D8124">
        <f>LOG10(1.362306)</f>
        <v>0.13427466938665208</v>
      </c>
    </row>
    <row r="8125" spans="1:4">
      <c r="A8125">
        <v>1.006948</v>
      </c>
      <c r="B8125">
        <v>3.3988619999999998</v>
      </c>
      <c r="C8125">
        <f>LOG10(1.006948)</f>
        <v>3.0070436458090591E-3</v>
      </c>
      <c r="D8125">
        <f>LOG10(3.398862)</f>
        <v>0.53133353179248199</v>
      </c>
    </row>
    <row r="8126" spans="1:4">
      <c r="A8126">
        <v>1.0120279999999999</v>
      </c>
      <c r="B8126">
        <v>3.3379979999999998</v>
      </c>
      <c r="C8126">
        <f>LOG10(1.012028)</f>
        <v>5.1925283904123484E-3</v>
      </c>
      <c r="D8126">
        <f>LOG10(3.337998)</f>
        <v>0.52348607213075815</v>
      </c>
    </row>
    <row r="8127" spans="1:4">
      <c r="A8127">
        <v>1.008683</v>
      </c>
      <c r="B8127">
        <v>3.2617970000000001</v>
      </c>
      <c r="C8127">
        <f>LOG10(1.008683)</f>
        <v>3.7547014385293244E-3</v>
      </c>
      <c r="D8127">
        <f>LOG10(3.261797)</f>
        <v>0.51345692895343797</v>
      </c>
    </row>
    <row r="8128" spans="1:4">
      <c r="A8128">
        <v>1.0272110000000001</v>
      </c>
      <c r="B8128">
        <v>3.2800859999999998</v>
      </c>
      <c r="C8128">
        <f>LOG10(1.027211)</f>
        <v>1.1659661439071371E-2</v>
      </c>
      <c r="D8128">
        <f>LOG10(3.280086)</f>
        <v>0.51588523055186553</v>
      </c>
    </row>
    <row r="8129" spans="1:4">
      <c r="A8129">
        <v>1.0058549999999999</v>
      </c>
      <c r="B8129">
        <v>3.3883839999999998</v>
      </c>
      <c r="C8129">
        <f>LOG10(1.005855)</f>
        <v>2.5353790910784498E-3</v>
      </c>
      <c r="D8129">
        <f>LOG10(3.388384)</f>
        <v>0.52999262232893507</v>
      </c>
    </row>
    <row r="8130" spans="1:4">
      <c r="A8130">
        <v>1.0104599999999999</v>
      </c>
      <c r="B8130">
        <v>3.04928</v>
      </c>
      <c r="C8130">
        <f>LOG10(1.01046)</f>
        <v>4.5191262401296636E-3</v>
      </c>
      <c r="D8130">
        <f>LOG10(3.04928)</f>
        <v>0.48419730526787069</v>
      </c>
    </row>
    <row r="8131" spans="1:4">
      <c r="A8131">
        <v>1.0216000000000001</v>
      </c>
      <c r="B8131">
        <v>3.3988309999999999</v>
      </c>
      <c r="C8131">
        <f>LOG10(1.0216)</f>
        <v>9.2808842553588986E-3</v>
      </c>
      <c r="D8131">
        <f>LOG10(3.398831)</f>
        <v>0.53132957070481912</v>
      </c>
    </row>
    <row r="8132" spans="1:4">
      <c r="A8132">
        <v>1.009498</v>
      </c>
      <c r="B8132">
        <v>3.398879</v>
      </c>
      <c r="C8132">
        <f>LOG10(1.009498)</f>
        <v>4.105462863784666E-3</v>
      </c>
      <c r="D8132">
        <f>LOG10(3.398879)</f>
        <v>0.5313357039865072</v>
      </c>
    </row>
    <row r="8133" spans="1:4">
      <c r="A8133">
        <v>1.0329390000000001</v>
      </c>
      <c r="B8133">
        <v>3.4623539999999999</v>
      </c>
      <c r="C8133">
        <f>LOG10(1.032939)</f>
        <v>1.4074675105661818E-2</v>
      </c>
      <c r="D8133">
        <f>LOG10(3.462354)</f>
        <v>0.53937146919706602</v>
      </c>
    </row>
    <row r="8134" spans="1:4">
      <c r="A8134">
        <v>1.0081830000000001</v>
      </c>
      <c r="B8134">
        <v>3.4432939999999999</v>
      </c>
      <c r="C8134">
        <f>LOG10(1.008183)</f>
        <v>3.5393700824549422E-3</v>
      </c>
      <c r="D8134">
        <f>LOG10(3.443294)</f>
        <v>0.53697410580851923</v>
      </c>
    </row>
    <row r="8135" spans="1:4">
      <c r="A8135">
        <v>1.009628</v>
      </c>
      <c r="B8135">
        <v>3.646328</v>
      </c>
      <c r="C8135">
        <f>LOG10(1.009628)</f>
        <v>4.1613863502094062E-3</v>
      </c>
      <c r="D8135">
        <f>LOG10(3.646328)</f>
        <v>0.5618557323888963</v>
      </c>
    </row>
    <row r="8136" spans="1:4">
      <c r="A8136">
        <v>1.021997</v>
      </c>
      <c r="B8136">
        <v>3.537328</v>
      </c>
      <c r="C8136">
        <f>LOG10(1.021997)</f>
        <v>9.449620959791823E-3</v>
      </c>
      <c r="D8136">
        <f>LOG10(3.537328)</f>
        <v>0.54867533179257511</v>
      </c>
    </row>
    <row r="8137" spans="1:4">
      <c r="A8137">
        <v>1.014229</v>
      </c>
      <c r="B8137">
        <v>3.313275</v>
      </c>
      <c r="C8137">
        <f>LOG10(1.014229)</f>
        <v>6.1360242358286712E-3</v>
      </c>
      <c r="D8137">
        <f>LOG10(3.313275)</f>
        <v>0.52025748358073254</v>
      </c>
    </row>
    <row r="8138" spans="1:4">
      <c r="A8138">
        <v>1.022786</v>
      </c>
      <c r="B8138">
        <v>3.336379</v>
      </c>
      <c r="C8138">
        <f>LOG10(1.022786)</f>
        <v>9.7847747274312606E-3</v>
      </c>
      <c r="D8138">
        <f>LOG10(3.336379)</f>
        <v>0.52327537897393106</v>
      </c>
    </row>
    <row r="8139" spans="1:4">
      <c r="A8139">
        <v>1</v>
      </c>
      <c r="B8139">
        <v>2.7677640000000001</v>
      </c>
      <c r="C8139">
        <f>LOG10(1)</f>
        <v>0</v>
      </c>
      <c r="D8139">
        <f>LOG10(2.767764)</f>
        <v>0.44212905620839027</v>
      </c>
    </row>
    <row r="8140" spans="1:4">
      <c r="A8140">
        <v>1.0127280000000001</v>
      </c>
      <c r="B8140">
        <v>6.3867649999999996</v>
      </c>
      <c r="C8140">
        <f>LOG10(1.012728)</f>
        <v>5.4928175605091171E-3</v>
      </c>
      <c r="D8140">
        <f>LOG10(6.386765)</f>
        <v>0.80528093665573819</v>
      </c>
    </row>
    <row r="8141" spans="1:4">
      <c r="A8141">
        <v>1.0139370000000001</v>
      </c>
      <c r="B8141">
        <v>7.0226329999999999</v>
      </c>
      <c r="C8141">
        <f>LOG10(1.013937)</f>
        <v>6.0109713658052762E-3</v>
      </c>
      <c r="D8141">
        <f>LOG10(7.022633)</f>
        <v>0.84649997295287904</v>
      </c>
    </row>
    <row r="8142" spans="1:4">
      <c r="A8142">
        <v>1.0178879999999999</v>
      </c>
      <c r="B8142">
        <v>8.6059549999999998</v>
      </c>
      <c r="C8142">
        <f>LOG10(1.017888)</f>
        <v>7.6999944468093967E-3</v>
      </c>
      <c r="D8142">
        <f>LOG10(8.605955)</f>
        <v>0.93479907085381297</v>
      </c>
    </row>
    <row r="8143" spans="1:4">
      <c r="A8143">
        <v>1.0171140000000001</v>
      </c>
      <c r="B8143">
        <v>6.5091080000000003</v>
      </c>
      <c r="C8143">
        <f>LOG10(1.017114)</f>
        <v>7.3696321717825943E-3</v>
      </c>
      <c r="D8143">
        <f>LOG10(6.509108)</f>
        <v>0.81352147747442671</v>
      </c>
    </row>
    <row r="8144" spans="1:4">
      <c r="A8144">
        <v>1.015855</v>
      </c>
      <c r="B8144">
        <v>8.202947</v>
      </c>
      <c r="C8144">
        <f>LOG10(1.015855)</f>
        <v>6.8317225208075786E-3</v>
      </c>
      <c r="D8144">
        <f>LOG10(8.202947)</f>
        <v>0.91396990554318125</v>
      </c>
    </row>
    <row r="8145" spans="1:4">
      <c r="A8145">
        <v>1.0085470000000001</v>
      </c>
      <c r="B8145">
        <v>7.5028519999999999</v>
      </c>
      <c r="C8145">
        <f>LOG10(1.008547)</f>
        <v>3.6961418795020506E-3</v>
      </c>
      <c r="D8145">
        <f>LOG10(7.502852)</f>
        <v>0.87522637971455752</v>
      </c>
    </row>
    <row r="8146" spans="1:4">
      <c r="A8146">
        <v>1.023407</v>
      </c>
      <c r="B8146">
        <v>8.8405159999999992</v>
      </c>
      <c r="C8146">
        <f>LOG10(1.023407)</f>
        <v>1.0048383176431121E-2</v>
      </c>
      <c r="D8146">
        <f>LOG10(8.840516)</f>
        <v>0.94647761449413181</v>
      </c>
    </row>
    <row r="8147" spans="1:4">
      <c r="A8147">
        <v>1.0203789999999999</v>
      </c>
      <c r="B8147">
        <v>7.369942</v>
      </c>
      <c r="C8147">
        <f>LOG10(1.020379)</f>
        <v>8.7615119938395086E-3</v>
      </c>
      <c r="D8147">
        <f>LOG10(7.369942)</f>
        <v>0.86746407005999226</v>
      </c>
    </row>
    <row r="8148" spans="1:4">
      <c r="A8148">
        <v>1.0080469999999999</v>
      </c>
      <c r="B8148">
        <v>7.5956539999999997</v>
      </c>
      <c r="C8148">
        <f>LOG10(1.008047)</f>
        <v>3.4807814793407351E-3</v>
      </c>
      <c r="D8148">
        <f>LOG10(7.595654)</f>
        <v>0.88056517337498919</v>
      </c>
    </row>
    <row r="8149" spans="1:4">
      <c r="A8149">
        <v>1.0191209999999999</v>
      </c>
      <c r="B8149">
        <v>7.6134370000000002</v>
      </c>
      <c r="C8149">
        <f>LOG10(1.019121)</f>
        <v>8.2257507508660122E-3</v>
      </c>
      <c r="D8149">
        <f>LOG10(7.613437)</f>
        <v>0.88158075836834782</v>
      </c>
    </row>
    <row r="8150" spans="1:4">
      <c r="A8150">
        <v>1.0191159999999999</v>
      </c>
      <c r="B8150">
        <v>7.670007</v>
      </c>
      <c r="C8150">
        <f>LOG10(1.019116)</f>
        <v>8.2236200149314424E-3</v>
      </c>
      <c r="D8150">
        <f>LOG10(7.670007)</f>
        <v>0.8847957603062151</v>
      </c>
    </row>
    <row r="8151" spans="1:4">
      <c r="A8151">
        <v>1.013263</v>
      </c>
      <c r="B8151">
        <v>7.2815779999999997</v>
      </c>
      <c r="C8151">
        <f>LOG10(1.013263)</f>
        <v>5.722184377260929E-3</v>
      </c>
      <c r="D8151">
        <f>LOG10(7.281578)</f>
        <v>0.86222550602033854</v>
      </c>
    </row>
    <row r="8152" spans="1:4">
      <c r="A8152">
        <v>1.0167980000000001</v>
      </c>
      <c r="B8152">
        <v>8.4902519999999999</v>
      </c>
      <c r="C8152">
        <f>LOG10(1.016798)</f>
        <v>7.2346833073423916E-3</v>
      </c>
      <c r="D8152">
        <f>LOG10(8.490252)</f>
        <v>0.92892058077224959</v>
      </c>
    </row>
    <row r="8153" spans="1:4">
      <c r="A8153">
        <v>1.0181039999999999</v>
      </c>
      <c r="B8153">
        <v>8.0099789999999995</v>
      </c>
      <c r="C8153">
        <f>LOG10(1.018104)</f>
        <v>7.7921437366327779E-3</v>
      </c>
      <c r="D8153">
        <f>LOG10(8.009979)</f>
        <v>0.90363137748297984</v>
      </c>
    </row>
    <row r="8154" spans="1:4">
      <c r="A8154">
        <v>1.0172019999999999</v>
      </c>
      <c r="B8154">
        <v>8.6112640000000003</v>
      </c>
      <c r="C8154">
        <f>LOG10(1.017202)</f>
        <v>7.4072054046837423E-3</v>
      </c>
      <c r="D8154">
        <f>LOG10(8.611264)</f>
        <v>0.93506690382701263</v>
      </c>
    </row>
    <row r="8155" spans="1:4">
      <c r="A8155">
        <v>1.0113810000000001</v>
      </c>
      <c r="B8155">
        <v>8.7532779999999999</v>
      </c>
      <c r="C8155">
        <f>LOG10(1.011381)</f>
        <v>4.914790632630432E-3</v>
      </c>
      <c r="D8155">
        <f>LOG10(8.753278)</f>
        <v>0.94217072167538751</v>
      </c>
    </row>
    <row r="8156" spans="1:4">
      <c r="A8156">
        <v>1.01583</v>
      </c>
      <c r="B8156">
        <v>9.623958</v>
      </c>
      <c r="C8156">
        <f>LOG10(1.01583)</f>
        <v>6.8210344839828695E-3</v>
      </c>
      <c r="D8156">
        <f>LOG10(9.623958)</f>
        <v>0.98335371902754465</v>
      </c>
    </row>
    <row r="8157" spans="1:4">
      <c r="A8157">
        <v>1.018124</v>
      </c>
      <c r="B8157">
        <v>9.0368879999999994</v>
      </c>
      <c r="C8157">
        <f>LOG10(1.018124)</f>
        <v>7.8006750893480931E-3</v>
      </c>
      <c r="D8157">
        <f>LOG10(9.036888)</f>
        <v>0.95601889982152122</v>
      </c>
    </row>
    <row r="8158" spans="1:4">
      <c r="A8158">
        <v>1.0103869999999999</v>
      </c>
      <c r="B8158">
        <v>6.6226279999999997</v>
      </c>
      <c r="C8158">
        <f>LOG10(1.010387)</f>
        <v>4.4877497953095232E-3</v>
      </c>
      <c r="D8158">
        <f>LOG10(6.622628)</f>
        <v>0.82103036095288062</v>
      </c>
    </row>
    <row r="8159" spans="1:4">
      <c r="A8159">
        <v>1.009676</v>
      </c>
      <c r="B8159">
        <v>7.1275550000000001</v>
      </c>
      <c r="C8159">
        <f>LOG10(1.009676)</f>
        <v>4.1820332019318843E-3</v>
      </c>
      <c r="D8159">
        <f>LOG10(7.127555)</f>
        <v>0.85294057724131456</v>
      </c>
    </row>
    <row r="8160" spans="1:4">
      <c r="A8160">
        <v>1.0153479999999999</v>
      </c>
      <c r="B8160">
        <v>7.905589</v>
      </c>
      <c r="C8160">
        <f>LOG10(1.015348)</f>
        <v>6.6149176944088938E-3</v>
      </c>
      <c r="D8160">
        <f>LOG10(7.905589)</f>
        <v>0.89793423225943991</v>
      </c>
    </row>
    <row r="8161" spans="1:4">
      <c r="A8161">
        <v>1.021134</v>
      </c>
      <c r="B8161">
        <v>9.2911859999999997</v>
      </c>
      <c r="C8161">
        <f>LOG10(1.021134)</f>
        <v>9.0827368391239154E-3</v>
      </c>
      <c r="D8161">
        <f>LOG10(9.291186)</f>
        <v>0.96807115429290325</v>
      </c>
    </row>
    <row r="8162" spans="1:4">
      <c r="A8162">
        <v>1.0131140000000001</v>
      </c>
      <c r="B8162">
        <v>7.7908869999999997</v>
      </c>
      <c r="C8162">
        <f>LOG10(1.013114)</f>
        <v>5.6583168166636794E-3</v>
      </c>
      <c r="D8162">
        <f>LOG10(7.790887)</f>
        <v>0.89158690533313267</v>
      </c>
    </row>
    <row r="8163" spans="1:4">
      <c r="A8163">
        <v>1.012354</v>
      </c>
      <c r="B8163">
        <v>7.1542240000000001</v>
      </c>
      <c r="C8163">
        <f>LOG10(1.012354)</f>
        <v>5.3324031791867387E-3</v>
      </c>
      <c r="D8163">
        <f>LOG10(7.154224)</f>
        <v>0.85456253386173087</v>
      </c>
    </row>
    <row r="8164" spans="1:4">
      <c r="A8164">
        <v>1.0115179999999999</v>
      </c>
      <c r="B8164">
        <v>8.1177569999999992</v>
      </c>
      <c r="C8164">
        <f>LOG10(1.011518)</f>
        <v>4.9736154618598089E-3</v>
      </c>
      <c r="D8164">
        <f>LOG10(8.117757)</f>
        <v>0.90943604684100698</v>
      </c>
    </row>
    <row r="8165" spans="1:4">
      <c r="A8165">
        <v>1.0103089999999999</v>
      </c>
      <c r="B8165">
        <v>7.2449269999999997</v>
      </c>
      <c r="C8165">
        <f>LOG10(1.010309)</f>
        <v>4.4542217736721389E-3</v>
      </c>
      <c r="D8165">
        <f>LOG10(7.244927)</f>
        <v>0.86003401387111322</v>
      </c>
    </row>
    <row r="8166" spans="1:4">
      <c r="A8166">
        <v>1.006589</v>
      </c>
      <c r="B8166">
        <v>7.6071569999999999</v>
      </c>
      <c r="C8166">
        <f>LOG10(1.006589)</f>
        <v>2.8521801189353721E-3</v>
      </c>
      <c r="D8166">
        <f>LOG10(7.607157)</f>
        <v>0.88122237951649485</v>
      </c>
    </row>
    <row r="8167" spans="1:4">
      <c r="A8167">
        <v>1.013841</v>
      </c>
      <c r="B8167">
        <v>8.8230649999999997</v>
      </c>
      <c r="C8167">
        <f>LOG10(1.013841)</f>
        <v>5.9698502270081281E-3</v>
      </c>
      <c r="D8167">
        <f>LOG10(8.823065)</f>
        <v>0.94561947870959939</v>
      </c>
    </row>
    <row r="8168" spans="1:4">
      <c r="A8168">
        <v>1.0089630000000001</v>
      </c>
      <c r="B8168">
        <v>8.3252249999999997</v>
      </c>
      <c r="C8168">
        <f>LOG10(1.008963)</f>
        <v>3.8752403791696239E-3</v>
      </c>
      <c r="D8168">
        <f>LOG10(8.325225)</f>
        <v>0.920395979708443</v>
      </c>
    </row>
    <row r="8169" spans="1:4">
      <c r="A8169">
        <v>1.010907</v>
      </c>
      <c r="B8169">
        <v>7.2099900000000003</v>
      </c>
      <c r="C8169">
        <f>LOG10(1.010907)</f>
        <v>4.7112038159238855E-3</v>
      </c>
      <c r="D8169">
        <f>LOG10(7.20999)</f>
        <v>0.85793466236882843</v>
      </c>
    </row>
    <row r="8170" spans="1:4">
      <c r="A8170">
        <v>1.0084139999999999</v>
      </c>
      <c r="B8170">
        <v>7.987514</v>
      </c>
      <c r="C8170">
        <f>LOG10(1.008414)</f>
        <v>3.6388664377092531E-3</v>
      </c>
      <c r="D8170">
        <f>LOG10(7.987514)</f>
        <v>0.90241163237051525</v>
      </c>
    </row>
    <row r="8171" spans="1:4">
      <c r="A8171">
        <v>1.016788</v>
      </c>
      <c r="B8171">
        <v>7.469036</v>
      </c>
      <c r="C8171">
        <f>LOG10(1.016788)</f>
        <v>7.2304120890913847E-3</v>
      </c>
      <c r="D8171">
        <f>LOG10(7.469036)</f>
        <v>0.87326455269935999</v>
      </c>
    </row>
    <row r="8172" spans="1:4">
      <c r="A8172">
        <v>1.0110619999999999</v>
      </c>
      <c r="B8172">
        <v>8.0963720000000006</v>
      </c>
      <c r="C8172">
        <f>LOG10(1.011062)</f>
        <v>4.7777880660551404E-3</v>
      </c>
      <c r="D8172">
        <f>LOG10(8.096372)</f>
        <v>0.90829045426792121</v>
      </c>
    </row>
    <row r="8173" spans="1:4">
      <c r="A8173">
        <v>1.0149790000000001</v>
      </c>
      <c r="B8173">
        <v>8.1753549999999997</v>
      </c>
      <c r="C8173">
        <f>LOG10(1.014979)</f>
        <v>6.4570567532041667E-3</v>
      </c>
      <c r="D8173">
        <f>LOG10(8.175355)</f>
        <v>0.91250662019393247</v>
      </c>
    </row>
    <row r="8174" spans="1:4">
      <c r="A8174">
        <v>1.0096149999999999</v>
      </c>
      <c r="B8174">
        <v>8.2059200000000008</v>
      </c>
      <c r="C8174">
        <f>LOG10(1.009615)</f>
        <v>4.1557943256092583E-3</v>
      </c>
      <c r="D8174">
        <f>LOG10(8.20592)</f>
        <v>0.91412727868891119</v>
      </c>
    </row>
    <row r="8175" spans="1:4">
      <c r="A8175">
        <v>1.0153000000000001</v>
      </c>
      <c r="B8175">
        <v>7.3646240000000001</v>
      </c>
      <c r="C8175">
        <f>LOG10(1.0153)</f>
        <v>6.5943861841371351E-3</v>
      </c>
      <c r="D8175">
        <f>LOG10(7.364624)</f>
        <v>0.86715057889166791</v>
      </c>
    </row>
    <row r="8176" spans="1:4">
      <c r="A8176">
        <v>1.0118119999999999</v>
      </c>
      <c r="B8176">
        <v>8.1692769999999992</v>
      </c>
      <c r="C8176">
        <f>LOG10(1.011812)</f>
        <v>5.0998257968799723E-3</v>
      </c>
      <c r="D8176">
        <f>LOG10(8.169277)</f>
        <v>0.91218362216220172</v>
      </c>
    </row>
    <row r="8177" spans="1:4">
      <c r="A8177">
        <v>1.0202530000000001</v>
      </c>
      <c r="B8177">
        <v>7.0886490000000002</v>
      </c>
      <c r="C8177">
        <f>LOG10(1.020253)</f>
        <v>8.7078804671465188E-3</v>
      </c>
      <c r="D8177">
        <f>LOG10(7.088649)</f>
        <v>0.85056347245344022</v>
      </c>
    </row>
    <row r="8178" spans="1:4">
      <c r="A8178">
        <v>1.0125759999999999</v>
      </c>
      <c r="B8178">
        <v>7.5729699999999998</v>
      </c>
      <c r="C8178">
        <f>LOG10(1.012576)</f>
        <v>5.4276295577467652E-3</v>
      </c>
      <c r="D8178">
        <f>LOG10(7.57297)</f>
        <v>0.8792662363888194</v>
      </c>
    </row>
    <row r="8179" spans="1:4">
      <c r="A8179">
        <v>1.0129360000000001</v>
      </c>
      <c r="B8179">
        <v>7.5357580000000004</v>
      </c>
      <c r="C8179">
        <f>LOG10(1.012936)</f>
        <v>5.5820063426105428E-3</v>
      </c>
      <c r="D8179">
        <f>LOG10(7.535758)</f>
        <v>0.87712694326781482</v>
      </c>
    </row>
    <row r="8180" spans="1:4">
      <c r="A8180">
        <v>1.0131079999999999</v>
      </c>
      <c r="B8180">
        <v>7.3388489999999997</v>
      </c>
      <c r="C8180">
        <f>LOG10(1.013108)</f>
        <v>5.6557447718517066E-3</v>
      </c>
      <c r="D8180">
        <f>LOG10(7.338849)</f>
        <v>0.86562795199429887</v>
      </c>
    </row>
    <row r="8181" spans="1:4">
      <c r="A8181">
        <v>1.014888</v>
      </c>
      <c r="B8181">
        <v>8.0280339999999999</v>
      </c>
      <c r="C8181">
        <f>LOG10(1.014888)</f>
        <v>6.4181174553292822E-3</v>
      </c>
      <c r="D8181">
        <f>LOG10(8.028034)</f>
        <v>0.9046092031255023</v>
      </c>
    </row>
    <row r="8182" spans="1:4">
      <c r="A8182">
        <v>1.0089669999999999</v>
      </c>
      <c r="B8182">
        <v>8.7988560000000007</v>
      </c>
      <c r="C8182">
        <f>LOG10(1.008967)</f>
        <v>3.8769621216756265E-3</v>
      </c>
      <c r="D8182">
        <f>LOG10(8.798856)</f>
        <v>0.94442621019741479</v>
      </c>
    </row>
    <row r="8183" spans="1:4">
      <c r="A8183">
        <v>1.008991</v>
      </c>
      <c r="B8183">
        <v>9.0922990000000006</v>
      </c>
      <c r="C8183">
        <f>LOG10(1.008991)</f>
        <v>3.8872924333730749E-3</v>
      </c>
      <c r="D8183">
        <f>LOG10(9.092299)</f>
        <v>0.95867370904973725</v>
      </c>
    </row>
    <row r="8184" spans="1:4">
      <c r="A8184">
        <v>1.0179039999999999</v>
      </c>
      <c r="B8184">
        <v>8.8730919999999998</v>
      </c>
      <c r="C8184">
        <f>LOG10(1.017904)</f>
        <v>7.7068209906906984E-3</v>
      </c>
      <c r="D8184">
        <f>LOG10(8.873092)</f>
        <v>0.94807498449259131</v>
      </c>
    </row>
    <row r="8185" spans="1:4">
      <c r="A8185">
        <v>1.0099340000000001</v>
      </c>
      <c r="B8185">
        <v>7.819623</v>
      </c>
      <c r="C8185">
        <f>LOG10(1.009934)</f>
        <v>4.2929932159351796E-3</v>
      </c>
      <c r="D8185">
        <f>LOG10(7.819623)</f>
        <v>0.89318581534035069</v>
      </c>
    </row>
    <row r="8186" spans="1:4">
      <c r="A8186">
        <v>1.0086900000000001</v>
      </c>
      <c r="B8186">
        <v>8.1148450000000008</v>
      </c>
      <c r="C8186">
        <f>LOG10(1.00869)</f>
        <v>3.7577153198228423E-3</v>
      </c>
      <c r="D8186">
        <f>LOG10(8.114845)</f>
        <v>0.90928022887111304</v>
      </c>
    </row>
    <row r="8187" spans="1:4">
      <c r="A8187">
        <v>1.0094689999999999</v>
      </c>
      <c r="B8187">
        <v>7.5229749999999997</v>
      </c>
      <c r="C8187">
        <f>LOG10(1.009469)</f>
        <v>4.0929866420573325E-3</v>
      </c>
      <c r="D8187">
        <f>LOG10(7.522975)</f>
        <v>0.87638961859439857</v>
      </c>
    </row>
    <row r="8188" spans="1:4">
      <c r="A8188">
        <v>1.021657</v>
      </c>
      <c r="B8188">
        <v>6.9602279999999999</v>
      </c>
      <c r="C8188">
        <f>LOG10(1.021657)</f>
        <v>9.3051149668894554E-3</v>
      </c>
      <c r="D8188">
        <f>LOG10(6.960228)</f>
        <v>0.84262346626574081</v>
      </c>
    </row>
    <row r="8189" spans="1:4">
      <c r="A8189">
        <v>1.004956</v>
      </c>
      <c r="B8189">
        <v>6.9293979999999999</v>
      </c>
      <c r="C8189">
        <f>LOG10(1.004956)</f>
        <v>2.1470474525061831E-3</v>
      </c>
      <c r="D8189">
        <f>LOG10(6.929398)</f>
        <v>0.84069550638172486</v>
      </c>
    </row>
    <row r="8190" spans="1:4">
      <c r="A8190">
        <v>1.5333760000000001</v>
      </c>
      <c r="B8190">
        <v>7.2169939999999997</v>
      </c>
      <c r="C8190">
        <f>LOG10(1.533376)</f>
        <v>0.18564866150979778</v>
      </c>
      <c r="D8190">
        <f>LOG10(7.216994)</f>
        <v>0.85835634423805673</v>
      </c>
    </row>
    <row r="8191" spans="1:4">
      <c r="A8191">
        <v>1.0148630000000001</v>
      </c>
      <c r="B8191">
        <v>7.2604790000000001</v>
      </c>
      <c r="C8191">
        <f>LOG10(1.014863)</f>
        <v>6.4074192346627026E-3</v>
      </c>
      <c r="D8191">
        <f>LOG10(7.260479)</f>
        <v>0.86096527361945085</v>
      </c>
    </row>
    <row r="8192" spans="1:4">
      <c r="A8192">
        <v>1.020753</v>
      </c>
      <c r="B8192">
        <v>7.1456970000000002</v>
      </c>
      <c r="C8192">
        <f>LOG10(1.020753)</f>
        <v>8.9206649913424786E-3</v>
      </c>
      <c r="D8192">
        <f>LOG10(7.145697)</f>
        <v>0.85404459680653899</v>
      </c>
    </row>
    <row r="8193" spans="1:4">
      <c r="A8193">
        <v>1.013771</v>
      </c>
      <c r="B8193">
        <v>6.9756289999999996</v>
      </c>
      <c r="C8193">
        <f>LOG10(1.013771)</f>
        <v>5.9398636085176947E-3</v>
      </c>
      <c r="D8193">
        <f>LOG10(6.975629)</f>
        <v>0.84358337451376053</v>
      </c>
    </row>
    <row r="8194" spans="1:4">
      <c r="A8194">
        <v>1.0161709999999999</v>
      </c>
      <c r="B8194">
        <v>6.5750979999999997</v>
      </c>
      <c r="C8194">
        <f>LOG10(1.016171)</f>
        <v>6.9667966363825776E-3</v>
      </c>
      <c r="D8194">
        <f>LOG10(6.575098)</f>
        <v>0.81790223024803821</v>
      </c>
    </row>
    <row r="8195" spans="1:4">
      <c r="A8195">
        <v>1.0107489999999999</v>
      </c>
      <c r="B8195">
        <v>7.0249779999999999</v>
      </c>
      <c r="C8195">
        <f>LOG10(1.010749)</f>
        <v>4.643320330028693E-3</v>
      </c>
      <c r="D8195">
        <f>LOG10(7.024978)</f>
        <v>0.84664496850685944</v>
      </c>
    </row>
    <row r="8196" spans="1:4">
      <c r="A8196">
        <v>1.0112049999999999</v>
      </c>
      <c r="B8196">
        <v>6.9255009999999997</v>
      </c>
      <c r="C8196">
        <f>LOG10(1.011205)</f>
        <v>4.8392083542917385E-3</v>
      </c>
      <c r="D8196">
        <f>LOG10(6.925501)</f>
        <v>0.84045119631629472</v>
      </c>
    </row>
    <row r="8197" spans="1:4">
      <c r="A8197">
        <v>1.009242</v>
      </c>
      <c r="B8197">
        <v>6.8827239999999996</v>
      </c>
      <c r="C8197">
        <f>LOG10(1.009242)</f>
        <v>3.9953155560945091E-3</v>
      </c>
      <c r="D8197">
        <f>LOG10(6.882724)</f>
        <v>0.83776035451954811</v>
      </c>
    </row>
    <row r="8198" spans="1:4">
      <c r="A8198">
        <v>1.0143169999999999</v>
      </c>
      <c r="B8198">
        <v>6.5665279999999999</v>
      </c>
      <c r="C8198">
        <f>LOG10(1.014317)</f>
        <v>6.1737043421032168E-3</v>
      </c>
      <c r="D8198">
        <f>LOG10(6.566528)</f>
        <v>0.81733580045654752</v>
      </c>
    </row>
    <row r="8199" spans="1:4">
      <c r="A8199">
        <v>1.0208930000000001</v>
      </c>
      <c r="B8199">
        <v>6.7469549999999998</v>
      </c>
      <c r="C8199">
        <f>LOG10(1.020893)</f>
        <v>8.9802259804285054E-3</v>
      </c>
      <c r="D8199">
        <f>LOG10(6.746955)</f>
        <v>0.82910781356171837</v>
      </c>
    </row>
    <row r="8200" spans="1:4">
      <c r="A8200">
        <v>1.0195719999999999</v>
      </c>
      <c r="B8200">
        <v>6.2779410000000002</v>
      </c>
      <c r="C8200">
        <f>LOG10(1.019572)</f>
        <v>8.4179001471051621E-3</v>
      </c>
      <c r="D8200">
        <f>LOG10(6.277941)</f>
        <v>0.79781722988985415</v>
      </c>
    </row>
    <row r="8201" spans="1:4">
      <c r="A8201">
        <v>1.0141199999999999</v>
      </c>
      <c r="B8201">
        <v>6.4479540000000002</v>
      </c>
      <c r="C8201">
        <f>LOG10(1.01412)</f>
        <v>6.0893477530605863E-3</v>
      </c>
      <c r="D8201">
        <f>LOG10(6.447954)</f>
        <v>0.80942193053130418</v>
      </c>
    </row>
    <row r="8202" spans="1:4">
      <c r="A8202">
        <v>1.0155240000000001</v>
      </c>
      <c r="B8202">
        <v>6.5125970000000004</v>
      </c>
      <c r="C8202">
        <f>LOG10(1.015524)</f>
        <v>6.6901915954783869E-3</v>
      </c>
      <c r="D8202">
        <f>LOG10(6.512597)</f>
        <v>0.81375420482981076</v>
      </c>
    </row>
    <row r="8203" spans="1:4">
      <c r="A8203">
        <v>1.023026</v>
      </c>
      <c r="B8203">
        <v>6.2426500000000003</v>
      </c>
      <c r="C8203">
        <f>LOG10(1.023026)</f>
        <v>9.8866713593162431E-3</v>
      </c>
      <c r="D8203">
        <f>LOG10(6.24265)</f>
        <v>0.79536898648828391</v>
      </c>
    </row>
    <row r="8204" spans="1:4">
      <c r="A8204">
        <v>1.0213950000000001</v>
      </c>
      <c r="B8204">
        <v>6.3132770000000002</v>
      </c>
      <c r="C8204">
        <f>LOG10(1.021395)</f>
        <v>9.1937275378055246E-3</v>
      </c>
      <c r="D8204">
        <f>LOG10(6.313277)</f>
        <v>0.80025484475778774</v>
      </c>
    </row>
    <row r="8205" spans="1:4">
      <c r="A8205">
        <v>1.013806</v>
      </c>
      <c r="B8205">
        <v>5.8013060000000003</v>
      </c>
      <c r="C8205">
        <f>LOG10(1.013806)</f>
        <v>5.9548571765726949E-3</v>
      </c>
      <c r="D8205">
        <f>LOG10(5.801306)</f>
        <v>0.76352577369144381</v>
      </c>
    </row>
    <row r="8206" spans="1:4">
      <c r="A8206">
        <v>1.020988</v>
      </c>
      <c r="B8206">
        <v>5.6635590000000002</v>
      </c>
      <c r="C8206">
        <f>LOG10(1.020988)</f>
        <v>9.0206377143253972E-3</v>
      </c>
      <c r="D8206">
        <f>LOG10(5.663559)</f>
        <v>0.75308942912328281</v>
      </c>
    </row>
    <row r="8207" spans="1:4">
      <c r="A8207">
        <v>1.0227360000000001</v>
      </c>
      <c r="B8207">
        <v>5.7199819999999999</v>
      </c>
      <c r="C8207">
        <f>LOG10(1.022736)</f>
        <v>9.7635432529231039E-3</v>
      </c>
      <c r="D8207">
        <f>LOG10(5.719982)</f>
        <v>0.7573946621299168</v>
      </c>
    </row>
    <row r="8208" spans="1:4">
      <c r="A8208">
        <v>1.0274369999999999</v>
      </c>
      <c r="B8208">
        <v>6.4020299999999999</v>
      </c>
      <c r="C8208">
        <f>LOG10(1.027437)</f>
        <v>1.1755201456929319E-2</v>
      </c>
      <c r="D8208">
        <f>LOG10(6.40203)</f>
        <v>0.80631770492275434</v>
      </c>
    </row>
    <row r="8209" spans="1:4">
      <c r="A8209">
        <v>1.0158229999999999</v>
      </c>
      <c r="B8209">
        <v>6.4141729999999999</v>
      </c>
      <c r="C8209">
        <f>LOG10(1.015823)</f>
        <v>6.8180417865356443E-3</v>
      </c>
      <c r="D8209">
        <f>LOG10(6.414173)</f>
        <v>0.80714066933301021</v>
      </c>
    </row>
    <row r="8210" spans="1:4">
      <c r="A8210">
        <v>1.0180979999999999</v>
      </c>
      <c r="B8210">
        <v>6.3499590000000001</v>
      </c>
      <c r="C8210">
        <f>LOG10(1.018098)</f>
        <v>7.7895842981375732E-3</v>
      </c>
      <c r="D8210">
        <f>LOG10(6.349959)</f>
        <v>0.80277092117681936</v>
      </c>
    </row>
    <row r="8211" spans="1:4">
      <c r="A8211">
        <v>1.0282260000000001</v>
      </c>
      <c r="B8211">
        <v>5.9017030000000004</v>
      </c>
      <c r="C8211">
        <f>LOG10(1.028226)</f>
        <v>1.2088581357280782E-2</v>
      </c>
      <c r="D8211">
        <f>LOG10(5.901703)</f>
        <v>0.77097735007979429</v>
      </c>
    </row>
    <row r="8212" spans="1:4">
      <c r="A8212">
        <v>1.012232</v>
      </c>
      <c r="B8212">
        <v>6.0542300000000004</v>
      </c>
      <c r="C8212">
        <f>LOG10(1.012232)</f>
        <v>5.2800626741587387E-3</v>
      </c>
      <c r="D8212">
        <f>LOG10(6.05423)</f>
        <v>0.78205891576714293</v>
      </c>
    </row>
    <row r="8213" spans="1:4">
      <c r="A8213">
        <v>1.0201439999999999</v>
      </c>
      <c r="B8213">
        <v>6.4255490000000002</v>
      </c>
      <c r="C8213">
        <f>LOG10(1.020144)</f>
        <v>8.6614795965585453E-3</v>
      </c>
      <c r="D8213">
        <f>LOG10(6.425549)</f>
        <v>0.80791023978304022</v>
      </c>
    </row>
    <row r="8214" spans="1:4">
      <c r="A8214">
        <v>1.016478</v>
      </c>
      <c r="B8214">
        <v>6.243938</v>
      </c>
      <c r="C8214">
        <f>LOG10(1.016478)</f>
        <v>7.0979834836524466E-3</v>
      </c>
      <c r="D8214">
        <f>LOG10(6.243938)</f>
        <v>0.79545858202786202</v>
      </c>
    </row>
    <row r="8215" spans="1:4">
      <c r="A8215">
        <v>1.0224249999999999</v>
      </c>
      <c r="B8215">
        <v>6.1597229999999996</v>
      </c>
      <c r="C8215">
        <f>LOG10(1.022425)</f>
        <v>9.6314601700625592E-3</v>
      </c>
      <c r="D8215">
        <f>LOG10(6.159723)</f>
        <v>0.7895611825741079</v>
      </c>
    </row>
    <row r="8216" spans="1:4">
      <c r="A8216">
        <v>1.010316</v>
      </c>
      <c r="B8216">
        <v>5.7961910000000003</v>
      </c>
      <c r="C8216">
        <f>LOG10(1.010316)</f>
        <v>4.4572308044159674E-3</v>
      </c>
      <c r="D8216">
        <f>LOG10(5.796191)</f>
        <v>0.76314268819998454</v>
      </c>
    </row>
    <row r="8217" spans="1:4">
      <c r="A8217">
        <v>1.0135000000000001</v>
      </c>
      <c r="B8217">
        <v>5.584924</v>
      </c>
      <c r="C8217">
        <f>LOG10(1.0135)</f>
        <v>5.8237530290275435E-3</v>
      </c>
      <c r="D8217">
        <f>LOG10(5.584924)</f>
        <v>0.7470172675849851</v>
      </c>
    </row>
    <row r="8218" spans="1:4">
      <c r="A8218">
        <v>1.018669</v>
      </c>
      <c r="B8218">
        <v>5.6845860000000004</v>
      </c>
      <c r="C8218">
        <f>LOG10(1.018669)</f>
        <v>8.0330899673313871E-3</v>
      </c>
      <c r="D8218">
        <f>LOG10(5.684586)</f>
        <v>0.75469884114995289</v>
      </c>
    </row>
    <row r="8219" spans="1:4">
      <c r="A8219">
        <v>1.032332</v>
      </c>
      <c r="B8219">
        <v>5.183662</v>
      </c>
      <c r="C8219">
        <f>LOG10(1.032332)</f>
        <v>1.3819389713956937E-2</v>
      </c>
      <c r="D8219">
        <f>LOG10(5.183662)</f>
        <v>0.71463667567107458</v>
      </c>
    </row>
    <row r="8220" spans="1:4">
      <c r="A8220">
        <v>1.0146200000000001</v>
      </c>
      <c r="B8220">
        <v>5.6539089999999996</v>
      </c>
      <c r="C8220">
        <f>LOG10(1.01462)</f>
        <v>6.3034187975003191E-3</v>
      </c>
      <c r="D8220">
        <f>LOG10(5.653909)</f>
        <v>0.75234881421436095</v>
      </c>
    </row>
    <row r="8221" spans="1:4">
      <c r="A8221">
        <v>1.0142089999999999</v>
      </c>
      <c r="B8221">
        <v>5.8496290000000002</v>
      </c>
      <c r="C8221">
        <f>LOG10(1.014209)</f>
        <v>6.1274601193623034E-3</v>
      </c>
      <c r="D8221">
        <f>LOG10(5.849629)</f>
        <v>0.76712832277241572</v>
      </c>
    </row>
    <row r="8222" spans="1:4">
      <c r="A8222">
        <v>1.0166919999999999</v>
      </c>
      <c r="B8222">
        <v>5.5377960000000002</v>
      </c>
      <c r="C8222">
        <f>LOG10(1.016692)</f>
        <v>7.1894062564363025E-3</v>
      </c>
      <c r="D8222">
        <f>LOG10(5.537796)</f>
        <v>0.74333695326832627</v>
      </c>
    </row>
    <row r="8223" spans="1:4">
      <c r="A8223">
        <v>1.011374</v>
      </c>
      <c r="B8223">
        <v>5.3601470000000004</v>
      </c>
      <c r="C8223">
        <f>LOG10(1.011374)</f>
        <v>4.9117847704539712E-3</v>
      </c>
      <c r="D8223">
        <f>LOG10(5.360147)</f>
        <v>0.7291767002176619</v>
      </c>
    </row>
    <row r="8224" spans="1:4">
      <c r="A8224">
        <v>1.010642</v>
      </c>
      <c r="B8224">
        <v>6.0503780000000003</v>
      </c>
      <c r="C8224">
        <f>LOG10(1.010642)</f>
        <v>4.5973425754953163E-3</v>
      </c>
      <c r="D8224">
        <f>LOG10(6.050378)</f>
        <v>0.78178250823692597</v>
      </c>
    </row>
    <row r="8225" spans="1:4">
      <c r="A8225">
        <v>1.017379</v>
      </c>
      <c r="B8225">
        <v>5.7772360000000003</v>
      </c>
      <c r="C8225">
        <f>LOG10(1.017379)</f>
        <v>7.4827689959006474E-3</v>
      </c>
      <c r="D8225">
        <f>LOG10(5.777236)</f>
        <v>0.76172010882655583</v>
      </c>
    </row>
    <row r="8226" spans="1:4">
      <c r="A8226">
        <v>1.0137039999999999</v>
      </c>
      <c r="B8226">
        <v>5.7111559999999999</v>
      </c>
      <c r="C8226">
        <f>LOG10(1.013704)</f>
        <v>5.9111601914120567E-3</v>
      </c>
      <c r="D8226">
        <f>LOG10(5.711156)</f>
        <v>0.75672402306336639</v>
      </c>
    </row>
    <row r="8227" spans="1:4">
      <c r="A8227">
        <v>1.0182169999999999</v>
      </c>
      <c r="B8227">
        <v>5.4616069999999999</v>
      </c>
      <c r="C8227">
        <f>LOG10(1.018217)</f>
        <v>7.8403436781011946E-3</v>
      </c>
      <c r="D8227">
        <f>LOG10(5.461607)</f>
        <v>0.73732044646794814</v>
      </c>
    </row>
    <row r="8228" spans="1:4">
      <c r="A8228">
        <v>1.0073300000000001</v>
      </c>
      <c r="B8228">
        <v>5.5558350000000001</v>
      </c>
      <c r="C8228">
        <f>LOG10(1.00733)</f>
        <v>3.1717681714961729E-3</v>
      </c>
      <c r="D8228">
        <f>LOG10(5.555835)</f>
        <v>0.74474933935975007</v>
      </c>
    </row>
    <row r="8229" spans="1:4">
      <c r="A8229">
        <v>1.0147060000000001</v>
      </c>
      <c r="B8229">
        <v>5.7637169999999998</v>
      </c>
      <c r="C8229">
        <f>LOG10(1.014706)</f>
        <v>6.3402283839995334E-3</v>
      </c>
      <c r="D8229">
        <f>LOG10(5.763717)</f>
        <v>0.76070264869370896</v>
      </c>
    </row>
    <row r="8230" spans="1:4">
      <c r="A8230">
        <v>1.01319</v>
      </c>
      <c r="B8230">
        <v>5.8899819999999998</v>
      </c>
      <c r="C8230">
        <f>LOG10(1.01319)</f>
        <v>5.6908947325539985E-3</v>
      </c>
      <c r="D8230">
        <f>LOG10(5.889982)</f>
        <v>0.77011396756933947</v>
      </c>
    </row>
    <row r="8231" spans="1:4">
      <c r="A8231">
        <v>1.0181560000000001</v>
      </c>
      <c r="B8231">
        <v>5.8160259999999999</v>
      </c>
      <c r="C8231">
        <f>LOG10(1.018156)</f>
        <v>7.8143249051121945E-3</v>
      </c>
      <c r="D8231">
        <f>LOG10(5.816026)</f>
        <v>0.76462633932816337</v>
      </c>
    </row>
    <row r="8232" spans="1:4">
      <c r="A8232">
        <v>1.015452</v>
      </c>
      <c r="B8232">
        <v>5.4142250000000001</v>
      </c>
      <c r="C8232">
        <f>LOG10(1.015452)</f>
        <v>6.6593993037820159E-3</v>
      </c>
      <c r="D8232">
        <f>LOG10(5.414225)</f>
        <v>0.73353629986965452</v>
      </c>
    </row>
    <row r="8233" spans="1:4">
      <c r="A8233">
        <v>1.0155689999999999</v>
      </c>
      <c r="B8233">
        <v>6.291658</v>
      </c>
      <c r="C8233">
        <f>LOG10(1.015569)</f>
        <v>6.7094356691754353E-3</v>
      </c>
      <c r="D8233">
        <f>LOG10(6.291658)</f>
        <v>0.7987651073476929</v>
      </c>
    </row>
    <row r="8234" spans="1:4">
      <c r="A8234">
        <v>1.025344</v>
      </c>
      <c r="B8234">
        <v>5.9201230000000002</v>
      </c>
      <c r="C8234">
        <f>LOG10(1.025344)</f>
        <v>1.0869594404247625E-2</v>
      </c>
      <c r="D8234">
        <f>LOG10(5.920123)</f>
        <v>0.77233072997737007</v>
      </c>
    </row>
    <row r="8235" spans="1:4">
      <c r="A8235">
        <v>1.0175209999999999</v>
      </c>
      <c r="B8235">
        <v>5.555688</v>
      </c>
      <c r="C8235">
        <f>LOG10(1.017521)</f>
        <v>7.5433811306790692E-3</v>
      </c>
      <c r="D8235">
        <f>LOG10(5.555688)</f>
        <v>0.7447378483537298</v>
      </c>
    </row>
    <row r="8236" spans="1:4">
      <c r="A8236">
        <v>1.0125489999999999</v>
      </c>
      <c r="B8236">
        <v>6.2020650000000002</v>
      </c>
      <c r="C8236">
        <f>LOG10(1.012549)</f>
        <v>5.4160490864059024E-3</v>
      </c>
      <c r="D8236">
        <f>LOG10(6.202065)</f>
        <v>0.79253631349650222</v>
      </c>
    </row>
    <row r="8237" spans="1:4">
      <c r="A8237">
        <v>1.018599</v>
      </c>
      <c r="B8237">
        <v>5.5594700000000001</v>
      </c>
      <c r="C8237">
        <f>LOG10(1.018599)</f>
        <v>8.0032454758406282E-3</v>
      </c>
      <c r="D8237">
        <f>LOG10(5.55947)</f>
        <v>0.74503339103408472</v>
      </c>
    </row>
    <row r="8238" spans="1:4">
      <c r="A8238">
        <v>1.0390539999999999</v>
      </c>
      <c r="B8238">
        <v>5.4485039999999998</v>
      </c>
      <c r="C8238">
        <f>LOG10(1.039054)</f>
        <v>1.6638118579901578E-2</v>
      </c>
      <c r="D8238">
        <f>LOG10(5.448504)</f>
        <v>0.73627727406898968</v>
      </c>
    </row>
    <row r="8239" spans="1:4">
      <c r="A8239">
        <v>1.019895</v>
      </c>
      <c r="B8239">
        <v>5.841672</v>
      </c>
      <c r="C8239">
        <f>LOG10(1.019895)</f>
        <v>8.5554626757733069E-3</v>
      </c>
      <c r="D8239">
        <f>LOG10(5.841672)</f>
        <v>0.76653716842166086</v>
      </c>
    </row>
    <row r="8240" spans="1:4">
      <c r="A8240">
        <v>1.015533</v>
      </c>
      <c r="B8240">
        <v>5.292395</v>
      </c>
      <c r="C8240">
        <f>LOG10(1.015533)</f>
        <v>6.6940404784364945E-3</v>
      </c>
      <c r="D8240">
        <f>LOG10(5.292395)</f>
        <v>0.72365225046604509</v>
      </c>
    </row>
    <row r="8241" spans="1:4">
      <c r="A8241">
        <v>1.024543</v>
      </c>
      <c r="B8241">
        <v>5.771547</v>
      </c>
      <c r="C8241">
        <f>LOG10(1.024543)</f>
        <v>1.0530190429580021E-2</v>
      </c>
      <c r="D8241">
        <f>LOG10(5.771547)</f>
        <v>0.76129223664168666</v>
      </c>
    </row>
    <row r="8242" spans="1:4">
      <c r="A8242">
        <v>1.016089</v>
      </c>
      <c r="B8242">
        <v>5.7776149999999999</v>
      </c>
      <c r="C8242">
        <f>LOG10(1.016089)</f>
        <v>6.9317497944082675E-3</v>
      </c>
      <c r="D8242">
        <f>LOG10(5.777615)</f>
        <v>0.76174859861127053</v>
      </c>
    </row>
    <row r="8243" spans="1:4">
      <c r="A8243">
        <v>1.011808</v>
      </c>
      <c r="B8243">
        <v>5.5857570000000001</v>
      </c>
      <c r="C8243">
        <f>LOG10(1.011808)</f>
        <v>5.0981088955570275E-3</v>
      </c>
      <c r="D8243">
        <f>LOG10(5.585757)</f>
        <v>0.74708203844436172</v>
      </c>
    </row>
    <row r="8244" spans="1:4">
      <c r="A8244">
        <v>1.0157719999999999</v>
      </c>
      <c r="B8244">
        <v>5.9449269999999999</v>
      </c>
      <c r="C8244">
        <f>LOG10(1.015772)</f>
        <v>6.7962372255067696E-3</v>
      </c>
      <c r="D8244">
        <f>LOG10(5.944927)</f>
        <v>0.77414652612177048</v>
      </c>
    </row>
    <row r="8245" spans="1:4">
      <c r="A8245">
        <v>1.0115689999999999</v>
      </c>
      <c r="B8245">
        <v>5.6280640000000002</v>
      </c>
      <c r="C8245">
        <f>LOG10(1.011569)</f>
        <v>4.9955117209744861E-3</v>
      </c>
      <c r="D8245">
        <f>LOG10(5.628064)</f>
        <v>0.75035902740677451</v>
      </c>
    </row>
    <row r="8246" spans="1:4">
      <c r="A8246">
        <v>1.0193239999999999</v>
      </c>
      <c r="B8246">
        <v>5.4356640000000001</v>
      </c>
      <c r="C8246">
        <f>LOG10(1.019324)</f>
        <v>8.312249802955014E-3</v>
      </c>
      <c r="D8246">
        <f>LOG10(5.435664)</f>
        <v>0.73525260342177656</v>
      </c>
    </row>
    <row r="8247" spans="1:4">
      <c r="A8247">
        <v>1.008173</v>
      </c>
      <c r="B8247">
        <v>5.9994180000000004</v>
      </c>
      <c r="C8247">
        <f>LOG10(1.008173)</f>
        <v>3.5350623661398704E-3</v>
      </c>
      <c r="D8247">
        <f>LOG10(5.999418)</f>
        <v>0.77810912177562852</v>
      </c>
    </row>
    <row r="8248" spans="1:4">
      <c r="A8248">
        <v>1.0220039999999999</v>
      </c>
      <c r="B8248">
        <v>6.5214030000000003</v>
      </c>
      <c r="C8248">
        <f>LOG10(1.022004)</f>
        <v>9.4525955780755504E-3</v>
      </c>
      <c r="D8248">
        <f>LOG10(6.521403)</f>
        <v>0.81434103892364751</v>
      </c>
    </row>
    <row r="8249" spans="1:4">
      <c r="A8249">
        <v>1.028834</v>
      </c>
      <c r="B8249">
        <v>6.3282239999999996</v>
      </c>
      <c r="C8249">
        <f>LOG10(1.028834)</f>
        <v>1.2345307998882222E-2</v>
      </c>
      <c r="D8249">
        <f>LOG10(6.328224)</f>
        <v>0.80128184347353004</v>
      </c>
    </row>
    <row r="8250" spans="1:4">
      <c r="A8250">
        <v>1.018248</v>
      </c>
      <c r="B8250">
        <v>6.5720200000000002</v>
      </c>
      <c r="C8250">
        <f>LOG10(1.018248)</f>
        <v>7.8535657358729614E-3</v>
      </c>
      <c r="D8250">
        <f>LOG10(6.57202)</f>
        <v>0.81769887641190142</v>
      </c>
    </row>
    <row r="8251" spans="1:4">
      <c r="A8251">
        <v>1.007077</v>
      </c>
      <c r="B8251">
        <v>6.4405260000000002</v>
      </c>
      <c r="C8251">
        <f>LOG10(1.007077)</f>
        <v>3.0626775016372168E-3</v>
      </c>
      <c r="D8251">
        <f>LOG10(6.440526)</f>
        <v>0.80892133778976316</v>
      </c>
    </row>
    <row r="8252" spans="1:4">
      <c r="A8252">
        <v>1.0145919999999999</v>
      </c>
      <c r="B8252">
        <v>6.6732899999999997</v>
      </c>
      <c r="C8252">
        <f>LOG10(1.014592)</f>
        <v>6.291433607688586E-3</v>
      </c>
      <c r="D8252">
        <f>LOG10(6.67329)</f>
        <v>0.82433999832044291</v>
      </c>
    </row>
    <row r="8253" spans="1:4">
      <c r="A8253">
        <v>1.0219720000000001</v>
      </c>
      <c r="B8253">
        <v>5.7956510000000003</v>
      </c>
      <c r="C8253">
        <f>LOG10(1.021972)</f>
        <v>9.4389971567418775E-3</v>
      </c>
      <c r="D8253">
        <f>LOG10(5.795651)</f>
        <v>0.76310222542963324</v>
      </c>
    </row>
    <row r="8254" spans="1:4">
      <c r="A8254">
        <v>1.0213950000000001</v>
      </c>
      <c r="B8254">
        <v>6.7887649999999997</v>
      </c>
      <c r="C8254">
        <f>LOG10(1.021395)</f>
        <v>9.1937275378055246E-3</v>
      </c>
      <c r="D8254">
        <f>LOG10(6.788765)</f>
        <v>0.83179077538971458</v>
      </c>
    </row>
    <row r="8255" spans="1:4">
      <c r="A8255">
        <v>1.0171479999999999</v>
      </c>
      <c r="B8255">
        <v>6.4720940000000002</v>
      </c>
      <c r="C8255">
        <f>LOG10(1.017148)</f>
        <v>7.3841494880240895E-3</v>
      </c>
      <c r="D8255">
        <f>LOG10(6.472094)</f>
        <v>0.811044816296558</v>
      </c>
    </row>
    <row r="8256" spans="1:4">
      <c r="A8256">
        <v>1.012402</v>
      </c>
      <c r="B8256">
        <v>7.161492</v>
      </c>
      <c r="C8256">
        <f>LOG10(1.012402)</f>
        <v>5.3529944357483018E-3</v>
      </c>
      <c r="D8256">
        <f>LOG10(7.161492)</f>
        <v>0.85500351111577355</v>
      </c>
    </row>
    <row r="8257" spans="1:4">
      <c r="A8257">
        <v>1.0157309999999999</v>
      </c>
      <c r="B8257">
        <v>6.7821769999999999</v>
      </c>
      <c r="C8257">
        <f>LOG10(1.015731)</f>
        <v>6.7787072747654388E-3</v>
      </c>
      <c r="D8257">
        <f>LOG10(6.782177)</f>
        <v>0.83136911972697125</v>
      </c>
    </row>
    <row r="8258" spans="1:4">
      <c r="A8258">
        <v>1.020723</v>
      </c>
      <c r="B8258">
        <v>6.5076679999999998</v>
      </c>
      <c r="C8258">
        <f>LOG10(1.020723)</f>
        <v>8.907900859451607E-3</v>
      </c>
      <c r="D8258">
        <f>LOG10(6.507668)</f>
        <v>0.81342538854173063</v>
      </c>
    </row>
    <row r="8259" spans="1:4">
      <c r="A8259">
        <v>1.009206</v>
      </c>
      <c r="B8259">
        <v>6.7178990000000001</v>
      </c>
      <c r="C8259">
        <f>LOG10(1.009206)</f>
        <v>3.9798238502391763E-3</v>
      </c>
      <c r="D8259">
        <f>LOG10(6.717899)</f>
        <v>0.82723347017066418</v>
      </c>
    </row>
    <row r="8260" spans="1:4">
      <c r="A8260">
        <v>1.0302579999999999</v>
      </c>
      <c r="B8260">
        <v>7.1511509999999996</v>
      </c>
      <c r="C8260">
        <f>LOG10(1.030258)</f>
        <v>1.2945995526027359E-2</v>
      </c>
      <c r="D8260">
        <f>LOG10(7.151151)</f>
        <v>0.85437594847499099</v>
      </c>
    </row>
    <row r="8261" spans="1:4">
      <c r="A8261">
        <v>1.0211600000000001</v>
      </c>
      <c r="B8261">
        <v>6.6837460000000002</v>
      </c>
      <c r="C8261">
        <f>LOG10(1.02116)</f>
        <v>9.0937946560005548E-3</v>
      </c>
      <c r="D8261">
        <f>LOG10(6.683746)</f>
        <v>0.82501993719765121</v>
      </c>
    </row>
    <row r="8262" spans="1:4">
      <c r="A8262">
        <v>1.0110189999999999</v>
      </c>
      <c r="B8262">
        <v>7.927861</v>
      </c>
      <c r="C8262">
        <f>LOG10(1.011019)</f>
        <v>4.7593173294974448E-3</v>
      </c>
      <c r="D8262">
        <f>LOG10(7.927861)</f>
        <v>0.89915602701427855</v>
      </c>
    </row>
    <row r="8263" spans="1:4">
      <c r="A8263">
        <v>1.025404</v>
      </c>
      <c r="B8263">
        <v>7.071809</v>
      </c>
      <c r="C8263">
        <f>LOG10(1.025404)</f>
        <v>1.0895007247679981E-2</v>
      </c>
      <c r="D8263">
        <f>LOG10(7.071809)</f>
        <v>0.84953052245662575</v>
      </c>
    </row>
    <row r="8264" spans="1:4">
      <c r="A8264">
        <v>1.0181450000000001</v>
      </c>
      <c r="B8264">
        <v>6.7294679999999998</v>
      </c>
      <c r="C8264">
        <f>LOG10(1.018145)</f>
        <v>7.8096328293326559E-3</v>
      </c>
      <c r="D8264">
        <f>LOG10(6.729468)</f>
        <v>0.82798073230766445</v>
      </c>
    </row>
    <row r="8265" spans="1:4">
      <c r="A8265">
        <v>1.0184709999999999</v>
      </c>
      <c r="B8265">
        <v>6.7396640000000003</v>
      </c>
      <c r="C8265">
        <f>LOG10(1.018471)</f>
        <v>7.9486673869611762E-3</v>
      </c>
      <c r="D8265">
        <f>LOG10(6.739664)</f>
        <v>0.82863824570693867</v>
      </c>
    </row>
    <row r="8266" spans="1:4">
      <c r="A8266">
        <v>1.0129429999999999</v>
      </c>
      <c r="B8266">
        <v>7.6505369999999999</v>
      </c>
      <c r="C8266">
        <f>LOG10(1.012943)</f>
        <v>5.5850075696070988E-3</v>
      </c>
      <c r="D8266">
        <f>LOG10(7.650537)</f>
        <v>0.88369191985319095</v>
      </c>
    </row>
    <row r="8267" spans="1:4">
      <c r="A8267">
        <v>1.017374</v>
      </c>
      <c r="B8267">
        <v>6.2884219999999997</v>
      </c>
      <c r="C8267">
        <f>LOG10(1.017374)</f>
        <v>7.4806346116195726E-3</v>
      </c>
      <c r="D8267">
        <f>LOG10(6.288422)</f>
        <v>0.79854167840694901</v>
      </c>
    </row>
    <row r="8268" spans="1:4">
      <c r="A8268">
        <v>1.017234</v>
      </c>
      <c r="B8268">
        <v>6.9337099999999996</v>
      </c>
      <c r="C8268">
        <f>LOG10(1.017234)</f>
        <v>7.4208675925550392E-3</v>
      </c>
      <c r="D8268">
        <f>LOG10(6.93371)</f>
        <v>0.84096567348514184</v>
      </c>
    </row>
    <row r="8269" spans="1:4">
      <c r="A8269">
        <v>1.009247</v>
      </c>
      <c r="B8269">
        <v>2.058281</v>
      </c>
      <c r="C8269">
        <f>LOG10(1.009247)</f>
        <v>3.9974671382032399E-3</v>
      </c>
      <c r="D8269">
        <f>LOG10(2.058281)</f>
        <v>0.31350466509050745</v>
      </c>
    </row>
    <row r="8270" spans="1:4">
      <c r="A8270">
        <v>1.0047630000000001</v>
      </c>
      <c r="B8270">
        <v>2.4971199999999998</v>
      </c>
      <c r="C8270">
        <f>LOG10(1.004763)</f>
        <v>2.0636339650833648E-3</v>
      </c>
      <c r="D8270">
        <f>LOG10(2.49712)</f>
        <v>0.39743941303040164</v>
      </c>
    </row>
    <row r="8271" spans="1:4">
      <c r="A8271">
        <v>1.01353</v>
      </c>
      <c r="B8271">
        <v>7.4325809999999999</v>
      </c>
      <c r="C8271">
        <f>LOG10(1.01353)</f>
        <v>5.8366081268386638E-3</v>
      </c>
      <c r="D8271">
        <f>LOG10(7.432581)</f>
        <v>0.87113965082838474</v>
      </c>
    </row>
    <row r="8272" spans="1:4">
      <c r="A8272">
        <v>1.009876</v>
      </c>
      <c r="B8272">
        <v>6.8510609999999996</v>
      </c>
      <c r="C8272">
        <f>LOG10(1.009876)</f>
        <v>4.2680511867766334E-3</v>
      </c>
      <c r="D8272">
        <f>LOG10(6.851061)</f>
        <v>0.83575783437757301</v>
      </c>
    </row>
    <row r="8273" spans="1:4">
      <c r="A8273">
        <v>1.0147109999999999</v>
      </c>
      <c r="B8273">
        <v>7.447419</v>
      </c>
      <c r="C8273">
        <f>LOG10(1.014711)</f>
        <v>6.3423683802737718E-3</v>
      </c>
      <c r="D8273">
        <f>LOG10(7.447419)</f>
        <v>0.87200578841687848</v>
      </c>
    </row>
    <row r="8274" spans="1:4">
      <c r="A8274">
        <v>1.012756</v>
      </c>
      <c r="B8274">
        <v>7.5553559999999997</v>
      </c>
      <c r="C8274">
        <f>LOG10(1.012756)</f>
        <v>5.5048248096347873E-3</v>
      </c>
      <c r="D8274">
        <f>LOG10(7.555356)</f>
        <v>0.8782549326317618</v>
      </c>
    </row>
    <row r="8275" spans="1:4">
      <c r="A8275">
        <v>1.0129140000000001</v>
      </c>
      <c r="B8275">
        <v>7.1722210000000004</v>
      </c>
      <c r="C8275">
        <f>LOG10(1.012914)</f>
        <v>5.572573779881582E-3</v>
      </c>
      <c r="D8275">
        <f>LOG10(7.172221)</f>
        <v>0.85565366315475322</v>
      </c>
    </row>
    <row r="8276" spans="1:4">
      <c r="A8276">
        <v>1.0138400000000001</v>
      </c>
      <c r="B8276">
        <v>6.255655</v>
      </c>
      <c r="C8276">
        <f>LOG10(1.01384)</f>
        <v>5.9694218613215453E-3</v>
      </c>
      <c r="D8276">
        <f>LOG10(6.255655)</f>
        <v>0.79627278932803924</v>
      </c>
    </row>
    <row r="8277" spans="1:4">
      <c r="A8277">
        <v>1.017817</v>
      </c>
      <c r="B8277">
        <v>7.3385980000000002</v>
      </c>
      <c r="C8277">
        <f>LOG10(1.017817)</f>
        <v>7.669700363700494E-3</v>
      </c>
      <c r="D8277">
        <f>LOG10(7.338598)</f>
        <v>0.86561309819650034</v>
      </c>
    </row>
    <row r="8278" spans="1:4">
      <c r="A8278">
        <v>1.0121640000000001</v>
      </c>
      <c r="B8278">
        <v>7.491098</v>
      </c>
      <c r="C8278">
        <f>LOG10(1.012164)</f>
        <v>5.2508865398643526E-3</v>
      </c>
      <c r="D8278">
        <f>LOG10(7.491098)</f>
        <v>0.87454547863299537</v>
      </c>
    </row>
    <row r="8279" spans="1:4">
      <c r="A8279">
        <v>1.017943</v>
      </c>
      <c r="B8279">
        <v>7.5138930000000004</v>
      </c>
      <c r="C8279">
        <f>LOG10(1.017943)</f>
        <v>7.7234602418685639E-3</v>
      </c>
      <c r="D8279">
        <f>LOG10(7.513893)</f>
        <v>0.8758650062929193</v>
      </c>
    </row>
    <row r="8280" spans="1:4">
      <c r="A8280">
        <v>1.0158339999999999</v>
      </c>
      <c r="B8280">
        <v>7.2499260000000003</v>
      </c>
      <c r="C8280">
        <f>LOG10(1.015834)</f>
        <v>6.8227445875507524E-3</v>
      </c>
      <c r="D8280">
        <f>LOG10(7.249926)</f>
        <v>0.86033357374952124</v>
      </c>
    </row>
    <row r="8281" spans="1:4">
      <c r="A8281">
        <v>1.0193160000000001</v>
      </c>
      <c r="B8281">
        <v>7.7210979999999996</v>
      </c>
      <c r="C8281">
        <f>LOG10(1.019316)</f>
        <v>8.3088412993887629E-3</v>
      </c>
      <c r="D8281">
        <f>LOG10(7.721098)</f>
        <v>0.88767906477009606</v>
      </c>
    </row>
    <row r="8282" spans="1:4">
      <c r="A8282">
        <v>1.026921</v>
      </c>
      <c r="B8282">
        <v>7.6860390000000001</v>
      </c>
      <c r="C8282">
        <f>LOG10(1.026921)</f>
        <v>1.1537035044478661E-2</v>
      </c>
      <c r="D8282">
        <f>LOG10(7.686039)</f>
        <v>0.88570258380277989</v>
      </c>
    </row>
    <row r="8283" spans="1:4">
      <c r="A8283">
        <v>1.00668</v>
      </c>
      <c r="B8283">
        <v>3.601172</v>
      </c>
      <c r="C8283">
        <f>LOG10(1.00668)</f>
        <v>2.8914404441876236E-3</v>
      </c>
      <c r="D8283">
        <f>LOG10(3.601172)</f>
        <v>0.55644386473895313</v>
      </c>
    </row>
    <row r="8284" spans="1:4">
      <c r="A8284">
        <v>1.0115860000000001</v>
      </c>
      <c r="B8284">
        <v>3.7971249999999999</v>
      </c>
      <c r="C8284">
        <f>LOG10(1.011586)</f>
        <v>5.0028102286939604E-3</v>
      </c>
      <c r="D8284">
        <f>LOG10(3.797125)</f>
        <v>0.57945489419449214</v>
      </c>
    </row>
    <row r="8285" spans="1:4">
      <c r="A8285">
        <v>1.0205979999999999</v>
      </c>
      <c r="B8285">
        <v>3.709101</v>
      </c>
      <c r="C8285">
        <f>LOG10(1.020598)</f>
        <v>8.8547129381929442E-3</v>
      </c>
      <c r="D8285">
        <f>LOG10(3.709101)</f>
        <v>0.56926865946650584</v>
      </c>
    </row>
    <row r="8286" spans="1:4">
      <c r="A8286">
        <v>1.0099720000000001</v>
      </c>
      <c r="B8286">
        <v>3.8039429999999999</v>
      </c>
      <c r="C8286">
        <f>LOG10(1.009972)</f>
        <v>4.3093337687275003E-3</v>
      </c>
      <c r="D8286">
        <f>LOG10(3.803943)</f>
        <v>0.58023400064946251</v>
      </c>
    </row>
    <row r="8287" spans="1:4">
      <c r="A8287">
        <v>1.0433129999999999</v>
      </c>
      <c r="B8287">
        <v>3.4353669999999998</v>
      </c>
      <c r="C8287">
        <f>LOG10(1.043313)</f>
        <v>1.8414618858240341E-2</v>
      </c>
      <c r="D8287">
        <f>LOG10(3.435367)</f>
        <v>0.53597313952102887</v>
      </c>
    </row>
    <row r="8288" spans="1:4">
      <c r="A8288">
        <v>1.0254829999999999</v>
      </c>
      <c r="B8288">
        <v>3.7260490000000002</v>
      </c>
      <c r="C8288">
        <f>LOG10(1.025483)</f>
        <v>1.0928465223753065E-2</v>
      </c>
      <c r="D8288">
        <f>LOG10(3.726049)</f>
        <v>0.57124856185643613</v>
      </c>
    </row>
    <row r="8289" spans="1:4">
      <c r="A8289">
        <v>1.028348</v>
      </c>
      <c r="B8289">
        <v>2.9002720000000002</v>
      </c>
      <c r="C8289">
        <f>LOG10(1.028348)</f>
        <v>1.2140107756869932E-2</v>
      </c>
      <c r="D8289">
        <f>LOG10(2.900272)</f>
        <v>0.46243872981606771</v>
      </c>
    </row>
    <row r="8290" spans="1:4">
      <c r="A8290">
        <v>1.010408</v>
      </c>
      <c r="B8290">
        <v>3.7043840000000001</v>
      </c>
      <c r="C8290">
        <f>LOG10(1.010408)</f>
        <v>4.4967761281342958E-3</v>
      </c>
      <c r="D8290">
        <f>LOG10(3.704384)</f>
        <v>0.56871599972615772</v>
      </c>
    </row>
    <row r="8291" spans="1:4">
      <c r="A8291">
        <v>1.016351</v>
      </c>
      <c r="B8291">
        <v>3.7233329999999998</v>
      </c>
      <c r="C8291">
        <f>LOG10(1.016351)</f>
        <v>7.0437188118345354E-3</v>
      </c>
      <c r="D8291">
        <f>LOG10(3.723333)</f>
        <v>0.57093187951550783</v>
      </c>
    </row>
    <row r="8292" spans="1:4">
      <c r="A8292">
        <v>1.0241549999999999</v>
      </c>
      <c r="B8292">
        <v>3.6827640000000001</v>
      </c>
      <c r="C8292">
        <f>LOG10(1.024155)</f>
        <v>1.036568959930328E-2</v>
      </c>
      <c r="D8292">
        <f>LOG10(3.682764)</f>
        <v>0.56617388915584466</v>
      </c>
    </row>
    <row r="8293" spans="1:4">
      <c r="A8293">
        <v>1.0142500000000001</v>
      </c>
      <c r="B8293">
        <v>3.4954170000000002</v>
      </c>
      <c r="C8293">
        <f>LOG10(1.01425)</f>
        <v>6.1450163763638365E-3</v>
      </c>
      <c r="D8293">
        <f>LOG10(3.495417)</f>
        <v>0.54349899410056879</v>
      </c>
    </row>
    <row r="8294" spans="1:4">
      <c r="A8294">
        <v>1.0371109999999999</v>
      </c>
      <c r="B8294">
        <v>3.6008719999999999</v>
      </c>
      <c r="C8294">
        <f>LOG10(1.037111)</f>
        <v>1.5825240581581513E-2</v>
      </c>
      <c r="D8294">
        <f>LOG10(3.600872)</f>
        <v>0.5564076838034725</v>
      </c>
    </row>
    <row r="8295" spans="1:4">
      <c r="A8295">
        <v>1.0082070000000001</v>
      </c>
      <c r="B8295">
        <v>3.562157</v>
      </c>
      <c r="C8295">
        <f>LOG10(1.008207)</f>
        <v>3.5497084272852384E-3</v>
      </c>
      <c r="D8295">
        <f>LOG10(3.562157)</f>
        <v>0.55171305682600258</v>
      </c>
    </row>
    <row r="8296" spans="1:4">
      <c r="A8296">
        <v>1.0117370000000001</v>
      </c>
      <c r="B8296">
        <v>3.722296</v>
      </c>
      <c r="C8296">
        <f>LOG10(1.011737)</f>
        <v>5.067632767546279E-3</v>
      </c>
      <c r="D8296">
        <f>LOG10(3.722296)</f>
        <v>0.57081090561776304</v>
      </c>
    </row>
    <row r="8297" spans="1:4">
      <c r="A8297">
        <v>1.007973</v>
      </c>
      <c r="B8297">
        <v>4.0556159999999997</v>
      </c>
      <c r="C8297">
        <f>LOG10(1.007973)</f>
        <v>3.4488990657979787E-3</v>
      </c>
      <c r="D8297">
        <f>LOG10(4.055616)</f>
        <v>0.60805682774146708</v>
      </c>
    </row>
    <row r="8298" spans="1:4">
      <c r="A8298">
        <v>1.0086889999999999</v>
      </c>
      <c r="B8298">
        <v>3.8437109999999999</v>
      </c>
      <c r="C8298">
        <f>LOG10(1.008689)</f>
        <v>3.7572847666328228E-3</v>
      </c>
      <c r="D8298">
        <f>LOG10(3.843711)</f>
        <v>0.58475072659702776</v>
      </c>
    </row>
    <row r="8299" spans="1:4">
      <c r="A8299">
        <v>1.0100119999999999</v>
      </c>
      <c r="B8299">
        <v>3.8180519999999998</v>
      </c>
      <c r="C8299">
        <f>LOG10(1.010012)</f>
        <v>4.326533686428157E-3</v>
      </c>
      <c r="D8299">
        <f>LOG10(3.818052)</f>
        <v>0.58184183897626274</v>
      </c>
    </row>
    <row r="8300" spans="1:4">
      <c r="A8300">
        <v>1.041595</v>
      </c>
      <c r="B8300">
        <v>3.6553779999999998</v>
      </c>
      <c r="C8300">
        <f>LOG10(1.041595)</f>
        <v>1.769888647217608E-2</v>
      </c>
      <c r="D8300">
        <f>LOG10(3.655378)</f>
        <v>0.5629322936949358</v>
      </c>
    </row>
    <row r="8301" spans="1:4">
      <c r="A8301">
        <v>1.0053570000000001</v>
      </c>
      <c r="B8301">
        <v>3.4539789999999999</v>
      </c>
      <c r="C8301">
        <f>LOG10(1.005357)</f>
        <v>2.3203061336697791E-3</v>
      </c>
      <c r="D8301">
        <f>LOG10(3.453979)</f>
        <v>0.5383196927531988</v>
      </c>
    </row>
    <row r="8302" spans="1:4">
      <c r="A8302">
        <v>1.0268489999999999</v>
      </c>
      <c r="B8302">
        <v>3.4998499999999999</v>
      </c>
      <c r="C8302">
        <f>LOG10(1.026849)</f>
        <v>1.1506584504535166E-2</v>
      </c>
      <c r="D8302">
        <f>LOG10(3.49985)</f>
        <v>0.54404943133076933</v>
      </c>
    </row>
    <row r="8303" spans="1:4">
      <c r="A8303">
        <v>1.00407</v>
      </c>
      <c r="B8303">
        <v>3.5138989999999999</v>
      </c>
      <c r="C8303">
        <f>LOG10(1.00407)</f>
        <v>1.7639912492397141E-3</v>
      </c>
      <c r="D8303">
        <f>LOG10(3.513899)</f>
        <v>0.54578927441224889</v>
      </c>
    </row>
    <row r="8304" spans="1:4">
      <c r="A8304">
        <v>1.013333</v>
      </c>
      <c r="B8304">
        <v>3.7319870000000002</v>
      </c>
      <c r="C8304">
        <f>LOG10(1.013333)</f>
        <v>5.7521860290408837E-3</v>
      </c>
      <c r="D8304">
        <f>LOG10(3.731987)</f>
        <v>0.57194012225610813</v>
      </c>
    </row>
    <row r="8305" spans="1:4">
      <c r="A8305">
        <v>1.0064219999999999</v>
      </c>
      <c r="B8305">
        <v>3.4992179999999999</v>
      </c>
      <c r="C8305">
        <f>LOG10(1.006422)</f>
        <v>2.7801217162299295E-3</v>
      </c>
      <c r="D8305">
        <f>LOG10(3.499218)</f>
        <v>0.54397099971292862</v>
      </c>
    </row>
    <row r="8306" spans="1:4">
      <c r="A8306">
        <v>1.008073</v>
      </c>
      <c r="B8306">
        <v>3.6802579999999998</v>
      </c>
      <c r="C8306">
        <f>LOG10(1.008073)</f>
        <v>3.4919828528007929E-3</v>
      </c>
      <c r="D8306">
        <f>LOG10(3.680258)</f>
        <v>0.56587826542589426</v>
      </c>
    </row>
    <row r="8307" spans="1:4">
      <c r="A8307">
        <v>1.016489</v>
      </c>
      <c r="B8307">
        <v>3.7826620000000002</v>
      </c>
      <c r="C8307">
        <f>LOG10(1.016489)</f>
        <v>7.1026832542842129E-3</v>
      </c>
      <c r="D8307">
        <f>LOG10(3.782662)</f>
        <v>0.57779753661577571</v>
      </c>
    </row>
    <row r="8308" spans="1:4">
      <c r="A8308">
        <v>1.0485040000000001</v>
      </c>
      <c r="B8308">
        <v>3.821485</v>
      </c>
      <c r="C8308">
        <f>LOG10(1.048504)</f>
        <v>2.0570091620260144E-2</v>
      </c>
      <c r="D8308">
        <f>LOG10(3.821485)</f>
        <v>0.58223215924219818</v>
      </c>
    </row>
    <row r="8309" spans="1:4">
      <c r="A8309">
        <v>1.005266</v>
      </c>
      <c r="B8309">
        <v>3.625286</v>
      </c>
      <c r="C8309">
        <f>LOG10(1.005266)</f>
        <v>2.2809941414363181E-3</v>
      </c>
      <c r="D8309">
        <f>LOG10(3.625286)</f>
        <v>0.5593422738924696</v>
      </c>
    </row>
    <row r="8310" spans="1:4">
      <c r="A8310">
        <v>1.016691</v>
      </c>
      <c r="B8310">
        <v>3.7253440000000002</v>
      </c>
      <c r="C8310">
        <f>LOG10(1.016691)</f>
        <v>7.1889790919701223E-3</v>
      </c>
      <c r="D8310">
        <f>LOG10(3.725344)</f>
        <v>0.57116638189071545</v>
      </c>
    </row>
    <row r="8311" spans="1:4">
      <c r="A8311">
        <v>1.010996</v>
      </c>
      <c r="B8311">
        <v>3.4371839999999998</v>
      </c>
      <c r="C8311">
        <f>LOG10(1.010996)</f>
        <v>4.7494373107199823E-3</v>
      </c>
      <c r="D8311">
        <f>LOG10(3.437184)</f>
        <v>0.53620278149589518</v>
      </c>
    </row>
    <row r="8312" spans="1:4">
      <c r="A8312">
        <v>1.0065120000000001</v>
      </c>
      <c r="B8312">
        <v>3.8017129999999999</v>
      </c>
      <c r="C8312">
        <f>LOG10(1.006512)</f>
        <v>2.8189570713855394E-3</v>
      </c>
      <c r="D8312">
        <f>LOG10(3.801713)</f>
        <v>0.57997932788424755</v>
      </c>
    </row>
    <row r="8313" spans="1:4">
      <c r="A8313">
        <v>1.0097370000000001</v>
      </c>
      <c r="B8313">
        <v>3.5211939999999999</v>
      </c>
      <c r="C8313">
        <f>LOG10(1.009737)</f>
        <v>4.2082704930696494E-3</v>
      </c>
      <c r="D8313">
        <f>LOG10(3.521194)</f>
        <v>0.54668995316120539</v>
      </c>
    </row>
    <row r="8314" spans="1:4">
      <c r="A8314">
        <v>1.00369</v>
      </c>
      <c r="B8314">
        <v>3.513674</v>
      </c>
      <c r="C8314">
        <f>LOG10(1.00369)</f>
        <v>1.5995971930837804E-3</v>
      </c>
      <c r="D8314">
        <f>LOG10(3.513674)</f>
        <v>0.54576146502244627</v>
      </c>
    </row>
    <row r="8315" spans="1:4">
      <c r="A8315">
        <v>1.017849</v>
      </c>
      <c r="B8315">
        <v>3.6229939999999998</v>
      </c>
      <c r="C8315">
        <f>LOG10(1.017849)</f>
        <v>7.6833542965382608E-3</v>
      </c>
      <c r="D8315">
        <f>LOG10(3.622994)</f>
        <v>0.55906761480487932</v>
      </c>
    </row>
    <row r="8316" spans="1:4">
      <c r="A8316">
        <v>1.0123819999999999</v>
      </c>
      <c r="B8316">
        <v>3.8324220000000002</v>
      </c>
      <c r="C8316">
        <f>LOG10(1.012382)</f>
        <v>5.3444148641610071E-3</v>
      </c>
      <c r="D8316">
        <f>LOG10(3.832422)</f>
        <v>0.58347332456638434</v>
      </c>
    </row>
    <row r="8317" spans="1:4">
      <c r="A8317">
        <v>1.002453</v>
      </c>
      <c r="B8317">
        <v>3.432588</v>
      </c>
      <c r="C8317">
        <f>LOG10(1.002453)</f>
        <v>1.0640198766124929E-3</v>
      </c>
      <c r="D8317">
        <f>LOG10(3.432588)</f>
        <v>0.53562167989991116</v>
      </c>
    </row>
    <row r="8318" spans="1:4">
      <c r="A8318">
        <v>1.0031030000000001</v>
      </c>
      <c r="B8318">
        <v>3.5988169999999999</v>
      </c>
      <c r="C8318">
        <f>LOG10(1.003103)</f>
        <v>1.3455292666481235E-3</v>
      </c>
      <c r="D8318">
        <f>LOG10(3.598817)</f>
        <v>0.55615976332119954</v>
      </c>
    </row>
    <row r="8319" spans="1:4">
      <c r="A8319">
        <v>1.009701</v>
      </c>
      <c r="B8319">
        <v>3.4956049999999999</v>
      </c>
      <c r="C8319">
        <f>LOG10(1.009701)</f>
        <v>4.1927863817968732E-3</v>
      </c>
      <c r="D8319">
        <f>LOG10(3.495605)</f>
        <v>0.54352235187647546</v>
      </c>
    </row>
    <row r="8320" spans="1:4">
      <c r="A8320">
        <v>1.0054129999999999</v>
      </c>
      <c r="B8320">
        <v>3.5477750000000001</v>
      </c>
      <c r="C8320">
        <f>LOG10(1.005413)</f>
        <v>2.3444963602922151E-3</v>
      </c>
      <c r="D8320">
        <f>LOG10(3.547775)</f>
        <v>0.54995606906359329</v>
      </c>
    </row>
    <row r="8321" spans="1:4">
      <c r="A8321">
        <v>1.0368459999999999</v>
      </c>
      <c r="B8321">
        <v>3.6427529999999999</v>
      </c>
      <c r="C8321">
        <f>LOG10(1.036846)</f>
        <v>1.5714256565682753E-2</v>
      </c>
      <c r="D8321">
        <f>LOG10(3.642753)</f>
        <v>0.56142972452938766</v>
      </c>
    </row>
    <row r="8322" spans="1:4">
      <c r="A8322">
        <v>1.0055019999999999</v>
      </c>
      <c r="B8322">
        <v>3.5711330000000001</v>
      </c>
      <c r="C8322">
        <f>LOG10(1.005502)</f>
        <v>2.3829387697571892E-3</v>
      </c>
      <c r="D8322">
        <f>LOG10(3.571133)</f>
        <v>0.55280602495908771</v>
      </c>
    </row>
    <row r="8323" spans="1:4">
      <c r="A8323">
        <v>1.009557</v>
      </c>
      <c r="B8323">
        <v>3.2937059999999998</v>
      </c>
      <c r="C8323">
        <f>LOG10(1.009557)</f>
        <v>4.1308444154903885E-3</v>
      </c>
      <c r="D8323">
        <f>LOG10(3.293706)</f>
        <v>0.51768483093693618</v>
      </c>
    </row>
    <row r="8324" spans="1:4">
      <c r="A8324">
        <v>1.0049140000000001</v>
      </c>
      <c r="B8324">
        <v>3.581467</v>
      </c>
      <c r="C8324">
        <f>LOG10(1.004914)</f>
        <v>2.1288966584323997E-3</v>
      </c>
      <c r="D8324">
        <f>LOG10(3.581467)</f>
        <v>0.55406095387969445</v>
      </c>
    </row>
    <row r="8325" spans="1:4">
      <c r="A8325">
        <v>1.0044010000000001</v>
      </c>
      <c r="B8325">
        <v>3.6166809999999998</v>
      </c>
      <c r="C8325">
        <f>LOG10(1.004401)</f>
        <v>1.9071364326269046E-3</v>
      </c>
      <c r="D8325">
        <f>LOG10(3.616681)</f>
        <v>0.55831020462854641</v>
      </c>
    </row>
    <row r="8326" spans="1:4">
      <c r="A8326">
        <v>1.0211680000000001</v>
      </c>
      <c r="B8326">
        <v>3.6720380000000001</v>
      </c>
      <c r="C8326">
        <f>LOG10(1.021168)</f>
        <v>9.0971970045510796E-3</v>
      </c>
      <c r="D8326">
        <f>LOG10(3.672038)</f>
        <v>0.56490716683882369</v>
      </c>
    </row>
    <row r="8327" spans="1:4">
      <c r="A8327">
        <v>1.024224</v>
      </c>
      <c r="B8327">
        <v>3.5729989999999998</v>
      </c>
      <c r="C8327">
        <f>LOG10(1.024224)</f>
        <v>1.0394948168408608E-2</v>
      </c>
      <c r="D8327">
        <f>LOG10(3.572999)</f>
        <v>0.55303289465344951</v>
      </c>
    </row>
    <row r="8328" spans="1:4">
      <c r="A8328">
        <v>1.0272570000000001</v>
      </c>
      <c r="B8328">
        <v>3.5507810000000002</v>
      </c>
      <c r="C8328">
        <f>LOG10(1.027257)</f>
        <v>1.1679109341078979E-2</v>
      </c>
      <c r="D8328">
        <f>LOG10(3.550781)</f>
        <v>0.55032388733272752</v>
      </c>
    </row>
    <row r="8329" spans="1:4">
      <c r="A8329">
        <v>1.005206</v>
      </c>
      <c r="B8329">
        <v>3.3600810000000001</v>
      </c>
      <c r="C8329">
        <f>LOG10(1.005206)</f>
        <v>2.2550721998008129E-3</v>
      </c>
      <c r="D8329">
        <f>LOG10(3.360081)</f>
        <v>0.52634974686276736</v>
      </c>
    </row>
    <row r="8330" spans="1:4">
      <c r="A8330">
        <v>1.015285</v>
      </c>
      <c r="B8330">
        <v>3.6486450000000001</v>
      </c>
      <c r="C8330">
        <f>LOG10(1.015285)</f>
        <v>6.5879698881153382E-3</v>
      </c>
      <c r="D8330">
        <f>LOG10(3.648645)</f>
        <v>0.56213161013331203</v>
      </c>
    </row>
    <row r="8331" spans="1:4">
      <c r="A8331">
        <v>1.0048969999999999</v>
      </c>
      <c r="B8331">
        <v>3.4934470000000002</v>
      </c>
      <c r="C8331">
        <f>LOG10(1.004897)</f>
        <v>2.1215496927798091E-3</v>
      </c>
      <c r="D8331">
        <f>LOG10(3.493447)</f>
        <v>0.54325415884493677</v>
      </c>
    </row>
    <row r="8332" spans="1:4">
      <c r="A8332">
        <v>1.0074669999999999</v>
      </c>
      <c r="B8332">
        <v>3.7903630000000001</v>
      </c>
      <c r="C8332">
        <f>LOG10(1.007467)</f>
        <v>3.2308295499996857E-3</v>
      </c>
      <c r="D8332">
        <f>LOG10(3.790363)</f>
        <v>0.57868080399122179</v>
      </c>
    </row>
    <row r="8333" spans="1:4">
      <c r="A8333">
        <v>1.0035609999999999</v>
      </c>
      <c r="B8333">
        <v>3.4777239999999998</v>
      </c>
      <c r="C8333">
        <f>LOG10(1.003561)</f>
        <v>1.543775586077312E-3</v>
      </c>
      <c r="D8333">
        <f>LOG10(3.477724)</f>
        <v>0.54129511244723749</v>
      </c>
    </row>
    <row r="8334" spans="1:4">
      <c r="A8334">
        <v>1.0182230000000001</v>
      </c>
      <c r="B8334">
        <v>3.5146519999999999</v>
      </c>
      <c r="C8334">
        <f>LOG10(1.018223)</f>
        <v>7.8429028174733361E-3</v>
      </c>
      <c r="D8334">
        <f>LOG10(3.514652)</f>
        <v>0.54588233022023103</v>
      </c>
    </row>
    <row r="8335" spans="1:4">
      <c r="A8335">
        <v>1.00796</v>
      </c>
      <c r="B8335">
        <v>3.5691440000000001</v>
      </c>
      <c r="C8335">
        <f>LOG10(1.00796)</f>
        <v>3.4432978595427726E-3</v>
      </c>
      <c r="D8335">
        <f>LOG10(3.569144)</f>
        <v>0.55256407027109777</v>
      </c>
    </row>
    <row r="8336" spans="1:4">
      <c r="A8336">
        <v>1.008526</v>
      </c>
      <c r="B8336">
        <v>3.5866500000000001</v>
      </c>
      <c r="C8336">
        <f>LOG10(1.008526)</f>
        <v>3.6870988908543228E-3</v>
      </c>
      <c r="D8336">
        <f>LOG10(3.58665)</f>
        <v>0.55468899850898423</v>
      </c>
    </row>
    <row r="8337" spans="1:4">
      <c r="A8337">
        <v>1.007055</v>
      </c>
      <c r="B8337">
        <v>3.4253719999999999</v>
      </c>
      <c r="C8337">
        <f>LOG10(1.007055)</f>
        <v>3.0531900612884837E-3</v>
      </c>
      <c r="D8337">
        <f>LOG10(3.425372)</f>
        <v>0.5347077433537778</v>
      </c>
    </row>
    <row r="8338" spans="1:4">
      <c r="A8338">
        <v>1.0089900000000001</v>
      </c>
      <c r="B8338">
        <v>3.3633000000000002</v>
      </c>
      <c r="C8338">
        <f>LOG10(1.00899)</f>
        <v>3.886862008624906E-3</v>
      </c>
      <c r="D8338">
        <f>LOG10(3.3633)</f>
        <v>0.52676560728896249</v>
      </c>
    </row>
    <row r="8339" spans="1:4">
      <c r="A8339">
        <v>1.018465</v>
      </c>
      <c r="B8339">
        <v>3.6132059999999999</v>
      </c>
      <c r="C8339">
        <f>LOG10(1.018465)</f>
        <v>7.9461088707472108E-3</v>
      </c>
      <c r="D8339">
        <f>LOG10(3.613206)</f>
        <v>0.55789272273959589</v>
      </c>
    </row>
    <row r="8340" spans="1:4">
      <c r="A8340">
        <v>1.008459</v>
      </c>
      <c r="B8340">
        <v>3.1463260000000002</v>
      </c>
      <c r="C8340">
        <f>LOG10(1.008459)</f>
        <v>3.6582461921002545E-3</v>
      </c>
      <c r="D8340">
        <f>LOG10(3.146326)</f>
        <v>0.49780371913472166</v>
      </c>
    </row>
    <row r="8341" spans="1:4">
      <c r="A8341">
        <v>1.0145580000000001</v>
      </c>
      <c r="B8341">
        <v>3.1756340000000001</v>
      </c>
      <c r="C8341">
        <f>LOG10(1.014558)</f>
        <v>6.2768797182412468E-3</v>
      </c>
      <c r="D8341">
        <f>LOG10(3.175634)</f>
        <v>0.50183044308130997</v>
      </c>
    </row>
    <row r="8342" spans="1:4">
      <c r="A8342">
        <v>1.0063660000000001</v>
      </c>
      <c r="B8342">
        <v>2.735195</v>
      </c>
      <c r="C8342">
        <f>LOG10(1.006366)</f>
        <v>2.7559557424733441E-3</v>
      </c>
      <c r="D8342">
        <f>LOG10(2.735195)</f>
        <v>0.43698829388886207</v>
      </c>
    </row>
    <row r="8343" spans="1:4">
      <c r="A8343">
        <v>1.0053639999999999</v>
      </c>
      <c r="B8343">
        <v>3.064962</v>
      </c>
      <c r="C8343">
        <f>LOG10(1.005364)</f>
        <v>2.3233299856843326E-3</v>
      </c>
      <c r="D8343">
        <f>LOG10(3.064962)</f>
        <v>0.4864250944196486</v>
      </c>
    </row>
    <row r="8344" spans="1:4">
      <c r="A8344">
        <v>1.0083260000000001</v>
      </c>
      <c r="B8344">
        <v>3.1162570000000001</v>
      </c>
      <c r="C8344">
        <f>LOG10(1.008326)</f>
        <v>3.6009657520168154E-3</v>
      </c>
      <c r="D8344">
        <f>LOG10(3.116257)</f>
        <v>0.49363326706191696</v>
      </c>
    </row>
    <row r="8345" spans="1:4">
      <c r="A8345">
        <v>1.0105029999999999</v>
      </c>
      <c r="B8345">
        <v>3.191459</v>
      </c>
      <c r="C8345">
        <f>LOG10(1.010503)</f>
        <v>4.5376071947286984E-3</v>
      </c>
      <c r="D8345">
        <f>LOG10(3.191459)</f>
        <v>0.50398926951213985</v>
      </c>
    </row>
    <row r="8346" spans="1:4">
      <c r="A8346">
        <v>1.0523830000000001</v>
      </c>
      <c r="B8346">
        <v>3.1362390000000002</v>
      </c>
      <c r="C8346">
        <f>LOG10(1.052383)</f>
        <v>2.2173823957732371E-2</v>
      </c>
      <c r="D8346">
        <f>LOG10(3.136239)</f>
        <v>0.49640915108705796</v>
      </c>
    </row>
    <row r="8347" spans="1:4">
      <c r="A8347">
        <v>1.00562</v>
      </c>
      <c r="B8347">
        <v>3.070214</v>
      </c>
      <c r="C8347">
        <f>LOG10(1.00562)</f>
        <v>2.4339021115369701E-3</v>
      </c>
      <c r="D8347">
        <f>LOG10(3.070214)</f>
        <v>0.48716864771824026</v>
      </c>
    </row>
    <row r="8348" spans="1:4">
      <c r="A8348">
        <v>1.0134479999999999</v>
      </c>
      <c r="B8348">
        <v>3.1065</v>
      </c>
      <c r="C8348">
        <f>LOG10(1.013448)</f>
        <v>5.801469958061742E-3</v>
      </c>
      <c r="D8348">
        <f>LOG10(3.1065)</f>
        <v>0.49227135794913385</v>
      </c>
    </row>
    <row r="8349" spans="1:4">
      <c r="A8349">
        <v>1.0044489999999999</v>
      </c>
      <c r="B8349">
        <v>3.0259330000000002</v>
      </c>
      <c r="C8349">
        <f>LOG10(1.004449)</f>
        <v>1.9278907299962928E-3</v>
      </c>
      <c r="D8349">
        <f>LOG10(3.025933)</f>
        <v>0.48085930767513058</v>
      </c>
    </row>
    <row r="8350" spans="1:4">
      <c r="A8350">
        <v>1.013558</v>
      </c>
      <c r="B8350">
        <v>3.1765330000000001</v>
      </c>
      <c r="C8350">
        <f>LOG10(1.013558)</f>
        <v>5.8486058748338458E-3</v>
      </c>
      <c r="D8350">
        <f>LOG10(3.176533)</f>
        <v>0.50195337144318641</v>
      </c>
    </row>
    <row r="8351" spans="1:4">
      <c r="A8351">
        <v>1.0068569999999999</v>
      </c>
      <c r="B8351">
        <v>3.1687150000000002</v>
      </c>
      <c r="C8351">
        <f>LOG10(1.006857)</f>
        <v>2.9677937701953596E-3</v>
      </c>
      <c r="D8351">
        <f>LOG10(3.168715)</f>
        <v>0.50088317970989604</v>
      </c>
    </row>
    <row r="8352" spans="1:4">
      <c r="A8352">
        <v>1.01359</v>
      </c>
      <c r="B8352">
        <v>3.3411140000000001</v>
      </c>
      <c r="C8352">
        <f>LOG10(1.01359)</f>
        <v>5.8623171809862058E-3</v>
      </c>
      <c r="D8352">
        <f>LOG10(3.341114)</f>
        <v>0.52389129417338587</v>
      </c>
    </row>
    <row r="8353" spans="1:4">
      <c r="A8353">
        <v>1.0107250000000001</v>
      </c>
      <c r="B8353">
        <v>3.1282269999999999</v>
      </c>
      <c r="C8353">
        <f>LOG10(1.010725)</f>
        <v>4.6330079860993799E-3</v>
      </c>
      <c r="D8353">
        <f>LOG10(3.128227)</f>
        <v>0.49529826013921624</v>
      </c>
    </row>
    <row r="8354" spans="1:4">
      <c r="A8354">
        <v>1.001898</v>
      </c>
      <c r="B8354">
        <v>3.79399</v>
      </c>
      <c r="C8354">
        <f>LOG10(1.001898)</f>
        <v>8.2350966296574528E-4</v>
      </c>
      <c r="D8354">
        <f>LOG10(3.79399)</f>
        <v>0.57909618186351819</v>
      </c>
    </row>
    <row r="8355" spans="1:4">
      <c r="A8355">
        <v>1.0036160000000001</v>
      </c>
      <c r="B8355">
        <v>3.3523649999999998</v>
      </c>
      <c r="C8355">
        <f>LOG10(1.003616)</f>
        <v>1.5675763734624975E-3</v>
      </c>
      <c r="D8355">
        <f>LOG10(3.352365)</f>
        <v>0.5253512978031134</v>
      </c>
    </row>
    <row r="8356" spans="1:4">
      <c r="A8356">
        <v>1.0113190000000001</v>
      </c>
      <c r="B8356">
        <v>3.036489</v>
      </c>
      <c r="C8356">
        <f>LOG10(1.011319)</f>
        <v>4.8881665579911509E-3</v>
      </c>
      <c r="D8356">
        <f>LOG10(3.036489)</f>
        <v>0.48237171218410374</v>
      </c>
    </row>
    <row r="8357" spans="1:4">
      <c r="A8357">
        <v>1.018256</v>
      </c>
      <c r="B8357">
        <v>3.1284160000000001</v>
      </c>
      <c r="C8357">
        <f>LOG10(1.018256)</f>
        <v>7.8569778144696612E-3</v>
      </c>
      <c r="D8357">
        <f>LOG10(3.128416)</f>
        <v>0.49532449838138692</v>
      </c>
    </row>
    <row r="8358" spans="1:4">
      <c r="A8358">
        <v>1.0040770000000001</v>
      </c>
      <c r="B8358">
        <v>3.2646980000000001</v>
      </c>
      <c r="C8358">
        <f>LOG10(1.004077)</f>
        <v>1.7670189771633914E-3</v>
      </c>
      <c r="D8358">
        <f>LOG10(3.264698)</f>
        <v>0.51384301317627923</v>
      </c>
    </row>
    <row r="8359" spans="1:4">
      <c r="A8359">
        <v>1.0153380000000001</v>
      </c>
      <c r="B8359">
        <v>2.923997</v>
      </c>
      <c r="C8359">
        <f>LOG10(1.015338)</f>
        <v>6.6106403764788942E-3</v>
      </c>
      <c r="D8359">
        <f>LOG10(2.923997)</f>
        <v>0.46597692270302049</v>
      </c>
    </row>
    <row r="8360" spans="1:4">
      <c r="A8360">
        <v>1.0011129999999999</v>
      </c>
      <c r="B8360">
        <v>3.6219980000000001</v>
      </c>
      <c r="C8360">
        <f>LOG10(1.001113)</f>
        <v>4.8310096251578542E-4</v>
      </c>
      <c r="D8360">
        <f>LOG10(3.621998)</f>
        <v>0.55894820616876195</v>
      </c>
    </row>
    <row r="8361" spans="1:4">
      <c r="A8361">
        <v>1.0093220000000001</v>
      </c>
      <c r="B8361">
        <v>3.2547380000000001</v>
      </c>
      <c r="C8361">
        <f>LOG10(1.009322)</f>
        <v>4.0297395907750895E-3</v>
      </c>
      <c r="D8361">
        <f>LOG10(3.254738)</f>
        <v>0.51251603446062366</v>
      </c>
    </row>
    <row r="8362" spans="1:4">
      <c r="A8362">
        <v>1.0044500000000001</v>
      </c>
      <c r="B8362">
        <v>2.9616440000000002</v>
      </c>
      <c r="C8362">
        <f>LOG10(1.00445)</f>
        <v>1.9283231006450552E-3</v>
      </c>
      <c r="D8362">
        <f>LOG10(2.961644)</f>
        <v>0.4715328536019866</v>
      </c>
    </row>
    <row r="8363" spans="1:4">
      <c r="A8363">
        <v>1.0118419999999999</v>
      </c>
      <c r="B8363">
        <v>3.0991219999999999</v>
      </c>
      <c r="C8363">
        <f>LOG10(1.011842)</f>
        <v>5.1127023404571263E-3</v>
      </c>
      <c r="D8363">
        <f>LOG10(3.099122)</f>
        <v>0.49123867300723917</v>
      </c>
    </row>
    <row r="8364" spans="1:4">
      <c r="A8364">
        <v>1.0110440000000001</v>
      </c>
      <c r="B8364">
        <v>3.3271540000000002</v>
      </c>
      <c r="C8364">
        <f>LOG10(1.011044)</f>
        <v>4.7700562254153322E-3</v>
      </c>
      <c r="D8364">
        <f>LOG10(3.327154)</f>
        <v>0.52207290300358677</v>
      </c>
    </row>
    <row r="8365" spans="1:4">
      <c r="A8365">
        <v>1.013177</v>
      </c>
      <c r="B8365">
        <v>3.0742219999999998</v>
      </c>
      <c r="C8365">
        <f>LOG10(1.013177)</f>
        <v>5.6853223675630195E-3</v>
      </c>
      <c r="D8365">
        <f>LOG10(3.074222)</f>
        <v>0.48773522617404846</v>
      </c>
    </row>
    <row r="8366" spans="1:4">
      <c r="A8366">
        <v>1.006742</v>
      </c>
      <c r="B8366">
        <v>3.1638980000000001</v>
      </c>
      <c r="C8366">
        <f>LOG10(1.006742)</f>
        <v>2.9181872045652446E-3</v>
      </c>
      <c r="D8366">
        <f>LOG10(3.163898)</f>
        <v>0.50022247395610597</v>
      </c>
    </row>
    <row r="8367" spans="1:4">
      <c r="A8367">
        <v>1.0074069999999999</v>
      </c>
      <c r="B8367">
        <v>3.4420109999999999</v>
      </c>
      <c r="C8367">
        <f>LOG10(1.007407)</f>
        <v>3.2049642413780294E-3</v>
      </c>
      <c r="D8367">
        <f>LOG10(3.442011)</f>
        <v>0.53681225391474519</v>
      </c>
    </row>
    <row r="8368" spans="1:4">
      <c r="A8368">
        <v>1.004589</v>
      </c>
      <c r="B8368">
        <v>3.232818</v>
      </c>
      <c r="C8368">
        <f>LOG10(1.004589)</f>
        <v>1.9884184328718829E-3</v>
      </c>
      <c r="D8368">
        <f>LOG10(3.232818)</f>
        <v>0.50958125554858302</v>
      </c>
    </row>
    <row r="8369" spans="1:4">
      <c r="A8369">
        <v>1.010993</v>
      </c>
      <c r="B8369">
        <v>3.2212519999999998</v>
      </c>
      <c r="C8369">
        <f>LOG10(1.010993)</f>
        <v>4.7481485960477457E-3</v>
      </c>
      <c r="D8369">
        <f>LOG10(3.221252)</f>
        <v>0.50802470120232757</v>
      </c>
    </row>
    <row r="8370" spans="1:4">
      <c r="A8370">
        <v>1.012089</v>
      </c>
      <c r="B8370">
        <v>3.4840689999999999</v>
      </c>
      <c r="C8370">
        <f>LOG10(1.012089)</f>
        <v>5.2187047067064722E-3</v>
      </c>
      <c r="D8370">
        <f>LOG10(3.484069)</f>
        <v>0.54208674737538343</v>
      </c>
    </row>
    <row r="8371" spans="1:4">
      <c r="A8371">
        <v>1.012238</v>
      </c>
      <c r="B8371">
        <v>3.196018</v>
      </c>
      <c r="C8371">
        <f>LOG10(1.012238)</f>
        <v>5.2826369448482581E-3</v>
      </c>
      <c r="D8371">
        <f>LOG10(3.196018)</f>
        <v>0.5046092165989815</v>
      </c>
    </row>
    <row r="8372" spans="1:4">
      <c r="A8372">
        <v>1.0317460000000001</v>
      </c>
      <c r="B8372">
        <v>3.16086</v>
      </c>
      <c r="C8372">
        <f>LOG10(1.031746)</f>
        <v>1.357279382636655E-2</v>
      </c>
      <c r="D8372">
        <f>LOG10(3.16086)</f>
        <v>0.49980526060581104</v>
      </c>
    </row>
    <row r="8373" spans="1:4">
      <c r="A8373">
        <v>1.0138389999999999</v>
      </c>
      <c r="B8373">
        <v>2.9537849999999999</v>
      </c>
      <c r="C8373">
        <f>LOG10(1.013839)</f>
        <v>5.9689934952123491E-3</v>
      </c>
      <c r="D8373">
        <f>LOG10(2.953785)</f>
        <v>0.47037888071467354</v>
      </c>
    </row>
    <row r="8374" spans="1:4">
      <c r="A8374">
        <v>1.0042679999999999</v>
      </c>
      <c r="B8374">
        <v>3.0505870000000002</v>
      </c>
      <c r="C8374">
        <f>LOG10(1.004268)</f>
        <v>1.8496245516971808E-3</v>
      </c>
      <c r="D8374">
        <f>LOG10(3.050587)</f>
        <v>0.4843834151933934</v>
      </c>
    </row>
    <row r="8375" spans="1:4">
      <c r="A8375">
        <v>1.0046550000000001</v>
      </c>
      <c r="B8375">
        <v>3.0499580000000002</v>
      </c>
      <c r="C8375">
        <f>LOG10(1.004655)</f>
        <v>2.0169499958039875E-3</v>
      </c>
      <c r="D8375">
        <f>LOG10(3.049958)</f>
        <v>0.48429385885700538</v>
      </c>
    </row>
    <row r="8376" spans="1:4">
      <c r="A8376">
        <v>1.0163759999999999</v>
      </c>
      <c r="B8376">
        <v>3.1802830000000002</v>
      </c>
      <c r="C8376">
        <f>LOG10(1.016376)</f>
        <v>7.0544013698446411E-3</v>
      </c>
      <c r="D8376">
        <f>LOG10(3.180283)</f>
        <v>0.50246576774223206</v>
      </c>
    </row>
    <row r="8377" spans="1:4">
      <c r="A8377">
        <v>1.0178199999999999</v>
      </c>
      <c r="B8377">
        <v>3.1657350000000002</v>
      </c>
      <c r="C8377">
        <f>LOG10(1.01782)</f>
        <v>7.670980438139797E-3</v>
      </c>
      <c r="D8377">
        <f>LOG10(3.165735)</f>
        <v>0.500474557761172</v>
      </c>
    </row>
    <row r="8378" spans="1:4">
      <c r="A8378">
        <v>1.0313099999999999</v>
      </c>
      <c r="B8378">
        <v>3.1190380000000002</v>
      </c>
      <c r="C8378">
        <f>LOG10(1.03131)</f>
        <v>1.3389228865523123E-2</v>
      </c>
      <c r="D8378">
        <f>LOG10(3.119038)</f>
        <v>0.49402066590487725</v>
      </c>
    </row>
    <row r="8379" spans="1:4">
      <c r="A8379">
        <v>1.0074149999999999</v>
      </c>
      <c r="B8379">
        <v>3.0035959999999999</v>
      </c>
      <c r="C8379">
        <f>LOG10(1.007415)</f>
        <v>3.2084130382000293E-3</v>
      </c>
      <c r="D8379">
        <f>LOG10(3.003596)</f>
        <v>0.47764151729019205</v>
      </c>
    </row>
    <row r="8380" spans="1:4">
      <c r="A8380">
        <v>1.011976</v>
      </c>
      <c r="B8380">
        <v>3.1521880000000002</v>
      </c>
      <c r="C8380">
        <f>LOG10(1.011976)</f>
        <v>5.1702129077710966E-3</v>
      </c>
      <c r="D8380">
        <f>LOG10(3.152188)</f>
        <v>0.49861211139612804</v>
      </c>
    </row>
    <row r="8381" spans="1:4">
      <c r="A8381">
        <v>1.0050559999999999</v>
      </c>
      <c r="B8381">
        <v>2.993045</v>
      </c>
      <c r="C8381">
        <f>LOG10(1.005056)</f>
        <v>2.1902605758369414E-3</v>
      </c>
      <c r="D8381">
        <f>LOG10(2.993045)</f>
        <v>0.47611324644419067</v>
      </c>
    </row>
    <row r="8382" spans="1:4">
      <c r="A8382">
        <v>1.002235</v>
      </c>
      <c r="B8382">
        <v>3.0942630000000002</v>
      </c>
      <c r="C8382">
        <f>LOG10(1.002235)</f>
        <v>9.6956508122475276E-4</v>
      </c>
      <c r="D8382">
        <f>LOG10(3.094263)</f>
        <v>0.49055722422905801</v>
      </c>
    </row>
    <row r="8383" spans="1:4">
      <c r="A8383">
        <v>1.0060709999999999</v>
      </c>
      <c r="B8383">
        <v>3.0073720000000002</v>
      </c>
      <c r="C8383">
        <f>LOG10(1.006071)</f>
        <v>2.6286306405405202E-3</v>
      </c>
      <c r="D8383">
        <f>LOG10(3.007372)</f>
        <v>0.478187151929863</v>
      </c>
    </row>
    <row r="8384" spans="1:4">
      <c r="A8384">
        <v>1.025606</v>
      </c>
      <c r="B8384">
        <v>3.0502199999999999</v>
      </c>
      <c r="C8384">
        <f>LOG10(1.025606)</f>
        <v>1.0980552891658432E-2</v>
      </c>
      <c r="D8384">
        <f>LOG10(3.05022)</f>
        <v>0.48433116437639462</v>
      </c>
    </row>
    <row r="8385" spans="1:4">
      <c r="A8385">
        <v>1.0278529999999999</v>
      </c>
      <c r="B8385">
        <v>3.2124030000000001</v>
      </c>
      <c r="C8385">
        <f>LOG10(1.027853)</f>
        <v>1.1931007797580903E-2</v>
      </c>
      <c r="D8385">
        <f>LOG10(3.212403)</f>
        <v>0.5068300228138245</v>
      </c>
    </row>
    <row r="8386" spans="1:4">
      <c r="A8386">
        <v>1.0057590000000001</v>
      </c>
      <c r="B8386">
        <v>3.1700879999999998</v>
      </c>
      <c r="C8386">
        <f>LOG10(1.005759)</f>
        <v>2.4939275299993282E-3</v>
      </c>
      <c r="D8386">
        <f>LOG10(3.170088)</f>
        <v>0.50107131817483275</v>
      </c>
    </row>
    <row r="8387" spans="1:4">
      <c r="A8387">
        <v>1.0380480000000001</v>
      </c>
      <c r="B8387">
        <v>3.0609459999999999</v>
      </c>
      <c r="C8387">
        <f>LOG10(1.038048)</f>
        <v>1.621743602992911E-2</v>
      </c>
      <c r="D8387">
        <f>LOG10(3.060946)</f>
        <v>0.48585566801324898</v>
      </c>
    </row>
    <row r="8388" spans="1:4">
      <c r="A8388">
        <v>1.01054</v>
      </c>
      <c r="B8388">
        <v>3.0236130000000001</v>
      </c>
      <c r="C8388">
        <f>LOG10(1.01054)</f>
        <v>4.5535087820103579E-3</v>
      </c>
      <c r="D8388">
        <f>LOG10(3.023613)</f>
        <v>0.48052620391910972</v>
      </c>
    </row>
    <row r="8389" spans="1:4">
      <c r="A8389">
        <v>1.024</v>
      </c>
      <c r="B8389">
        <v>2.9199310000000001</v>
      </c>
      <c r="C8389">
        <f>LOG10(1.024)</f>
        <v>1.0299956639811961E-2</v>
      </c>
      <c r="D8389">
        <f>LOG10(2.919931)</f>
        <v>0.46537258888906519</v>
      </c>
    </row>
    <row r="8390" spans="1:4">
      <c r="A8390">
        <v>1.0227269999999999</v>
      </c>
      <c r="B8390">
        <v>3.1036869999999999</v>
      </c>
      <c r="C8390">
        <f>LOG10(1.022727)</f>
        <v>9.759721477278941E-3</v>
      </c>
      <c r="D8390">
        <f>LOG10(3.103687)</f>
        <v>0.49187791715221513</v>
      </c>
    </row>
    <row r="8391" spans="1:4">
      <c r="A8391">
        <v>1.017433</v>
      </c>
      <c r="B8391">
        <v>3.045617</v>
      </c>
      <c r="C8391">
        <f>LOG10(1.017433)</f>
        <v>7.5058196777604757E-3</v>
      </c>
      <c r="D8391">
        <f>LOG10(3.045617)</f>
        <v>0.48367528795445475</v>
      </c>
    </row>
    <row r="8392" spans="1:4">
      <c r="A8392">
        <v>1.0157929999999999</v>
      </c>
      <c r="B8392">
        <v>3.1747079999999999</v>
      </c>
      <c r="C8392">
        <f>LOG10(1.015793)</f>
        <v>6.8052157067469109E-3</v>
      </c>
      <c r="D8392">
        <f>LOG10(3.174708)</f>
        <v>0.50170378637743707</v>
      </c>
    </row>
    <row r="8393" spans="1:4">
      <c r="A8393">
        <v>1.0077199999999999</v>
      </c>
      <c r="B8393">
        <v>3.1113840000000001</v>
      </c>
      <c r="C8393">
        <f>LOG10(1.00772)</f>
        <v>3.3398779951304232E-3</v>
      </c>
      <c r="D8393">
        <f>LOG10(3.111384)</f>
        <v>0.49295361406257532</v>
      </c>
    </row>
    <row r="8394" spans="1:4">
      <c r="A8394">
        <v>1.020465</v>
      </c>
      <c r="B8394">
        <v>3.0040580000000001</v>
      </c>
      <c r="C8394">
        <f>LOG10(1.020465)</f>
        <v>8.7981138364750071E-3</v>
      </c>
      <c r="D8394">
        <f>LOG10(3.004058)</f>
        <v>0.47770831343092685</v>
      </c>
    </row>
    <row r="8395" spans="1:4">
      <c r="A8395">
        <v>1.0095769999999999</v>
      </c>
      <c r="B8395">
        <v>2.9154010000000001</v>
      </c>
      <c r="C8395">
        <f>LOG10(1.009577)</f>
        <v>4.1394479946865285E-3</v>
      </c>
      <c r="D8395">
        <f>LOG10(2.915401)</f>
        <v>0.46469829841228322</v>
      </c>
    </row>
    <row r="8396" spans="1:4">
      <c r="A8396">
        <v>1.013317</v>
      </c>
      <c r="B8396">
        <v>3.1497980000000001</v>
      </c>
      <c r="C8396">
        <f>LOG10(1.013317)</f>
        <v>5.7453286913549447E-3</v>
      </c>
      <c r="D8396">
        <f>LOG10(3.149798)</f>
        <v>0.49828270290124682</v>
      </c>
    </row>
    <row r="8397" spans="1:4">
      <c r="A8397">
        <v>1.0025679999999999</v>
      </c>
      <c r="B8397">
        <v>3.3455249999999999</v>
      </c>
      <c r="C8397">
        <f>LOG10(1.002568)</f>
        <v>1.1138386720002543E-3</v>
      </c>
      <c r="D8397">
        <f>LOG10(3.345525)</f>
        <v>0.5244642795663631</v>
      </c>
    </row>
    <row r="8398" spans="1:4">
      <c r="A8398">
        <v>1.0054190000000001</v>
      </c>
      <c r="B8398">
        <v>3.2802340000000001</v>
      </c>
      <c r="C8398">
        <f>LOG10(1.005419)</f>
        <v>2.3470880903735964E-3</v>
      </c>
      <c r="D8398">
        <f>LOG10(3.280234)</f>
        <v>0.51590482581042996</v>
      </c>
    </row>
    <row r="8399" spans="1:4">
      <c r="A8399">
        <v>1.0177480000000001</v>
      </c>
      <c r="B8399">
        <v>3.0759379999999998</v>
      </c>
      <c r="C8399">
        <f>LOG10(1.017748)</f>
        <v>7.6402576102018362E-3</v>
      </c>
      <c r="D8399">
        <f>LOG10(3.075938)</f>
        <v>0.48797757738126429</v>
      </c>
    </row>
    <row r="8400" spans="1:4">
      <c r="A8400">
        <v>1.008837</v>
      </c>
      <c r="B8400">
        <v>3.1120209999999999</v>
      </c>
      <c r="C8400">
        <f>LOG10(1.008837)</f>
        <v>3.8210019959889672E-3</v>
      </c>
      <c r="D8400">
        <f>LOG10(3.112021)</f>
        <v>0.4930425189581874</v>
      </c>
    </row>
    <row r="8401" spans="1:4">
      <c r="A8401">
        <v>1.034775</v>
      </c>
      <c r="B8401">
        <v>3.0837750000000002</v>
      </c>
      <c r="C8401">
        <f>LOG10(1.034775)</f>
        <v>1.4845927685400091E-2</v>
      </c>
      <c r="D8401">
        <f>LOG10(3.083775)</f>
        <v>0.4890826833143429</v>
      </c>
    </row>
    <row r="8402" spans="1:4">
      <c r="A8402">
        <v>1.00763</v>
      </c>
      <c r="B8402">
        <v>3.147087</v>
      </c>
      <c r="C8402">
        <f>LOG10(1.00763)</f>
        <v>3.3010891957682854E-3</v>
      </c>
      <c r="D8402">
        <f>LOG10(3.147087)</f>
        <v>0.4979087489817503</v>
      </c>
    </row>
    <row r="8403" spans="1:4">
      <c r="A8403">
        <v>1.0157480000000001</v>
      </c>
      <c r="B8403">
        <v>3.0942349999999998</v>
      </c>
      <c r="C8403">
        <f>LOG10(1.015748)</f>
        <v>6.7859758767963687E-3</v>
      </c>
      <c r="D8403">
        <f>LOG10(3.094235)</f>
        <v>0.49055329427852928</v>
      </c>
    </row>
    <row r="8404" spans="1:4">
      <c r="A8404">
        <v>1.002858</v>
      </c>
      <c r="B8404">
        <v>3.1524610000000002</v>
      </c>
      <c r="C8404">
        <f>LOG10(1.002858)</f>
        <v>1.239443307254703E-3</v>
      </c>
      <c r="D8404">
        <f>LOG10(3.152461)</f>
        <v>0.49864972249664563</v>
      </c>
    </row>
    <row r="8405" spans="1:4">
      <c r="A8405">
        <v>1.008011</v>
      </c>
      <c r="B8405">
        <v>3.1270310000000001</v>
      </c>
      <c r="C8405">
        <f>LOG10(1.008011)</f>
        <v>3.4652714083505689E-3</v>
      </c>
      <c r="D8405">
        <f>LOG10(3.127031)</f>
        <v>0.49513218666736725</v>
      </c>
    </row>
    <row r="8406" spans="1:4">
      <c r="A8406">
        <v>1.0223500000000001</v>
      </c>
      <c r="B8406">
        <v>3.149661</v>
      </c>
      <c r="C8406">
        <f>LOG10(1.02235)</f>
        <v>9.5996013238254171E-3</v>
      </c>
      <c r="D8406">
        <f>LOG10(3.149661)</f>
        <v>0.49826381291592259</v>
      </c>
    </row>
    <row r="8407" spans="1:4">
      <c r="A8407">
        <v>1.01007</v>
      </c>
      <c r="B8407">
        <v>3.258788</v>
      </c>
      <c r="C8407">
        <f>LOG10(1.01007)</f>
        <v>4.3514723571923732E-3</v>
      </c>
      <c r="D8407">
        <f>LOG10(3.258788)</f>
        <v>0.51305610841699656</v>
      </c>
    </row>
    <row r="8408" spans="1:4">
      <c r="A8408">
        <v>1.004545</v>
      </c>
      <c r="B8408">
        <v>3.2040500000000001</v>
      </c>
      <c r="C8408">
        <f>LOG10(1.004545)</f>
        <v>1.9693963495197833E-3</v>
      </c>
      <c r="D8408">
        <f>LOG10(3.20405)</f>
        <v>0.50569928473887371</v>
      </c>
    </row>
    <row r="8409" spans="1:4">
      <c r="A8409">
        <v>1.0061800000000001</v>
      </c>
      <c r="B8409">
        <v>3.1773600000000002</v>
      </c>
      <c r="C8409">
        <f>LOG10(1.00618)</f>
        <v>2.6756805349859086E-3</v>
      </c>
      <c r="D8409">
        <f>LOG10(3.17736)</f>
        <v>0.50206642387846101</v>
      </c>
    </row>
    <row r="8410" spans="1:4">
      <c r="A8410">
        <v>1.0097370000000001</v>
      </c>
      <c r="B8410">
        <v>3.3526539999999998</v>
      </c>
      <c r="C8410">
        <f>LOG10(1.009737)</f>
        <v>4.2082704930696494E-3</v>
      </c>
      <c r="D8410">
        <f>LOG10(3.352654)</f>
        <v>0.52538873575976885</v>
      </c>
    </row>
    <row r="8411" spans="1:4">
      <c r="A8411">
        <v>1.048551</v>
      </c>
      <c r="B8411">
        <v>3.2189739999999998</v>
      </c>
      <c r="C8411">
        <f>LOG10(1.048551)</f>
        <v>2.0589558768859328E-2</v>
      </c>
      <c r="D8411">
        <f>LOG10(3.218974)</f>
        <v>0.50771746885643321</v>
      </c>
    </row>
    <row r="8412" spans="1:4">
      <c r="A8412">
        <v>1.007136</v>
      </c>
      <c r="B8412">
        <v>3.358473</v>
      </c>
      <c r="C8412">
        <f>LOG10(1.007136)</f>
        <v>3.0881200684756134E-3</v>
      </c>
      <c r="D8412">
        <f>LOG10(3.358473)</f>
        <v>0.52614186119563278</v>
      </c>
    </row>
    <row r="8413" spans="1:4">
      <c r="A8413">
        <v>1.019102</v>
      </c>
      <c r="B8413">
        <v>3.314387</v>
      </c>
      <c r="C8413">
        <f>LOG10(1.019102)</f>
        <v>8.21765389869979E-3</v>
      </c>
      <c r="D8413">
        <f>LOG10(3.314387)</f>
        <v>0.52040321686296931</v>
      </c>
    </row>
    <row r="8414" spans="1:4">
      <c r="A8414">
        <v>1.018068</v>
      </c>
      <c r="B8414">
        <v>3.3927339999999999</v>
      </c>
      <c r="C8414">
        <f>LOG10(1.018068)</f>
        <v>7.7767868794025299E-3</v>
      </c>
      <c r="D8414">
        <f>LOG10(3.392734)</f>
        <v>0.53054981105663912</v>
      </c>
    </row>
    <row r="8415" spans="1:4">
      <c r="A8415">
        <v>1.0143489999999999</v>
      </c>
      <c r="B8415">
        <v>3.2836430000000001</v>
      </c>
      <c r="C8415">
        <f>LOG10(1.014349)</f>
        <v>6.1874053884283095E-3</v>
      </c>
      <c r="D8415">
        <f>LOG10(3.283643)</f>
        <v>0.51635593420929915</v>
      </c>
    </row>
    <row r="8416" spans="1:4">
      <c r="A8416">
        <v>1.0229950000000001</v>
      </c>
      <c r="B8416">
        <v>3.3292419999999998</v>
      </c>
      <c r="C8416">
        <f>LOG10(1.022995)</f>
        <v>9.8735110555461612E-3</v>
      </c>
      <c r="D8416">
        <f>LOG10(3.329242)</f>
        <v>0.5223453648306644</v>
      </c>
    </row>
    <row r="8417" spans="1:4">
      <c r="A8417">
        <v>1.026159</v>
      </c>
      <c r="B8417">
        <v>3.253088</v>
      </c>
      <c r="C8417">
        <f>LOG10(1.026159)</f>
        <v>1.1214658507367792E-2</v>
      </c>
      <c r="D8417">
        <f>LOG10(3.253088)</f>
        <v>0.51229581163644389</v>
      </c>
    </row>
    <row r="8418" spans="1:4">
      <c r="A8418">
        <v>1.010019</v>
      </c>
      <c r="B8418">
        <v>3.213238</v>
      </c>
      <c r="C8418">
        <f>LOG10(1.010019)</f>
        <v>4.3295436019921991E-3</v>
      </c>
      <c r="D8418">
        <f>LOG10(3.213238)</f>
        <v>0.50694289432171935</v>
      </c>
    </row>
    <row r="8419" spans="1:4">
      <c r="A8419">
        <v>1.0125280000000001</v>
      </c>
      <c r="B8419">
        <v>3.2484199999999999</v>
      </c>
      <c r="C8419">
        <f>LOG10(1.012528)</f>
        <v>5.4070418396491423E-3</v>
      </c>
      <c r="D8419">
        <f>LOG10(3.24842)</f>
        <v>0.5116721757077074</v>
      </c>
    </row>
    <row r="8420" spans="1:4">
      <c r="A8420">
        <v>1.005501</v>
      </c>
      <c r="B8420">
        <v>3.148307</v>
      </c>
      <c r="C8420">
        <f>LOG10(1.005501)</f>
        <v>2.3825068514737578E-3</v>
      </c>
      <c r="D8420">
        <f>LOG10(3.148307)</f>
        <v>0.49807707499106912</v>
      </c>
    </row>
    <row r="8421" spans="1:4">
      <c r="A8421">
        <v>1.0093460000000001</v>
      </c>
      <c r="B8421">
        <v>3.2800919999999998</v>
      </c>
      <c r="C8421">
        <f>LOG10(1.009346)</f>
        <v>4.0400662691255458E-3</v>
      </c>
      <c r="D8421">
        <f>LOG10(3.280092)</f>
        <v>0.5158860249714351</v>
      </c>
    </row>
    <row r="8422" spans="1:4">
      <c r="A8422">
        <v>1.0127459999999999</v>
      </c>
      <c r="B8422">
        <v>3.4595899999999999</v>
      </c>
      <c r="C8422">
        <f>LOG10(1.012746)</f>
        <v>5.5005365444846209E-3</v>
      </c>
      <c r="D8422">
        <f>LOG10(3.45959)</f>
        <v>0.53902463310252946</v>
      </c>
    </row>
    <row r="8423" spans="1:4">
      <c r="A8423">
        <v>1.0030289999999999</v>
      </c>
      <c r="B8423">
        <v>3.3914900000000001</v>
      </c>
      <c r="C8423">
        <f>LOG10(1.003029)</f>
        <v>1.3134897082586728E-3</v>
      </c>
      <c r="D8423">
        <f>LOG10(3.39149)</f>
        <v>0.53039054086109649</v>
      </c>
    </row>
    <row r="8424" spans="1:4">
      <c r="A8424">
        <v>1.0252570000000001</v>
      </c>
      <c r="B8424">
        <v>3.2750520000000001</v>
      </c>
      <c r="C8424">
        <f>LOG10(1.025257)</f>
        <v>1.0832743139717636E-2</v>
      </c>
      <c r="D8424">
        <f>LOG10(3.275052)</f>
        <v>0.5152181999411678</v>
      </c>
    </row>
    <row r="8425" spans="1:4">
      <c r="A8425">
        <v>1.008704</v>
      </c>
      <c r="B8425">
        <v>3.3560460000000001</v>
      </c>
      <c r="C8425">
        <f>LOG10(1.008704)</f>
        <v>3.7637430196640486E-3</v>
      </c>
      <c r="D8425">
        <f>LOG10(3.356046)</f>
        <v>0.52582790490077913</v>
      </c>
    </row>
    <row r="8426" spans="1:4">
      <c r="A8426">
        <v>1.014286</v>
      </c>
      <c r="B8426">
        <v>3.2182089999999999</v>
      </c>
      <c r="C8426">
        <f>LOG10(1.014286)</f>
        <v>6.1604310412750095E-3</v>
      </c>
      <c r="D8426">
        <f>LOG10(3.218209)</f>
        <v>0.50761424504557684</v>
      </c>
    </row>
    <row r="8427" spans="1:4">
      <c r="A8427">
        <v>1.013209</v>
      </c>
      <c r="B8427">
        <v>7.5498770000000004</v>
      </c>
      <c r="C8427">
        <f>LOG10(1.013209)</f>
        <v>5.6990388297001185E-3</v>
      </c>
      <c r="D8427">
        <f>LOG10(7.549877)</f>
        <v>0.87793987631045878</v>
      </c>
    </row>
    <row r="8428" spans="1:4">
      <c r="A8428">
        <v>1.020945</v>
      </c>
      <c r="B8428">
        <v>7.8153779999999999</v>
      </c>
      <c r="C8428">
        <f>LOG10(1.020945)</f>
        <v>9.002346553229899E-3</v>
      </c>
      <c r="D8428">
        <f>LOG10(7.815378)</f>
        <v>0.89294998802943715</v>
      </c>
    </row>
    <row r="8429" spans="1:4">
      <c r="A8429">
        <v>1.0172099999999999</v>
      </c>
      <c r="B8429">
        <v>7.946053</v>
      </c>
      <c r="C8429">
        <f>LOG10(1.01721)</f>
        <v>7.41062099194458E-3</v>
      </c>
      <c r="D8429">
        <f>LOG10(7.946053)</f>
        <v>0.90015145746371572</v>
      </c>
    </row>
    <row r="8430" spans="1:4">
      <c r="A8430">
        <v>1.0285150000000001</v>
      </c>
      <c r="B8430">
        <v>8.8849719999999994</v>
      </c>
      <c r="C8430">
        <f>LOG10(1.028515)</f>
        <v>1.2210629885604053E-2</v>
      </c>
      <c r="D8430">
        <f>LOG10(8.884972)</f>
        <v>0.94865606351277176</v>
      </c>
    </row>
    <row r="8431" spans="1:4">
      <c r="A8431">
        <v>1.013587</v>
      </c>
      <c r="B8431">
        <v>8.9487699999999997</v>
      </c>
      <c r="C8431">
        <f>LOG10(1.013587)</f>
        <v>5.8610317644234682E-3</v>
      </c>
      <c r="D8431">
        <f>LOG10(8.94877)</f>
        <v>0.95176334605083035</v>
      </c>
    </row>
    <row r="8432" spans="1:4">
      <c r="A8432">
        <v>1.023118</v>
      </c>
      <c r="B8432">
        <v>8.3677849999999996</v>
      </c>
      <c r="C8432">
        <f>LOG10(1.023118)</f>
        <v>9.9257253969226057E-3</v>
      </c>
      <c r="D8432">
        <f>LOG10(8.367785)</f>
        <v>0.92261051300107244</v>
      </c>
    </row>
    <row r="8433" spans="1:4">
      <c r="A8433">
        <v>1.014011</v>
      </c>
      <c r="B8433">
        <v>7.7599260000000001</v>
      </c>
      <c r="C8433">
        <f>LOG10(1.014011)</f>
        <v>6.0426662531249363E-3</v>
      </c>
      <c r="D8433">
        <f>LOG10(7.759926)</f>
        <v>0.88985757977044411</v>
      </c>
    </row>
    <row r="8434" spans="1:4">
      <c r="A8434">
        <v>1.0287360000000001</v>
      </c>
      <c r="B8434">
        <v>5.6011199999999999</v>
      </c>
      <c r="C8434">
        <f>LOG10(1.028736)</f>
        <v>1.2303937975739707E-2</v>
      </c>
      <c r="D8434">
        <f>LOG10(5.60112)</f>
        <v>0.74827487721784935</v>
      </c>
    </row>
    <row r="8435" spans="1:4">
      <c r="A8435">
        <v>1.0148459999999999</v>
      </c>
      <c r="B8435">
        <v>8.441058</v>
      </c>
      <c r="C8435">
        <f>LOG10(1.014846)</f>
        <v>6.4001442940750664E-3</v>
      </c>
      <c r="D8435">
        <f>LOG10(8.441058)</f>
        <v>0.92639688439400525</v>
      </c>
    </row>
    <row r="8436" spans="1:4">
      <c r="A8436">
        <v>1.028926</v>
      </c>
      <c r="B8436">
        <v>8.6840390000000003</v>
      </c>
      <c r="C8436">
        <f>LOG10(1.028926)</f>
        <v>1.2384141577493638E-2</v>
      </c>
      <c r="D8436">
        <f>LOG10(8.684039)</f>
        <v>0.93872176520232264</v>
      </c>
    </row>
    <row r="8437" spans="1:4">
      <c r="A8437">
        <v>1.0147060000000001</v>
      </c>
      <c r="B8437">
        <v>8.436992</v>
      </c>
      <c r="C8437">
        <f>LOG10(1.014706)</f>
        <v>6.3402283839995334E-3</v>
      </c>
      <c r="D8437">
        <f>LOG10(8.436992)</f>
        <v>0.92618763730709908</v>
      </c>
    </row>
    <row r="8438" spans="1:4">
      <c r="A8438">
        <v>1.028019</v>
      </c>
      <c r="B8438">
        <v>8.02027</v>
      </c>
      <c r="C8438">
        <f>LOG10(1.028019)</f>
        <v>1.2001141428616942E-2</v>
      </c>
      <c r="D8438">
        <f>LOG10(8.02027)</f>
        <v>0.90418898892460475</v>
      </c>
    </row>
    <row r="8439" spans="1:4">
      <c r="A8439">
        <v>1.0189699999999999</v>
      </c>
      <c r="B8439">
        <v>8.3716860000000004</v>
      </c>
      <c r="C8439">
        <f>LOG10(1.01897)</f>
        <v>8.1613979158970257E-3</v>
      </c>
      <c r="D8439">
        <f>LOG10(8.371686)</f>
        <v>0.92281293072437731</v>
      </c>
    </row>
    <row r="8440" spans="1:4">
      <c r="A8440">
        <v>1.012535</v>
      </c>
      <c r="B8440">
        <v>8.6245449999999995</v>
      </c>
      <c r="C8440">
        <f>LOG10(1.012535)</f>
        <v>5.4100442759913965E-3</v>
      </c>
      <c r="D8440">
        <f>LOG10(8.624545)</f>
        <v>0.93573619253353058</v>
      </c>
    </row>
    <row r="8441" spans="1:4">
      <c r="A8441">
        <v>1.0185999999999999</v>
      </c>
      <c r="B8441">
        <v>8.6201570000000007</v>
      </c>
      <c r="C8441">
        <f>LOG10(1.0186)</f>
        <v>8.0036718401593505E-3</v>
      </c>
      <c r="D8441">
        <f>LOG10(8.620157)</f>
        <v>0.93551517575658416</v>
      </c>
    </row>
    <row r="8442" spans="1:4">
      <c r="A8442">
        <v>1.009417</v>
      </c>
      <c r="B8442">
        <v>9.4287969999999994</v>
      </c>
      <c r="C8442">
        <f>LOG10(1.009417)</f>
        <v>4.0706145882970527E-3</v>
      </c>
      <c r="D8442">
        <f>LOG10(9.428797)</f>
        <v>0.97445628556979391</v>
      </c>
    </row>
    <row r="8443" spans="1:4">
      <c r="A8443">
        <v>1.022443</v>
      </c>
      <c r="B8443">
        <v>9.5972939999999998</v>
      </c>
      <c r="C8443">
        <f>LOG10(1.022443)</f>
        <v>9.639105945412842E-3</v>
      </c>
      <c r="D8443">
        <f>LOG10(9.597294)</f>
        <v>0.98214879902612739</v>
      </c>
    </row>
    <row r="8444" spans="1:4">
      <c r="A8444">
        <v>1.008321</v>
      </c>
      <c r="B8444">
        <v>8.9453849999999999</v>
      </c>
      <c r="C8444">
        <f>LOG10(1.008321)</f>
        <v>3.5988122046587156E-3</v>
      </c>
      <c r="D8444">
        <f>LOG10(8.945385)</f>
        <v>0.95159903688520864</v>
      </c>
    </row>
    <row r="8445" spans="1:4">
      <c r="A8445">
        <v>1.013139</v>
      </c>
      <c r="B8445">
        <v>8.6428250000000002</v>
      </c>
      <c r="C8445">
        <f>LOG10(1.013139)</f>
        <v>5.6690335060880573E-3</v>
      </c>
      <c r="D8445">
        <f>LOG10(8.642825)</f>
        <v>0.93665571949044124</v>
      </c>
    </row>
    <row r="8446" spans="1:4">
      <c r="A8446">
        <v>1.015593</v>
      </c>
      <c r="B8446">
        <v>8.354635</v>
      </c>
      <c r="C8446">
        <f>LOG10(1.015593)</f>
        <v>6.7196988264875291E-3</v>
      </c>
      <c r="D8446">
        <f>LOG10(8.354635)</f>
        <v>0.92192748104586431</v>
      </c>
    </row>
    <row r="8447" spans="1:4">
      <c r="A8447">
        <v>1.0137879999999999</v>
      </c>
      <c r="B8447">
        <v>7.8020889999999996</v>
      </c>
      <c r="C8447">
        <f>LOG10(1.013788)</f>
        <v>5.9471462633676891E-3</v>
      </c>
      <c r="D8447">
        <f>LOG10(7.802089)</f>
        <v>0.89221090008861947</v>
      </c>
    </row>
    <row r="8448" spans="1:4">
      <c r="A8448">
        <v>1.009177</v>
      </c>
      <c r="B8448">
        <v>8.5264330000000008</v>
      </c>
      <c r="C8448">
        <f>LOG10(1.009177)</f>
        <v>3.9673440186352776E-3</v>
      </c>
      <c r="D8448">
        <f>LOG10(8.526433)</f>
        <v>0.93076738375747758</v>
      </c>
    </row>
    <row r="8449" spans="1:4">
      <c r="A8449">
        <v>1.016807</v>
      </c>
      <c r="B8449">
        <v>8.316554</v>
      </c>
      <c r="C8449">
        <f>LOG10(1.016807)</f>
        <v>7.238527367852788E-3</v>
      </c>
      <c r="D8449">
        <f>LOG10(8.316554)</f>
        <v>0.91994341177164241</v>
      </c>
    </row>
    <row r="8450" spans="1:4">
      <c r="A8450">
        <v>1.0101869999999999</v>
      </c>
      <c r="B8450">
        <v>8.7811540000000008</v>
      </c>
      <c r="C8450">
        <f>LOG10(1.010187)</f>
        <v>4.4017753180923521E-3</v>
      </c>
      <c r="D8450">
        <f>LOG10(8.781154)</f>
        <v>0.94355159368502739</v>
      </c>
    </row>
    <row r="8451" spans="1:4">
      <c r="A8451">
        <v>1.013314</v>
      </c>
      <c r="B8451">
        <v>9.0669599999999999</v>
      </c>
      <c r="C8451">
        <f>LOG10(1.013314)</f>
        <v>5.7440429284847435E-3</v>
      </c>
      <c r="D8451">
        <f>LOG10(9.06696)</f>
        <v>0.95746169979107665</v>
      </c>
    </row>
    <row r="8452" spans="1:4">
      <c r="A8452">
        <v>1.010265</v>
      </c>
      <c r="B8452">
        <v>9.0267540000000004</v>
      </c>
      <c r="C8452">
        <f>LOG10(1.010265)</f>
        <v>4.435307388743169E-3</v>
      </c>
      <c r="D8452">
        <f>LOG10(9.026754)</f>
        <v>0.9555316070882679</v>
      </c>
    </row>
    <row r="8453" spans="1:4">
      <c r="A8453">
        <v>1.014197</v>
      </c>
      <c r="B8453">
        <v>8.4650619999999996</v>
      </c>
      <c r="C8453">
        <f>LOG10(1.014197)</f>
        <v>6.1223215684185015E-3</v>
      </c>
      <c r="D8453">
        <f>LOG10(8.465062)</f>
        <v>0.92763014332614369</v>
      </c>
    </row>
    <row r="8454" spans="1:4">
      <c r="A8454">
        <v>1.015123</v>
      </c>
      <c r="B8454">
        <v>8.1588770000000004</v>
      </c>
      <c r="C8454">
        <f>LOG10(1.015123)</f>
        <v>6.5186678500839491E-3</v>
      </c>
      <c r="D8454">
        <f>LOG10(8.158877)</f>
        <v>0.91163038592709777</v>
      </c>
    </row>
    <row r="8455" spans="1:4">
      <c r="A8455">
        <v>1.020249</v>
      </c>
      <c r="B8455">
        <v>8.9988410000000005</v>
      </c>
      <c r="C8455">
        <f>LOG10(1.020249)</f>
        <v>8.7061777705280726E-3</v>
      </c>
      <c r="D8455">
        <f>LOG10(8.998841)</f>
        <v>0.95418657835962684</v>
      </c>
    </row>
    <row r="8456" spans="1:4">
      <c r="A8456">
        <v>1.010456</v>
      </c>
      <c r="B8456">
        <v>8.8261260000000004</v>
      </c>
      <c r="C8456">
        <f>LOG10(1.010456)</f>
        <v>4.5174070415805222E-3</v>
      </c>
      <c r="D8456">
        <f>LOG10(8.826126)</f>
        <v>0.94577012305612329</v>
      </c>
    </row>
    <row r="8457" spans="1:4">
      <c r="A8457">
        <v>1.019963</v>
      </c>
      <c r="B8457">
        <v>8.6350829999999998</v>
      </c>
      <c r="C8457">
        <f>LOG10(1.019963)</f>
        <v>8.584417656738003E-3</v>
      </c>
      <c r="D8457">
        <f>LOG10(8.635083)</f>
        <v>0.93626651634108715</v>
      </c>
    </row>
    <row r="8458" spans="1:4">
      <c r="A8458">
        <v>1.012195</v>
      </c>
      <c r="B8458">
        <v>8.4317869999999999</v>
      </c>
      <c r="C8458">
        <f>LOG10(1.012195)</f>
        <v>5.2641876677176694E-3</v>
      </c>
      <c r="D8458">
        <f>LOG10(8.431787)</f>
        <v>0.92591962705572928</v>
      </c>
    </row>
    <row r="8459" spans="1:4">
      <c r="A8459">
        <v>1.0162199999999999</v>
      </c>
      <c r="B8459">
        <v>7.6957319999999996</v>
      </c>
      <c r="C8459">
        <f>LOG10(1.01622)</f>
        <v>6.9877379115775261E-3</v>
      </c>
      <c r="D8459">
        <f>LOG10(7.695732)</f>
        <v>0.88624993520598383</v>
      </c>
    </row>
    <row r="8460" spans="1:4">
      <c r="A8460">
        <v>1.0116320000000001</v>
      </c>
      <c r="B8460">
        <v>7.8235989999999997</v>
      </c>
      <c r="C8460">
        <f>LOG10(1.011632)</f>
        <v>5.0225585169861638E-3</v>
      </c>
      <c r="D8460">
        <f>LOG10(7.823599)</f>
        <v>0.89340658250676053</v>
      </c>
    </row>
    <row r="8461" spans="1:4">
      <c r="A8461">
        <v>1.0107360000000001</v>
      </c>
      <c r="B8461">
        <v>8.8681180000000008</v>
      </c>
      <c r="C8461">
        <f>LOG10(1.010736)</f>
        <v>4.6377345074628653E-3</v>
      </c>
      <c r="D8461">
        <f>LOG10(8.868118)</f>
        <v>0.94783146324352363</v>
      </c>
    </row>
    <row r="8462" spans="1:4">
      <c r="A8462">
        <v>1.008969</v>
      </c>
      <c r="B8462">
        <v>7.7927609999999996</v>
      </c>
      <c r="C8462">
        <f>LOG10(1.008969)</f>
        <v>3.8778229903690159E-3</v>
      </c>
      <c r="D8462">
        <f>LOG10(7.792761)</f>
        <v>0.89169135685347123</v>
      </c>
    </row>
    <row r="8463" spans="1:4">
      <c r="A8463">
        <v>1.0075190000000001</v>
      </c>
      <c r="B8463">
        <v>8.0039619999999996</v>
      </c>
      <c r="C8463">
        <f>LOG10(1.007519)</f>
        <v>3.2532449048101441E-3</v>
      </c>
      <c r="D8463">
        <f>LOG10(8.003962)</f>
        <v>0.90330501809142416</v>
      </c>
    </row>
    <row r="8464" spans="1:4">
      <c r="A8464">
        <v>1.0108440000000001</v>
      </c>
      <c r="B8464">
        <v>8.1263129999999997</v>
      </c>
      <c r="C8464">
        <f>LOG10(1.010844)</f>
        <v>4.6841376219477456E-3</v>
      </c>
      <c r="D8464">
        <f>LOG10(8.126313)</f>
        <v>0.90989354596909378</v>
      </c>
    </row>
    <row r="8465" spans="1:4">
      <c r="A8465">
        <v>1.011226</v>
      </c>
      <c r="B8465">
        <v>8.4217399999999998</v>
      </c>
      <c r="C8465">
        <f>LOG10(1.011226)</f>
        <v>4.848227385467899E-3</v>
      </c>
      <c r="D8465">
        <f>LOG10(8.42174)</f>
        <v>0.92540182954348582</v>
      </c>
    </row>
    <row r="8466" spans="1:4">
      <c r="A8466">
        <v>1.008929</v>
      </c>
      <c r="B8466">
        <v>8.1528170000000006</v>
      </c>
      <c r="C8466">
        <f>LOG10(1.008929)</f>
        <v>3.8606052922708738E-3</v>
      </c>
      <c r="D8466">
        <f>LOG10(8.152817)</f>
        <v>0.91130769415990098</v>
      </c>
    </row>
    <row r="8467" spans="1:4">
      <c r="A8467">
        <v>1.0080039999999999</v>
      </c>
      <c r="B8467">
        <v>9.1240089999999991</v>
      </c>
      <c r="C8467">
        <f>LOG10(1.008004)</f>
        <v>3.4622554968882294E-3</v>
      </c>
      <c r="D8467">
        <f>LOG10(9.124009)</f>
        <v>0.96018570499658917</v>
      </c>
    </row>
    <row r="8468" spans="1:4">
      <c r="A8468">
        <v>1.010947</v>
      </c>
      <c r="B8468">
        <v>7.195182</v>
      </c>
      <c r="C8468">
        <f>LOG10(1.010947)</f>
        <v>4.7283878255293408E-3</v>
      </c>
      <c r="D8468">
        <f>LOG10(7.195182)</f>
        <v>0.85704178376199591</v>
      </c>
    </row>
    <row r="8469" spans="1:4">
      <c r="A8469">
        <v>1.0077799999999999</v>
      </c>
      <c r="B8469">
        <v>7.9817559999999999</v>
      </c>
      <c r="C8469">
        <f>LOG10(1.00778)</f>
        <v>3.3657352701707316E-3</v>
      </c>
      <c r="D8469">
        <f>LOG10(7.981756)</f>
        <v>0.90209844739272116</v>
      </c>
    </row>
    <row r="8470" spans="1:4">
      <c r="A8470">
        <v>1.0145169999999999</v>
      </c>
      <c r="B8470">
        <v>8.4928380000000008</v>
      </c>
      <c r="C8470">
        <f>LOG10(1.014517)</f>
        <v>6.259328791084256E-3</v>
      </c>
      <c r="D8470">
        <f>LOG10(8.492838)</f>
        <v>0.92905284004177968</v>
      </c>
    </row>
    <row r="8471" spans="1:4">
      <c r="A8471">
        <v>1.005109</v>
      </c>
      <c r="B8471">
        <v>8.7623379999999997</v>
      </c>
      <c r="C8471">
        <f>LOG10(1.005109)</f>
        <v>2.2131617879725032E-3</v>
      </c>
      <c r="D8471">
        <f>LOG10(8.762338)</f>
        <v>0.94262000171863058</v>
      </c>
    </row>
    <row r="8472" spans="1:4">
      <c r="A8472">
        <v>1.0104249999999999</v>
      </c>
      <c r="B8472">
        <v>8.1542049999999993</v>
      </c>
      <c r="C8472">
        <f>LOG10(1.010425)</f>
        <v>4.5040830220661552E-3</v>
      </c>
      <c r="D8472">
        <f>LOG10(8.154205)</f>
        <v>0.91138162559168989</v>
      </c>
    </row>
    <row r="8473" spans="1:4">
      <c r="A8473">
        <v>1.006337</v>
      </c>
      <c r="B8473">
        <v>7.6577149999999996</v>
      </c>
      <c r="C8473">
        <f>LOG10(1.006337)</f>
        <v>2.7434406918413427E-3</v>
      </c>
      <c r="D8473">
        <f>LOG10(7.657715)</f>
        <v>0.88409919901472656</v>
      </c>
    </row>
    <row r="8474" spans="1:4">
      <c r="A8474">
        <v>1.009709</v>
      </c>
      <c r="B8474">
        <v>7.4090720000000001</v>
      </c>
      <c r="C8474">
        <f>LOG10(1.009709)</f>
        <v>4.1962273431224561E-3</v>
      </c>
      <c r="D8474">
        <f>LOG10(7.409072)</f>
        <v>0.86976381519687418</v>
      </c>
    </row>
    <row r="8475" spans="1:4">
      <c r="A8475">
        <v>1.0143759999999999</v>
      </c>
      <c r="B8475">
        <v>7.7317780000000003</v>
      </c>
      <c r="C8475">
        <f>LOG10(1.014376)</f>
        <v>6.1989653100658704E-3</v>
      </c>
      <c r="D8475">
        <f>LOG10(7.731778)</f>
        <v>0.88827937578084137</v>
      </c>
    </row>
    <row r="8476" spans="1:4">
      <c r="A8476">
        <v>1.0128820000000001</v>
      </c>
      <c r="B8476">
        <v>8.0023300000000006</v>
      </c>
      <c r="C8476">
        <f>LOG10(1.012882)</f>
        <v>5.5588533229134832E-3</v>
      </c>
      <c r="D8476">
        <f>LOG10(8.00233)</f>
        <v>0.9032164568435197</v>
      </c>
    </row>
    <row r="8477" spans="1:4">
      <c r="A8477">
        <v>1.0070190000000001</v>
      </c>
      <c r="B8477">
        <v>7.862025</v>
      </c>
      <c r="C8477">
        <f>LOG10(1.007019)</f>
        <v>3.0376647118225261E-3</v>
      </c>
      <c r="D8477">
        <f>LOG10(7.862025)</f>
        <v>0.89553442047424914</v>
      </c>
    </row>
    <row r="8478" spans="1:4">
      <c r="A8478">
        <v>1.0110060000000001</v>
      </c>
      <c r="B8478">
        <v>7.3472770000000001</v>
      </c>
      <c r="C8478">
        <f>LOG10(1.011006)</f>
        <v>4.7537329986758756E-3</v>
      </c>
      <c r="D8478">
        <f>LOG10(7.347277)</f>
        <v>0.86612641350760633</v>
      </c>
    </row>
    <row r="8479" spans="1:4">
      <c r="A8479">
        <v>1.0125</v>
      </c>
      <c r="B8479">
        <v>7.893065</v>
      </c>
      <c r="C8479">
        <f>LOG10(1.0125)</f>
        <v>5.3950318867061441E-3</v>
      </c>
      <c r="D8479">
        <f>LOG10(7.893065)</f>
        <v>0.89724567926869858</v>
      </c>
    </row>
    <row r="8480" spans="1:4">
      <c r="A8480">
        <v>1.011687</v>
      </c>
      <c r="B8480">
        <v>7.5150240000000004</v>
      </c>
      <c r="C8480">
        <f>LOG10(1.011687)</f>
        <v>5.046169422147956E-3</v>
      </c>
      <c r="D8480">
        <f>LOG10(7.515024)</f>
        <v>0.8759303718891176</v>
      </c>
    </row>
    <row r="8481" spans="1:4">
      <c r="A8481">
        <v>1.008089</v>
      </c>
      <c r="B8481">
        <v>7.3090289999999998</v>
      </c>
      <c r="C8481">
        <f>LOG10(1.008089)</f>
        <v>3.4988758621032246E-3</v>
      </c>
      <c r="D8481">
        <f>LOG10(7.309029)</f>
        <v>0.86385968503556543</v>
      </c>
    </row>
    <row r="8482" spans="1:4">
      <c r="A8482">
        <v>1.0130429999999999</v>
      </c>
      <c r="B8482">
        <v>7.2887399999999998</v>
      </c>
      <c r="C8482">
        <f>LOG10(1.013043)</f>
        <v>5.6278799766480052E-3</v>
      </c>
      <c r="D8482">
        <f>LOG10(7.28874)</f>
        <v>0.86265245858649431</v>
      </c>
    </row>
    <row r="8483" spans="1:4">
      <c r="A8483">
        <v>1.010089</v>
      </c>
      <c r="B8483">
        <v>7.0202119999999999</v>
      </c>
      <c r="C8483">
        <f>LOG10(1.010089)</f>
        <v>4.3596416103614567E-3</v>
      </c>
      <c r="D8483">
        <f>LOG10(7.020212)</f>
        <v>0.84635022737766197</v>
      </c>
    </row>
    <row r="8484" spans="1:4">
      <c r="A8484">
        <v>1.0073559999999999</v>
      </c>
      <c r="B8484">
        <v>7.4171760000000004</v>
      </c>
      <c r="C8484">
        <f>LOG10(1.007356)</f>
        <v>3.182977517796341E-3</v>
      </c>
      <c r="D8484">
        <f>LOG10(7.417176)</f>
        <v>0.87023858438080426</v>
      </c>
    </row>
    <row r="8485" spans="1:4">
      <c r="A8485">
        <v>1.4926969999999999</v>
      </c>
      <c r="B8485">
        <v>6.5743590000000003</v>
      </c>
      <c r="C8485">
        <f>LOG10(1.492697)</f>
        <v>0.17397165998031558</v>
      </c>
      <c r="D8485">
        <f>LOG10(6.574359)</f>
        <v>0.81785341551409685</v>
      </c>
    </row>
    <row r="8486" spans="1:4">
      <c r="A8486">
        <v>1.0081580000000001</v>
      </c>
      <c r="B8486">
        <v>7.404687</v>
      </c>
      <c r="C8486">
        <f>LOG10(1.008158)</f>
        <v>3.5286007115517938E-3</v>
      </c>
      <c r="D8486">
        <f>LOG10(7.404687)</f>
        <v>0.86950670538986741</v>
      </c>
    </row>
    <row r="8487" spans="1:4">
      <c r="A8487">
        <v>1.0072460000000001</v>
      </c>
      <c r="B8487">
        <v>3.773784</v>
      </c>
      <c r="C8487">
        <f>LOG10(1.007246)</f>
        <v>3.1355513829500938E-3</v>
      </c>
      <c r="D8487">
        <f>LOG10(3.773784)</f>
        <v>0.5767770388356237</v>
      </c>
    </row>
    <row r="8488" spans="1:4">
      <c r="A8488">
        <v>1.008472</v>
      </c>
      <c r="B8488">
        <v>3.0594209999999999</v>
      </c>
      <c r="C8488">
        <f>LOG10(1.008472)</f>
        <v>3.6638446268160065E-3</v>
      </c>
      <c r="D8488">
        <f>LOG10(3.059421)</f>
        <v>0.48563924337773001</v>
      </c>
    </row>
    <row r="8489" spans="1:4">
      <c r="A8489">
        <v>1.010256</v>
      </c>
      <c r="B8489">
        <v>3.2387969999999999</v>
      </c>
      <c r="C8489">
        <f>LOG10(1.010256)</f>
        <v>4.4314384357977427E-3</v>
      </c>
      <c r="D8489">
        <f>LOG10(3.238797)</f>
        <v>0.51038372833044465</v>
      </c>
    </row>
    <row r="8490" spans="1:4">
      <c r="A8490">
        <v>1.0172699999999999</v>
      </c>
      <c r="B8490">
        <v>3.1737220000000002</v>
      </c>
      <c r="C8490">
        <f>LOG10(1.01727)</f>
        <v>7.4362370401944797E-3</v>
      </c>
      <c r="D8490">
        <f>LOG10(3.173722)</f>
        <v>0.50156888235782915</v>
      </c>
    </row>
    <row r="8491" spans="1:4">
      <c r="A8491">
        <v>1.015385</v>
      </c>
      <c r="B8491">
        <v>3.204507</v>
      </c>
      <c r="C8491">
        <f>LOG10(1.015385)</f>
        <v>6.6307434044675043E-3</v>
      </c>
      <c r="D8491">
        <f>LOG10(3.204507)</f>
        <v>0.50576122460414019</v>
      </c>
    </row>
    <row r="8492" spans="1:4">
      <c r="A8492">
        <v>1.00769</v>
      </c>
      <c r="B8492">
        <v>3.142503</v>
      </c>
      <c r="C8492">
        <f>LOG10(1.00769)</f>
        <v>3.3269487802728521E-3</v>
      </c>
      <c r="D8492">
        <f>LOG10(3.142503)</f>
        <v>0.49727570095873486</v>
      </c>
    </row>
    <row r="8493" spans="1:4">
      <c r="A8493">
        <v>1.0191760000000001</v>
      </c>
      <c r="B8493">
        <v>3.162334</v>
      </c>
      <c r="C8493">
        <f>LOG10(1.019176)</f>
        <v>8.2491881562201247E-3</v>
      </c>
      <c r="D8493">
        <f>LOG10(3.162334)</f>
        <v>0.50000773741671412</v>
      </c>
    </row>
    <row r="8494" spans="1:4">
      <c r="A8494">
        <v>1.0070760000000001</v>
      </c>
      <c r="B8494">
        <v>3.021938</v>
      </c>
      <c r="C8494">
        <f>LOG10(1.007076)</f>
        <v>3.0622462588449683E-3</v>
      </c>
      <c r="D8494">
        <f>LOG10(3.021938)</f>
        <v>0.48028554983288935</v>
      </c>
    </row>
    <row r="8495" spans="1:4">
      <c r="A8495">
        <v>1.012094</v>
      </c>
      <c r="B8495">
        <v>3.1493950000000002</v>
      </c>
      <c r="C8495">
        <f>LOG10(1.012094)</f>
        <v>5.2208502364431957E-3</v>
      </c>
      <c r="D8495">
        <f>LOG10(3.149395)</f>
        <v>0.49822713366358545</v>
      </c>
    </row>
    <row r="8496" spans="1:4">
      <c r="A8496">
        <v>1.0079050000000001</v>
      </c>
      <c r="B8496">
        <v>3.1310509999999998</v>
      </c>
      <c r="C8496">
        <f>LOG10(1.007905)</f>
        <v>3.4195996490866466E-3</v>
      </c>
      <c r="D8496">
        <f>LOG10(3.131051)</f>
        <v>0.49569014166296743</v>
      </c>
    </row>
    <row r="8497" spans="1:4">
      <c r="A8497">
        <v>1.01467</v>
      </c>
      <c r="B8497">
        <v>3.2762699999999998</v>
      </c>
      <c r="C8497">
        <f>LOG10(1.01467)</f>
        <v>6.3248200995315775E-3</v>
      </c>
      <c r="D8497">
        <f>LOG10(3.27627)</f>
        <v>0.51537968511471077</v>
      </c>
    </row>
    <row r="8498" spans="1:4">
      <c r="A8498">
        <v>1.0057739999999999</v>
      </c>
      <c r="B8498">
        <v>3.0361410000000002</v>
      </c>
      <c r="C8498">
        <f>LOG10(1.005774)</f>
        <v>2.5004045972198169E-3</v>
      </c>
      <c r="D8498">
        <f>LOG10(3.036141)</f>
        <v>0.48232193655810063</v>
      </c>
    </row>
    <row r="8499" spans="1:4">
      <c r="A8499">
        <v>1.0062279999999999</v>
      </c>
      <c r="B8499">
        <v>3.786959</v>
      </c>
      <c r="C8499">
        <f>LOG10(1.006228)</f>
        <v>2.6963981381113522E-3</v>
      </c>
      <c r="D8499">
        <f>LOG10(3.786959)</f>
        <v>0.57829060320106196</v>
      </c>
    </row>
    <row r="8500" spans="1:4">
      <c r="A8500">
        <v>1.005066</v>
      </c>
      <c r="B8500">
        <v>3.6859000000000002</v>
      </c>
      <c r="C8500">
        <f>LOG10(1.005066)</f>
        <v>2.19458165169114E-3</v>
      </c>
      <c r="D8500">
        <f>LOG10(3.6859)</f>
        <v>0.56654354845296429</v>
      </c>
    </row>
    <row r="8501" spans="1:4">
      <c r="A8501">
        <v>1.018033</v>
      </c>
      <c r="B8501">
        <v>3.2888449999999998</v>
      </c>
      <c r="C8501">
        <f>LOG10(1.018033)</f>
        <v>7.7618560809125589E-3</v>
      </c>
      <c r="D8501">
        <f>LOG10(3.288845)</f>
        <v>0.51704340609714849</v>
      </c>
    </row>
    <row r="8502" spans="1:4">
      <c r="A8502">
        <v>1.0093490000000001</v>
      </c>
      <c r="B8502">
        <v>3.0672760000000001</v>
      </c>
      <c r="C8502">
        <f>LOG10(1.009349)</f>
        <v>4.0413570866543944E-3</v>
      </c>
      <c r="D8502">
        <f>LOG10(3.067276)</f>
        <v>0.48675285647938071</v>
      </c>
    </row>
    <row r="8503" spans="1:4">
      <c r="A8503">
        <v>1.00915</v>
      </c>
      <c r="B8503">
        <v>3.306276</v>
      </c>
      <c r="C8503">
        <f>LOG10(1.00915)</f>
        <v>3.9557245426910057E-3</v>
      </c>
      <c r="D8503">
        <f>LOG10(3.306276)</f>
        <v>0.51933910461166366</v>
      </c>
    </row>
    <row r="8504" spans="1:4">
      <c r="A8504">
        <v>1.011625</v>
      </c>
      <c r="B8504">
        <v>2.9573390000000002</v>
      </c>
      <c r="C8504">
        <f>LOG10(1.011625)</f>
        <v>5.0195534006085866E-3</v>
      </c>
      <c r="D8504">
        <f>LOG10(2.957339)</f>
        <v>0.47090111058996231</v>
      </c>
    </row>
    <row r="8505" spans="1:4">
      <c r="A8505">
        <v>1.0070950000000001</v>
      </c>
      <c r="B8505">
        <v>3.496613</v>
      </c>
      <c r="C8505">
        <f>LOG10(1.007095)</f>
        <v>3.0704397986749061E-3</v>
      </c>
      <c r="D8505">
        <f>LOG10(3.496613)</f>
        <v>0.54364756789256397</v>
      </c>
    </row>
    <row r="8506" spans="1:4">
      <c r="A8506">
        <v>1.0077449999999999</v>
      </c>
      <c r="B8506">
        <v>3.445865</v>
      </c>
      <c r="C8506">
        <f>LOG10(1.007745)</f>
        <v>3.3506520468238169E-3</v>
      </c>
      <c r="D8506">
        <f>LOG10(3.445865)</f>
        <v>0.53729825892062189</v>
      </c>
    </row>
    <row r="8507" spans="1:4">
      <c r="A8507">
        <v>1.010065</v>
      </c>
      <c r="B8507">
        <v>2.8789400000000001</v>
      </c>
      <c r="C8507">
        <f>LOG10(1.010065)</f>
        <v>4.3493225281863558E-3</v>
      </c>
      <c r="D8507">
        <f>LOG10(2.87894)</f>
        <v>0.45923261383937192</v>
      </c>
    </row>
    <row r="8508" spans="1:4">
      <c r="A8508">
        <v>1.0138229999999999</v>
      </c>
      <c r="B8508">
        <v>2.9618790000000002</v>
      </c>
      <c r="C8508">
        <f>LOG10(1.013823)</f>
        <v>5.9621395800030065E-3</v>
      </c>
      <c r="D8508">
        <f>LOG10(2.961879)</f>
        <v>0.4715673125559911</v>
      </c>
    </row>
    <row r="8509" spans="1:4">
      <c r="A8509">
        <v>1.014974</v>
      </c>
      <c r="B8509">
        <v>3.1875270000000002</v>
      </c>
      <c r="C8509">
        <f>LOG10(1.014974)</f>
        <v>6.4549173219862668E-3</v>
      </c>
      <c r="D8509">
        <f>LOG10(3.187527)</f>
        <v>0.50345387215616022</v>
      </c>
    </row>
    <row r="8510" spans="1:4">
      <c r="A8510">
        <v>1.0134829999999999</v>
      </c>
      <c r="B8510">
        <v>3.0003540000000002</v>
      </c>
      <c r="C8510">
        <f>LOG10(1.013483)</f>
        <v>5.8164683046933027E-3</v>
      </c>
      <c r="D8510">
        <f>LOG10(3.000354)</f>
        <v>0.47717249844520671</v>
      </c>
    </row>
    <row r="8511" spans="1:4">
      <c r="A8511">
        <v>1.013655</v>
      </c>
      <c r="B8511">
        <v>3.0073400000000001</v>
      </c>
      <c r="C8511">
        <f>LOG10(1.013655)</f>
        <v>5.8901669389911605E-3</v>
      </c>
      <c r="D8511">
        <f>LOG10(3.00734)</f>
        <v>0.47818253078643302</v>
      </c>
    </row>
    <row r="8512" spans="1:4">
      <c r="A8512">
        <v>1.008696</v>
      </c>
      <c r="B8512">
        <v>3.1921279999999999</v>
      </c>
      <c r="C8512">
        <f>LOG10(1.008696)</f>
        <v>3.7602986299988877E-3</v>
      </c>
      <c r="D8512">
        <f>LOG10(3.192128)</f>
        <v>0.50408029764709184</v>
      </c>
    </row>
    <row r="8513" spans="1:4">
      <c r="A8513">
        <v>1.01627</v>
      </c>
      <c r="B8513">
        <v>3.148352</v>
      </c>
      <c r="C8513">
        <f>LOG10(1.01627)</f>
        <v>7.0091055188962227E-3</v>
      </c>
      <c r="D8513">
        <f>LOG10(3.148352)</f>
        <v>0.49808328248989858</v>
      </c>
    </row>
    <row r="8514" spans="1:4">
      <c r="A8514">
        <v>1.009971</v>
      </c>
      <c r="B8514">
        <v>3.007539</v>
      </c>
      <c r="C8514">
        <f>LOG10(1.009971)</f>
        <v>4.3089037620570505E-3</v>
      </c>
      <c r="D8514">
        <f>LOG10(3.007539)</f>
        <v>0.47821126772426009</v>
      </c>
    </row>
    <row r="8515" spans="1:4">
      <c r="A8515">
        <v>1.0102</v>
      </c>
      <c r="B8515">
        <v>3.3894190000000002</v>
      </c>
      <c r="C8515">
        <f>LOG10(1.0102)</f>
        <v>4.4073641763307369E-3</v>
      </c>
      <c r="D8515">
        <f>LOG10(3.389419)</f>
        <v>0.53012525964290369</v>
      </c>
    </row>
    <row r="8516" spans="1:4">
      <c r="A8516">
        <v>1.0119210000000001</v>
      </c>
      <c r="B8516">
        <v>3.2462909999999998</v>
      </c>
      <c r="C8516">
        <f>LOG10(1.011921)</f>
        <v>5.1466087455923661E-3</v>
      </c>
      <c r="D8516">
        <f>LOG10(3.246291)</f>
        <v>0.5113874477236322</v>
      </c>
    </row>
    <row r="8517" spans="1:4">
      <c r="A8517">
        <v>1.0147839999999999</v>
      </c>
      <c r="B8517">
        <v>2.977481</v>
      </c>
      <c r="C8517">
        <f>LOG10(1.014784)</f>
        <v>6.3736111250872413E-3</v>
      </c>
      <c r="D8517">
        <f>LOG10(2.977481)</f>
        <v>0.47384899882937975</v>
      </c>
    </row>
    <row r="8518" spans="1:4">
      <c r="A8518">
        <v>1.0137700000000001</v>
      </c>
      <c r="B8518">
        <v>2.8371650000000002</v>
      </c>
      <c r="C8518">
        <f>LOG10(1.01377)</f>
        <v>5.9394352132528224E-3</v>
      </c>
      <c r="D8518">
        <f>LOG10(2.837165)</f>
        <v>0.45288459364067502</v>
      </c>
    </row>
    <row r="8519" spans="1:4">
      <c r="A8519">
        <v>1.012629</v>
      </c>
      <c r="B8519">
        <v>2.9736280000000002</v>
      </c>
      <c r="C8519">
        <f>LOG10(1.012629)</f>
        <v>5.4503606961215593E-3</v>
      </c>
      <c r="D8519">
        <f>LOG10(2.973628)</f>
        <v>0.47328663747031746</v>
      </c>
    </row>
    <row r="8520" spans="1:4">
      <c r="A8520">
        <v>1.010365</v>
      </c>
      <c r="B8520">
        <v>2.9209909999999999</v>
      </c>
      <c r="C8520">
        <f>LOG10(1.010365)</f>
        <v>4.4782934358925993E-3</v>
      </c>
      <c r="D8520">
        <f>LOG10(2.920991)</f>
        <v>0.46553021885086615</v>
      </c>
    </row>
    <row r="8521" spans="1:4">
      <c r="A8521">
        <v>1.015031</v>
      </c>
      <c r="B8521">
        <v>3.0723799999999999</v>
      </c>
      <c r="C8521">
        <f>LOG10(1.015031)</f>
        <v>6.4793062131219834E-3</v>
      </c>
      <c r="D8521">
        <f>LOG10(3.07238)</f>
        <v>0.48747492935977177</v>
      </c>
    </row>
    <row r="8522" spans="1:4">
      <c r="A8522">
        <v>1.0165489999999999</v>
      </c>
      <c r="B8522">
        <v>3.024095</v>
      </c>
      <c r="C8522">
        <f>LOG10(1.016549)</f>
        <v>7.128317471570598E-3</v>
      </c>
      <c r="D8522">
        <f>LOG10(3.024095)</f>
        <v>0.48059543012537514</v>
      </c>
    </row>
    <row r="8523" spans="1:4">
      <c r="A8523">
        <v>1.0140359999999999</v>
      </c>
      <c r="B8523">
        <v>3.097445</v>
      </c>
      <c r="C8523">
        <f>LOG10(1.014036)</f>
        <v>6.0533734626206787E-3</v>
      </c>
      <c r="D8523">
        <f>LOG10(3.097445)</f>
        <v>0.49100360353605205</v>
      </c>
    </row>
    <row r="8524" spans="1:4">
      <c r="A8524">
        <v>1.0145519999999999</v>
      </c>
      <c r="B8524">
        <v>2.833199</v>
      </c>
      <c r="C8524">
        <f>LOG10(1.014552)</f>
        <v>6.2743113341797597E-3</v>
      </c>
      <c r="D8524">
        <f>LOG10(2.833199)</f>
        <v>0.45227707983870585</v>
      </c>
    </row>
    <row r="8525" spans="1:4">
      <c r="A8525">
        <v>1.013374</v>
      </c>
      <c r="B8525">
        <v>3.0780210000000001</v>
      </c>
      <c r="C8525">
        <f>LOG10(1.013374)</f>
        <v>5.7697574626624617E-3</v>
      </c>
      <c r="D8525">
        <f>LOG10(3.078021)</f>
        <v>0.48827157850813319</v>
      </c>
    </row>
    <row r="8526" spans="1:4">
      <c r="A8526">
        <v>1.0120210000000001</v>
      </c>
      <c r="B8526">
        <v>2.8761169999999998</v>
      </c>
      <c r="C8526">
        <f>LOG10(1.012021)</f>
        <v>5.1895244499215029E-3</v>
      </c>
      <c r="D8526">
        <f>LOG10(2.876117)</f>
        <v>0.45880654910335095</v>
      </c>
    </row>
    <row r="8527" spans="1:4">
      <c r="A8527">
        <v>1.0044660000000001</v>
      </c>
      <c r="B8527">
        <v>2.8710619999999998</v>
      </c>
      <c r="C8527">
        <f>LOG10(1.004466)</f>
        <v>1.9352409724830075E-3</v>
      </c>
      <c r="D8527">
        <f>LOG10(2.871062)</f>
        <v>0.45804257109878477</v>
      </c>
    </row>
    <row r="8528" spans="1:4">
      <c r="A8528">
        <v>1.0143690000000001</v>
      </c>
      <c r="B8528">
        <v>2.887664</v>
      </c>
      <c r="C8528">
        <f>LOG10(1.014369)</f>
        <v>6.1959683228907667E-3</v>
      </c>
      <c r="D8528">
        <f>LOG10(2.887664)</f>
        <v>0.46054665862226551</v>
      </c>
    </row>
    <row r="8529" spans="1:4">
      <c r="A8529">
        <v>1.023077</v>
      </c>
      <c r="B8529">
        <v>3.0533649999999999</v>
      </c>
      <c r="C8529">
        <f>LOG10(1.023077)</f>
        <v>9.9083213139682449E-3</v>
      </c>
      <c r="D8529">
        <f>LOG10(3.053365)</f>
        <v>0.48477872307065906</v>
      </c>
    </row>
    <row r="8530" spans="1:4">
      <c r="A8530">
        <v>1.019007</v>
      </c>
      <c r="B8530">
        <v>3.0671430000000002</v>
      </c>
      <c r="C8530">
        <f>LOG10(1.019007)</f>
        <v>8.1771673733857173E-3</v>
      </c>
      <c r="D8530">
        <f>LOG10(3.067143)</f>
        <v>0.48673402464995985</v>
      </c>
    </row>
    <row r="8531" spans="1:4">
      <c r="A8531">
        <v>1.0079849999999999</v>
      </c>
      <c r="B8531">
        <v>3.119577</v>
      </c>
      <c r="C8531">
        <f>LOG10(1.007985)</f>
        <v>3.4540693459157762E-3</v>
      </c>
      <c r="D8531">
        <f>LOG10(3.119577)</f>
        <v>0.49409570971711064</v>
      </c>
    </row>
    <row r="8532" spans="1:4">
      <c r="A8532">
        <v>1.010726</v>
      </c>
      <c r="B8532">
        <v>3.0555110000000001</v>
      </c>
      <c r="C8532">
        <f>LOG10(1.010726)</f>
        <v>4.6334376719852789E-3</v>
      </c>
      <c r="D8532">
        <f>LOG10(3.055511)</f>
        <v>0.48508385154159295</v>
      </c>
    </row>
    <row r="8533" spans="1:4">
      <c r="A8533">
        <v>1.0123690000000001</v>
      </c>
      <c r="B8533">
        <v>2.991778</v>
      </c>
      <c r="C8533">
        <f>LOG10(1.012369)</f>
        <v>5.338838051738402E-3</v>
      </c>
      <c r="D8533">
        <f>LOG10(2.991778)</f>
        <v>0.47592936427531396</v>
      </c>
    </row>
    <row r="8534" spans="1:4">
      <c r="A8534">
        <v>1.0200979999999999</v>
      </c>
      <c r="B8534">
        <v>2.8204690000000001</v>
      </c>
      <c r="C8534">
        <f>LOG10(1.020098)</f>
        <v>8.6418960901206501E-3</v>
      </c>
      <c r="D8534">
        <f>LOG10(2.820469)</f>
        <v>0.45032133072231451</v>
      </c>
    </row>
    <row r="8535" spans="1:4">
      <c r="A8535">
        <v>1.010426</v>
      </c>
      <c r="B8535">
        <v>3.0782639999999999</v>
      </c>
      <c r="C8535">
        <f>LOG10(1.010426)</f>
        <v>4.5045128355278739E-3</v>
      </c>
      <c r="D8535">
        <f>LOG10(3.078264)</f>
        <v>0.48830586332735687</v>
      </c>
    </row>
    <row r="8536" spans="1:4">
      <c r="A8536">
        <v>1.0318929999999999</v>
      </c>
      <c r="B8536">
        <v>3.0723180000000001</v>
      </c>
      <c r="C8536">
        <f>LOG10(1.031893)</f>
        <v>1.3634666362161535E-2</v>
      </c>
      <c r="D8536">
        <f>LOG10(3.072318)</f>
        <v>0.48746616529752529</v>
      </c>
    </row>
    <row r="8537" spans="1:4">
      <c r="A8537">
        <v>1.021517</v>
      </c>
      <c r="B8537">
        <v>3.2639969999999998</v>
      </c>
      <c r="C8537">
        <f>LOG10(1.021517)</f>
        <v>9.2455985208485178E-3</v>
      </c>
      <c r="D8537">
        <f>LOG10(3.263997)</f>
        <v>0.51374975091391772</v>
      </c>
    </row>
    <row r="8538" spans="1:4">
      <c r="A8538">
        <v>1.0130110000000001</v>
      </c>
      <c r="B8538">
        <v>3.0318559999999999</v>
      </c>
      <c r="C8538">
        <f>LOG10(1.013011)</f>
        <v>5.6141612668584567E-3</v>
      </c>
      <c r="D8538">
        <f>LOG10(3.031856)</f>
        <v>0.48170857034704695</v>
      </c>
    </row>
    <row r="8539" spans="1:4">
      <c r="A8539">
        <v>1.0128790000000001</v>
      </c>
      <c r="B8539">
        <v>2.9494419999999999</v>
      </c>
      <c r="C8539">
        <f>LOG10(1.012879)</f>
        <v>5.5575670078489717E-3</v>
      </c>
      <c r="D8539">
        <f>LOG10(2.949442)</f>
        <v>0.46973986030255005</v>
      </c>
    </row>
    <row r="8540" spans="1:4">
      <c r="A8540">
        <v>1.0134970000000001</v>
      </c>
      <c r="B8540">
        <v>2.910841</v>
      </c>
      <c r="C8540">
        <f>LOG10(1.013497)</f>
        <v>5.8224674983181242E-3</v>
      </c>
      <c r="D8540">
        <f>LOG10(2.910841)</f>
        <v>0.46401848345030583</v>
      </c>
    </row>
    <row r="8541" spans="1:4">
      <c r="A8541">
        <v>1.02315</v>
      </c>
      <c r="B8541">
        <v>3.072705</v>
      </c>
      <c r="C8541">
        <f>LOG10(1.02315)</f>
        <v>9.9393085868293533E-3</v>
      </c>
      <c r="D8541">
        <f>LOG10(3.072705)</f>
        <v>0.48752086711547415</v>
      </c>
    </row>
    <row r="8542" spans="1:4">
      <c r="A8542">
        <v>1.011466</v>
      </c>
      <c r="B8542">
        <v>3.3364600000000002</v>
      </c>
      <c r="C8542">
        <f>LOG10(1.011466)</f>
        <v>4.9512887276257096E-3</v>
      </c>
      <c r="D8542">
        <f>LOG10(3.33646)</f>
        <v>0.52328592256805528</v>
      </c>
    </row>
    <row r="8543" spans="1:4">
      <c r="A8543">
        <v>1.0124629999999999</v>
      </c>
      <c r="B8543">
        <v>3.3156919999999999</v>
      </c>
      <c r="C8543">
        <f>LOG10(1.012463)</f>
        <v>5.3791610823188674E-3</v>
      </c>
      <c r="D8543">
        <f>LOG10(3.315692)</f>
        <v>0.52057418143404088</v>
      </c>
    </row>
    <row r="8544" spans="1:4">
      <c r="A8544">
        <v>1.020292</v>
      </c>
      <c r="B8544">
        <v>3.1040049999999999</v>
      </c>
      <c r="C8544">
        <f>LOG10(1.020292)</f>
        <v>8.7244814093421046E-3</v>
      </c>
      <c r="D8544">
        <f>LOG10(3.104005)</f>
        <v>0.49192241215788424</v>
      </c>
    </row>
    <row r="8545" spans="1:4">
      <c r="A8545">
        <v>1.0061450000000001</v>
      </c>
      <c r="B8545">
        <v>3.2498109999999998</v>
      </c>
      <c r="C8545">
        <f>LOG10(1.006145)</f>
        <v>2.6605733262913393E-3</v>
      </c>
      <c r="D8545">
        <f>LOG10(3.249811)</f>
        <v>0.51185810434999612</v>
      </c>
    </row>
    <row r="8546" spans="1:4">
      <c r="A8546">
        <v>1.0126930000000001</v>
      </c>
      <c r="B8546">
        <v>3.1449340000000001</v>
      </c>
      <c r="C8546">
        <f>LOG10(1.012693)</f>
        <v>5.4778080322499256E-3</v>
      </c>
      <c r="D8546">
        <f>LOG10(3.144934)</f>
        <v>0.49761153571560546</v>
      </c>
    </row>
    <row r="8547" spans="1:4">
      <c r="A8547">
        <v>1.010168</v>
      </c>
      <c r="B8547">
        <v>3.2266400000000002</v>
      </c>
      <c r="C8547">
        <f>LOG10(1.010168)</f>
        <v>4.3936068574441977E-3</v>
      </c>
      <c r="D8547">
        <f>LOG10(3.22664)</f>
        <v>0.50875051336330546</v>
      </c>
    </row>
    <row r="8548" spans="1:4">
      <c r="A8548">
        <v>1.019806</v>
      </c>
      <c r="B8548">
        <v>3.3116319999999999</v>
      </c>
      <c r="C8548">
        <f>LOG10(1.019806)</f>
        <v>8.517562798375667E-3</v>
      </c>
      <c r="D8548">
        <f>LOG10(3.311632)</f>
        <v>0.52004207048938011</v>
      </c>
    </row>
    <row r="8549" spans="1:4">
      <c r="A8549">
        <v>1.005755</v>
      </c>
      <c r="B8549">
        <v>3.3008099999999998</v>
      </c>
      <c r="C8549">
        <f>LOG10(1.005755)</f>
        <v>2.4922002957591832E-3</v>
      </c>
      <c r="D8549">
        <f>LOG10(3.30081)</f>
        <v>0.51862052635200417</v>
      </c>
    </row>
    <row r="8550" spans="1:4">
      <c r="A8550">
        <v>1.008049</v>
      </c>
      <c r="B8550">
        <v>3.2864460000000002</v>
      </c>
      <c r="C8550">
        <f>LOG10(1.008049)</f>
        <v>3.4816431337102013E-3</v>
      </c>
      <c r="D8550">
        <f>LOG10(3.286446)</f>
        <v>0.5167265007287577</v>
      </c>
    </row>
    <row r="8551" spans="1:4">
      <c r="A8551">
        <v>1.0233969999999999</v>
      </c>
      <c r="B8551">
        <v>3.1637010000000001</v>
      </c>
      <c r="C8551">
        <f>LOG10(1.023397)</f>
        <v>1.0044139541164534E-2</v>
      </c>
      <c r="D8551">
        <f>LOG10(3.163701)</f>
        <v>0.50019543178324943</v>
      </c>
    </row>
    <row r="8552" spans="1:4">
      <c r="A8552">
        <v>1.0143059999999999</v>
      </c>
      <c r="B8552">
        <v>3.3524929999999999</v>
      </c>
      <c r="C8552">
        <f>LOG10(1.014306)</f>
        <v>6.1689945075987518E-3</v>
      </c>
      <c r="D8552">
        <f>LOG10(3.352493)</f>
        <v>0.52536787971840249</v>
      </c>
    </row>
    <row r="8553" spans="1:4">
      <c r="A8553">
        <v>1.008618</v>
      </c>
      <c r="B8553">
        <v>3.2902439999999999</v>
      </c>
      <c r="C8553">
        <f>LOG10(1.008618)</f>
        <v>3.7267143990806027E-3</v>
      </c>
      <c r="D8553">
        <f>LOG10(3.290244)</f>
        <v>0.51722810582969214</v>
      </c>
    </row>
    <row r="8554" spans="1:4">
      <c r="A8554">
        <v>1.0093700000000001</v>
      </c>
      <c r="B8554">
        <v>3.2080829999999998</v>
      </c>
      <c r="C8554">
        <f>LOG10(1.00937)</f>
        <v>4.0503927019335086E-3</v>
      </c>
      <c r="D8554">
        <f>LOG10(3.208083)</f>
        <v>0.50624559588883866</v>
      </c>
    </row>
    <row r="8555" spans="1:4">
      <c r="A8555">
        <v>1.018038</v>
      </c>
      <c r="B8555">
        <v>3.4772270000000001</v>
      </c>
      <c r="C8555">
        <f>LOG10(1.018038)</f>
        <v>7.7639890835529725E-3</v>
      </c>
      <c r="D8555">
        <f>LOG10(3.477227)</f>
        <v>0.54123304317949616</v>
      </c>
    </row>
    <row r="8556" spans="1:4">
      <c r="A8556">
        <v>1.015128</v>
      </c>
      <c r="B8556">
        <v>3.2065229999999998</v>
      </c>
      <c r="C8556">
        <f>LOG10(1.015128)</f>
        <v>6.5208069672763897E-3</v>
      </c>
      <c r="D8556">
        <f>LOG10(3.206523)</f>
        <v>0.5060343594059975</v>
      </c>
    </row>
    <row r="8557" spans="1:4">
      <c r="A8557">
        <v>1.0130999999999999</v>
      </c>
      <c r="B8557">
        <v>3.4487000000000001</v>
      </c>
      <c r="C8557">
        <f>LOG10(1.0131)</f>
        <v>5.6523153550739154E-3</v>
      </c>
      <c r="D8557">
        <f>LOG10(3.4487)</f>
        <v>0.53765541703736675</v>
      </c>
    </row>
    <row r="8558" spans="1:4">
      <c r="A8558">
        <v>1.0094860000000001</v>
      </c>
      <c r="B8558">
        <v>3.4520949999999999</v>
      </c>
      <c r="C8558">
        <f>LOG10(1.009486)</f>
        <v>4.1003003327464236E-3</v>
      </c>
      <c r="D8558">
        <f>LOG10(3.452095)</f>
        <v>0.53808273878363422</v>
      </c>
    </row>
    <row r="8559" spans="1:4">
      <c r="A8559">
        <v>1.015406</v>
      </c>
      <c r="B8559">
        <v>3.4026689999999999</v>
      </c>
      <c r="C8559">
        <f>LOG10(1.015406)</f>
        <v>6.6397253076966546E-3</v>
      </c>
      <c r="D8559">
        <f>LOG10(3.402669)</f>
        <v>0.53181970446897742</v>
      </c>
    </row>
    <row r="8560" spans="1:4">
      <c r="A8560">
        <v>1.0223850000000001</v>
      </c>
      <c r="B8560">
        <v>3.3285070000000001</v>
      </c>
      <c r="C8560">
        <f>LOG10(1.022385)</f>
        <v>9.6144690762413557E-3</v>
      </c>
      <c r="D8560">
        <f>LOG10(3.328507)</f>
        <v>0.52224947462948823</v>
      </c>
    </row>
    <row r="8561" spans="1:4">
      <c r="A8561">
        <v>1.0111540000000001</v>
      </c>
      <c r="B8561">
        <v>3.4228860000000001</v>
      </c>
      <c r="C8561">
        <f>LOG10(1.011154)</f>
        <v>4.8173042130569971E-3</v>
      </c>
      <c r="D8561">
        <f>LOG10(3.422886)</f>
        <v>0.53439243510182932</v>
      </c>
    </row>
    <row r="8562" spans="1:4">
      <c r="A8562">
        <v>1.0115430000000001</v>
      </c>
      <c r="B8562">
        <v>3.4441929999999998</v>
      </c>
      <c r="C8562">
        <f>LOG10(1.011543)</f>
        <v>4.9843490601528947E-3</v>
      </c>
      <c r="D8562">
        <f>LOG10(3.444193)</f>
        <v>0.53708747974053483</v>
      </c>
    </row>
    <row r="8563" spans="1:4">
      <c r="A8563">
        <v>1.0159609999999999</v>
      </c>
      <c r="B8563">
        <v>3.3150430000000002</v>
      </c>
      <c r="C8563">
        <f>LOG10(1.015961)</f>
        <v>6.8770368751816784E-3</v>
      </c>
      <c r="D8563">
        <f>LOG10(3.315043)</f>
        <v>0.52048916608667584</v>
      </c>
    </row>
    <row r="8564" spans="1:4">
      <c r="A8564">
        <v>1.0170589999999999</v>
      </c>
      <c r="B8564">
        <v>3.3430439999999999</v>
      </c>
      <c r="C8564">
        <f>LOG10(1.017059)</f>
        <v>7.346147250381554E-3</v>
      </c>
      <c r="D8564">
        <f>LOG10(3.343044)</f>
        <v>0.52414209266539247</v>
      </c>
    </row>
    <row r="8565" spans="1:4">
      <c r="A8565">
        <v>1.0248679999999999</v>
      </c>
      <c r="B8565">
        <v>3.2866599999999999</v>
      </c>
      <c r="C8565">
        <f>LOG10(1.024868)</f>
        <v>1.0667933134973627E-2</v>
      </c>
      <c r="D8565">
        <f>LOG10(3.28666)</f>
        <v>0.51675477929878533</v>
      </c>
    </row>
    <row r="8566" spans="1:4">
      <c r="A8566">
        <v>1.016165</v>
      </c>
      <c r="B8566">
        <v>3.3621460000000001</v>
      </c>
      <c r="C8566">
        <f>LOG10(1.016165)</f>
        <v>6.9642323292095458E-3</v>
      </c>
      <c r="D8566">
        <f>LOG10(3.362146)</f>
        <v>0.52661656859709427</v>
      </c>
    </row>
    <row r="8567" spans="1:4">
      <c r="A8567">
        <v>1.0301130000000001</v>
      </c>
      <c r="B8567">
        <v>3.503377</v>
      </c>
      <c r="C8567">
        <f>LOG10(1.030113)</f>
        <v>1.288486799124856E-2</v>
      </c>
      <c r="D8567">
        <f>LOG10(3.503377)</f>
        <v>0.54448687446010868</v>
      </c>
    </row>
    <row r="8568" spans="1:4">
      <c r="A8568">
        <v>1.0189589999999999</v>
      </c>
      <c r="B8568">
        <v>3.433478</v>
      </c>
      <c r="C8568">
        <f>LOG10(1.018959)</f>
        <v>8.1567095883831875E-3</v>
      </c>
      <c r="D8568">
        <f>LOG10(3.433478)</f>
        <v>0.53573426899854748</v>
      </c>
    </row>
    <row r="8569" spans="1:4">
      <c r="A8569">
        <v>1.0300419999999999</v>
      </c>
      <c r="B8569">
        <v>3.3748450000000001</v>
      </c>
      <c r="C8569">
        <f>LOG10(1.030042)</f>
        <v>1.2854933439501332E-2</v>
      </c>
      <c r="D8569">
        <f>LOG10(3.374845)</f>
        <v>0.52825383133281889</v>
      </c>
    </row>
    <row r="8570" spans="1:4">
      <c r="A8570">
        <v>1.0038050000000001</v>
      </c>
      <c r="B8570">
        <v>3.607586</v>
      </c>
      <c r="C8570">
        <f>LOG10(1.003805)</f>
        <v>1.649354592702254E-3</v>
      </c>
      <c r="D8570">
        <f>LOG10(3.607586)</f>
        <v>0.55721669288549336</v>
      </c>
    </row>
    <row r="8571" spans="1:4">
      <c r="A8571">
        <v>1.0032220000000001</v>
      </c>
      <c r="B8571">
        <v>3.6531199999999999</v>
      </c>
      <c r="C8571">
        <f>LOG10(1.003222)</f>
        <v>1.397047384009052E-3</v>
      </c>
      <c r="D8571">
        <f>LOG10(3.65312)</f>
        <v>0.56266393842649653</v>
      </c>
    </row>
    <row r="8572" spans="1:4">
      <c r="A8572">
        <v>1.0030829999999999</v>
      </c>
      <c r="B8572">
        <v>3.4184960000000002</v>
      </c>
      <c r="C8572">
        <f>LOG10(1.003083)</f>
        <v>1.3368701596277279E-3</v>
      </c>
      <c r="D8572">
        <f>LOG10(3.418496)</f>
        <v>0.53383507606611569</v>
      </c>
    </row>
    <row r="8573" spans="1:4">
      <c r="A8573">
        <v>1.01169</v>
      </c>
      <c r="B8573">
        <v>3.5906980000000002</v>
      </c>
      <c r="C8573">
        <f>LOG10(1.01169)</f>
        <v>5.0474572527852519E-3</v>
      </c>
      <c r="D8573">
        <f>LOG10(3.590698)</f>
        <v>0.55517887979916236</v>
      </c>
    </row>
    <row r="8574" spans="1:4">
      <c r="A8574">
        <v>1.0284450000000001</v>
      </c>
      <c r="B8574">
        <v>3.4398010000000001</v>
      </c>
      <c r="C8574">
        <f>LOG10(1.028445)</f>
        <v>1.2181071105904913E-2</v>
      </c>
      <c r="D8574">
        <f>LOG10(3.439801)</f>
        <v>0.53653331841403695</v>
      </c>
    </row>
    <row r="8575" spans="1:4">
      <c r="A8575">
        <v>1.008448</v>
      </c>
      <c r="B8575">
        <v>3.5922909999999999</v>
      </c>
      <c r="C8575">
        <f>LOG10(1.008448)</f>
        <v>3.653508998663992E-3</v>
      </c>
      <c r="D8575">
        <f>LOG10(3.592291)</f>
        <v>0.5553715102266944</v>
      </c>
    </row>
    <row r="8576" spans="1:4">
      <c r="A8576">
        <v>1.0051620000000001</v>
      </c>
      <c r="B8576">
        <v>3.5536789999999998</v>
      </c>
      <c r="C8576">
        <f>LOG10(1.005162)</f>
        <v>2.2360617925452604E-3</v>
      </c>
      <c r="D8576">
        <f>LOG10(3.553679)</f>
        <v>0.55067819588773725</v>
      </c>
    </row>
    <row r="8577" spans="1:4">
      <c r="A8577">
        <v>1.0179260000000001</v>
      </c>
      <c r="B8577">
        <v>3.40625</v>
      </c>
      <c r="C8577">
        <f>LOG10(1.017926)</f>
        <v>7.7162073133230655E-3</v>
      </c>
      <c r="D8577">
        <f>LOG10(3.40625)</f>
        <v>0.53227651962071765</v>
      </c>
    </row>
    <row r="8578" spans="1:4">
      <c r="A8578">
        <v>1.0096989999999999</v>
      </c>
      <c r="B8578">
        <v>3.3904709999999998</v>
      </c>
      <c r="C8578">
        <f>LOG10(1.009699)</f>
        <v>4.1919261372055762E-3</v>
      </c>
      <c r="D8578">
        <f>LOG10(3.390471)</f>
        <v>0.5302600340414938</v>
      </c>
    </row>
    <row r="8579" spans="1:4">
      <c r="A8579">
        <v>1.026807</v>
      </c>
      <c r="B8579">
        <v>3.4056920000000002</v>
      </c>
      <c r="C8579">
        <f>LOG10(1.026807)</f>
        <v>1.1488820703545687E-2</v>
      </c>
      <c r="D8579">
        <f>LOG10(3.405692)</f>
        <v>0.53220536918477912</v>
      </c>
    </row>
    <row r="8580" spans="1:4">
      <c r="A8580">
        <v>1.0113019999999999</v>
      </c>
      <c r="B8580">
        <v>3.3046929999999999</v>
      </c>
      <c r="C8580">
        <f>LOG10(1.011302)</f>
        <v>4.8808661233643996E-3</v>
      </c>
      <c r="D8580">
        <f>LOG10(3.304693)</f>
        <v>0.51913112052400812</v>
      </c>
    </row>
    <row r="8581" spans="1:4">
      <c r="A8581">
        <v>1.0176540000000001</v>
      </c>
      <c r="B8581">
        <v>3.369866</v>
      </c>
      <c r="C8581">
        <f>LOG10(1.017654)</f>
        <v>7.6001439802378824E-3</v>
      </c>
      <c r="D8581">
        <f>LOG10(3.369866)</f>
        <v>0.52761263184534235</v>
      </c>
    </row>
    <row r="8582" spans="1:4">
      <c r="A8582">
        <v>1.0046079999999999</v>
      </c>
      <c r="B8582">
        <v>3.143967</v>
      </c>
      <c r="C8582">
        <f>LOG10(1.004608)</f>
        <v>1.9966322567591416E-3</v>
      </c>
      <c r="D8582">
        <f>LOG10(3.143967)</f>
        <v>0.49747797890899959</v>
      </c>
    </row>
    <row r="8583" spans="1:4">
      <c r="A8583">
        <v>1.003809</v>
      </c>
      <c r="B8583">
        <v>3.3751579999999999</v>
      </c>
      <c r="C8583">
        <f>LOG10(1.003809)</f>
        <v>1.6510851822753182E-3</v>
      </c>
      <c r="D8583">
        <f>LOG10(3.375158)</f>
        <v>0.52829410810689825</v>
      </c>
    </row>
    <row r="8584" spans="1:4">
      <c r="A8584">
        <v>1.009479</v>
      </c>
      <c r="B8584">
        <v>3.6463709999999998</v>
      </c>
      <c r="C8584">
        <f>LOG10(1.009479)</f>
        <v>4.0972888279671195E-3</v>
      </c>
      <c r="D8584">
        <f>LOG10(3.646371)</f>
        <v>0.56186085385701723</v>
      </c>
    </row>
    <row r="8585" spans="1:4">
      <c r="A8585">
        <v>1.00593</v>
      </c>
      <c r="B8585">
        <v>3.8446250000000002</v>
      </c>
      <c r="C8585">
        <f>LOG10(1.00593)</f>
        <v>2.5677603705470354E-3</v>
      </c>
      <c r="D8585">
        <f>LOG10(3.844625)</f>
        <v>0.58485398565290925</v>
      </c>
    </row>
    <row r="8586" spans="1:4">
      <c r="A8586">
        <v>1.0121530000000001</v>
      </c>
      <c r="B8586">
        <v>3.2640380000000002</v>
      </c>
      <c r="C8586">
        <f>LOG10(1.012153)</f>
        <v>5.2461666868956966E-3</v>
      </c>
      <c r="D8586">
        <f>LOG10(3.264038)</f>
        <v>0.51375520617687465</v>
      </c>
    </row>
    <row r="8587" spans="1:4">
      <c r="A8587">
        <v>1.019963</v>
      </c>
      <c r="B8587">
        <v>3.4286490000000001</v>
      </c>
      <c r="C8587">
        <f>LOG10(1.019963)</f>
        <v>8.584417656738003E-3</v>
      </c>
      <c r="D8587">
        <f>LOG10(3.428649)</f>
        <v>0.53512302749884832</v>
      </c>
    </row>
    <row r="8588" spans="1:4">
      <c r="A8588">
        <v>1.020942</v>
      </c>
      <c r="B8588">
        <v>3.36687</v>
      </c>
      <c r="C8588">
        <f>LOG10(1.020942)</f>
        <v>9.0010703969629763E-3</v>
      </c>
      <c r="D8588">
        <f>LOG10(3.36687)</f>
        <v>0.52722634793765688</v>
      </c>
    </row>
    <row r="8589" spans="1:4">
      <c r="A8589">
        <v>1.00813</v>
      </c>
      <c r="B8589">
        <v>3.7267579999999998</v>
      </c>
      <c r="C8589">
        <f>LOG10(1.00813)</f>
        <v>3.5165386990871727E-3</v>
      </c>
      <c r="D8589">
        <f>LOG10(3.726758)</f>
        <v>0.57133119241123187</v>
      </c>
    </row>
    <row r="8590" spans="1:4">
      <c r="A8590">
        <v>1.0046999999999999</v>
      </c>
      <c r="B8590">
        <v>3.562271</v>
      </c>
      <c r="C8590">
        <f>LOG10(1.0047)</f>
        <v>2.0364022595292615E-3</v>
      </c>
      <c r="D8590">
        <f>LOG10(3.562271)</f>
        <v>0.5517269553652091</v>
      </c>
    </row>
    <row r="8591" spans="1:4">
      <c r="A8591">
        <v>1.0074540000000001</v>
      </c>
      <c r="B8591">
        <v>3.616285</v>
      </c>
      <c r="C8591">
        <f>LOG10(1.007454)</f>
        <v>3.225225530522255E-3</v>
      </c>
      <c r="D8591">
        <f>LOG10(3.616285)</f>
        <v>0.55826264996977837</v>
      </c>
    </row>
    <row r="8592" spans="1:4">
      <c r="A8592">
        <v>1.0170889999999999</v>
      </c>
      <c r="B8592">
        <v>3.380995</v>
      </c>
      <c r="C8592">
        <f>LOG10(1.017089)</f>
        <v>7.358957364943553E-3</v>
      </c>
      <c r="D8592">
        <f>LOG10(3.380995)</f>
        <v>0.52904452850785266</v>
      </c>
    </row>
    <row r="8593" spans="1:4">
      <c r="A8593">
        <v>1.014893</v>
      </c>
      <c r="B8593">
        <v>3.4749560000000002</v>
      </c>
      <c r="C8593">
        <f>LOG10(1.014893)</f>
        <v>6.4202570678387454E-3</v>
      </c>
      <c r="D8593">
        <f>LOG10(3.474956)</f>
        <v>0.54094930991082846</v>
      </c>
    </row>
    <row r="8594" spans="1:4">
      <c r="A8594">
        <v>1.026851</v>
      </c>
      <c r="B8594">
        <v>3.6762739999999998</v>
      </c>
      <c r="C8594">
        <f>LOG10(1.026851)</f>
        <v>1.1507430381697197E-2</v>
      </c>
      <c r="D8594">
        <f>LOG10(3.676274)</f>
        <v>0.56540787275036353</v>
      </c>
    </row>
    <row r="8595" spans="1:4">
      <c r="A8595">
        <v>1.0054399999999999</v>
      </c>
      <c r="B8595">
        <v>3.7615379999999998</v>
      </c>
      <c r="C8595">
        <f>LOG10(1.00544)</f>
        <v>2.356159023860454E-3</v>
      </c>
      <c r="D8595">
        <f>LOG10(3.761538)</f>
        <v>0.57536545352911372</v>
      </c>
    </row>
    <row r="8596" spans="1:4">
      <c r="A8596">
        <v>1.0154380000000001</v>
      </c>
      <c r="B8596">
        <v>3.5146799999999998</v>
      </c>
      <c r="C8596">
        <f>LOG10(1.015438)</f>
        <v>6.6534116601905616E-3</v>
      </c>
      <c r="D8596">
        <f>LOG10(3.51468)</f>
        <v>0.54588579007829241</v>
      </c>
    </row>
    <row r="8597" spans="1:4">
      <c r="A8597">
        <v>1.0098590000000001</v>
      </c>
      <c r="B8597">
        <v>3.4756119999999999</v>
      </c>
      <c r="C8597">
        <f>LOG10(1.009859)</f>
        <v>4.2607403205565594E-3</v>
      </c>
      <c r="D8597">
        <f>LOG10(3.475612)</f>
        <v>0.54103128801131584</v>
      </c>
    </row>
    <row r="8598" spans="1:4">
      <c r="A8598">
        <v>1.006154</v>
      </c>
      <c r="B8598">
        <v>3.3949790000000002</v>
      </c>
      <c r="C8598">
        <f>LOG10(1.006154)</f>
        <v>2.6644580872906966E-3</v>
      </c>
      <c r="D8598">
        <f>LOG10(3.394979)</f>
        <v>0.53083709225059217</v>
      </c>
    </row>
    <row r="8599" spans="1:4">
      <c r="A8599">
        <v>1.0159279999999999</v>
      </c>
      <c r="B8599">
        <v>3.5873940000000002</v>
      </c>
      <c r="C8599">
        <f>LOG10(1.015928)</f>
        <v>6.8629300830251724E-3</v>
      </c>
      <c r="D8599">
        <f>LOG10(3.587394)</f>
        <v>0.55477907743676724</v>
      </c>
    </row>
    <row r="8600" spans="1:4">
      <c r="A8600">
        <v>1.01677</v>
      </c>
      <c r="B8600">
        <v>3.2440479999999998</v>
      </c>
      <c r="C8600">
        <f>LOG10(1.01677)</f>
        <v>7.222723790380952E-3</v>
      </c>
      <c r="D8600">
        <f>LOG10(3.244048)</f>
        <v>0.51108727155049549</v>
      </c>
    </row>
    <row r="8601" spans="1:4">
      <c r="A8601">
        <v>1.0052099999999999</v>
      </c>
      <c r="B8601">
        <v>3.428992</v>
      </c>
      <c r="C8601">
        <f>LOG10(1.00521)</f>
        <v>2.2568003773795514E-3</v>
      </c>
      <c r="D8601">
        <f>LOG10(3.428992)</f>
        <v>0.53516647188662447</v>
      </c>
    </row>
    <row r="8602" spans="1:4">
      <c r="A8602">
        <v>1.0114639999999999</v>
      </c>
      <c r="B8602">
        <v>3.6389990000000001</v>
      </c>
      <c r="C8602">
        <f>LOG10(1.011464)</f>
        <v>4.9504299841557605E-3</v>
      </c>
      <c r="D8602">
        <f>LOG10(3.638999)</f>
        <v>0.56098193624176118</v>
      </c>
    </row>
    <row r="8603" spans="1:4">
      <c r="A8603">
        <v>1.010947</v>
      </c>
      <c r="B8603">
        <v>3.3352979999999999</v>
      </c>
      <c r="C8603">
        <f>LOG10(1.010947)</f>
        <v>4.7283878255293408E-3</v>
      </c>
      <c r="D8603">
        <f>LOG10(3.335298)</f>
        <v>0.52313464304230672</v>
      </c>
    </row>
    <row r="8604" spans="1:4">
      <c r="A8604">
        <v>1.005538</v>
      </c>
      <c r="B8604">
        <v>3.1441129999999999</v>
      </c>
      <c r="C8604">
        <f>LOG10(1.005538)</f>
        <v>2.3984875418852931E-3</v>
      </c>
      <c r="D8604">
        <f>LOG10(3.144113)</f>
        <v>0.49749814627149153</v>
      </c>
    </row>
    <row r="8605" spans="1:4">
      <c r="A8605">
        <v>1.008616</v>
      </c>
      <c r="B8605">
        <v>3.2848860000000002</v>
      </c>
      <c r="C8605">
        <f>LOG10(1.008616)</f>
        <v>3.7258532308038122E-3</v>
      </c>
      <c r="D8605">
        <f>LOG10(3.284886)</f>
        <v>0.51652030222760259</v>
      </c>
    </row>
    <row r="8606" spans="1:4">
      <c r="A8606">
        <v>1.010748</v>
      </c>
      <c r="B8606">
        <v>3.3597640000000002</v>
      </c>
      <c r="C8606">
        <f>LOG10(1.010748)</f>
        <v>4.6428906539204744E-3</v>
      </c>
      <c r="D8606">
        <f>LOG10(3.359764)</f>
        <v>0.52630877230134054</v>
      </c>
    </row>
    <row r="8607" spans="1:4">
      <c r="A8607">
        <v>1.0131950000000001</v>
      </c>
      <c r="B8607">
        <v>3.363883</v>
      </c>
      <c r="C8607">
        <f>LOG10(1.013195)</f>
        <v>5.693037930820404E-3</v>
      </c>
      <c r="D8607">
        <f>LOG10(3.363883)</f>
        <v>0.52684088209078761</v>
      </c>
    </row>
    <row r="8608" spans="1:4">
      <c r="A8608">
        <v>1.004</v>
      </c>
      <c r="B8608">
        <v>3.242359</v>
      </c>
      <c r="C8608">
        <f>LOG10(1.004)</f>
        <v>1.7337128090005314E-3</v>
      </c>
      <c r="D8608">
        <f>LOG10(3.242359)</f>
        <v>0.51086109906501542</v>
      </c>
    </row>
    <row r="8609" spans="1:4">
      <c r="A8609">
        <v>1.0040770000000001</v>
      </c>
      <c r="B8609">
        <v>3.301453</v>
      </c>
      <c r="C8609">
        <f>LOG10(1.004077)</f>
        <v>1.7670189771633914E-3</v>
      </c>
      <c r="D8609">
        <f>LOG10(3.301453)</f>
        <v>0.51870511896903471</v>
      </c>
    </row>
    <row r="8610" spans="1:4">
      <c r="A8610">
        <v>1.0260590000000001</v>
      </c>
      <c r="B8610">
        <v>3.3766229999999999</v>
      </c>
      <c r="C8610">
        <f>LOG10(1.026059)</f>
        <v>1.1172334106914534E-2</v>
      </c>
      <c r="D8610">
        <f>LOG10(3.376623)</f>
        <v>0.528482574357795</v>
      </c>
    </row>
    <row r="8611" spans="1:4">
      <c r="A8611">
        <v>1.0253159999999999</v>
      </c>
      <c r="B8611">
        <v>3.2677139999999998</v>
      </c>
      <c r="C8611">
        <f>LOG10(1.025316)</f>
        <v>1.0857734568395649E-2</v>
      </c>
      <c r="D8611">
        <f>LOG10(3.267714)</f>
        <v>0.51424403878534686</v>
      </c>
    </row>
    <row r="8612" spans="1:4">
      <c r="A8612">
        <v>1.0076400000000001</v>
      </c>
      <c r="B8612">
        <v>3.4566699999999999</v>
      </c>
      <c r="C8612">
        <f>LOG10(1.00764)</f>
        <v>3.3053992334496846E-3</v>
      </c>
      <c r="D8612">
        <f>LOG10(3.45667)</f>
        <v>0.53865792046809835</v>
      </c>
    </row>
    <row r="8613" spans="1:4">
      <c r="A8613">
        <v>1.0064489999999999</v>
      </c>
      <c r="B8613">
        <v>3.1598609999999998</v>
      </c>
      <c r="C8613">
        <f>LOG10(1.006449)</f>
        <v>2.7917726874169464E-3</v>
      </c>
      <c r="D8613">
        <f>LOG10(3.159861)</f>
        <v>0.49966797873843105</v>
      </c>
    </row>
    <row r="8614" spans="1:4">
      <c r="A8614">
        <v>1.009981</v>
      </c>
      <c r="B8614">
        <v>3.047612</v>
      </c>
      <c r="C8614">
        <f>LOG10(1.009981)</f>
        <v>4.3132038096018403E-3</v>
      </c>
      <c r="D8614">
        <f>LOG10(3.047612)</f>
        <v>0.48395967494281728</v>
      </c>
    </row>
    <row r="8615" spans="1:4">
      <c r="A8615">
        <v>1.008775</v>
      </c>
      <c r="B8615">
        <v>3.1906889999999999</v>
      </c>
      <c r="C8615">
        <f>LOG10(1.008775)</f>
        <v>3.7943107809421893E-3</v>
      </c>
      <c r="D8615">
        <f>LOG10(3.190689)</f>
        <v>0.50388447509098633</v>
      </c>
    </row>
    <row r="8616" spans="1:4">
      <c r="A8616">
        <v>1.003789</v>
      </c>
      <c r="B8616">
        <v>3.1715429999999998</v>
      </c>
      <c r="C8616">
        <f>LOG10(1.003789)</f>
        <v>1.6424321654479326E-3</v>
      </c>
      <c r="D8616">
        <f>LOG10(3.171543)</f>
        <v>0.50127060396811129</v>
      </c>
    </row>
    <row r="8617" spans="1:4">
      <c r="A8617">
        <v>1.013352</v>
      </c>
      <c r="B8617">
        <v>2.9705469999999998</v>
      </c>
      <c r="C8617">
        <f>LOG10(1.013352)</f>
        <v>5.7603289769152695E-3</v>
      </c>
      <c r="D8617">
        <f>LOG10(2.970547)</f>
        <v>0.47283642817514326</v>
      </c>
    </row>
    <row r="8618" spans="1:4">
      <c r="A8618">
        <v>1.0193190000000001</v>
      </c>
      <c r="B8618">
        <v>3.1215999999999999</v>
      </c>
      <c r="C8618">
        <f>LOG10(1.019319)</f>
        <v>8.3101194913610382E-3</v>
      </c>
      <c r="D8618">
        <f>LOG10(3.1216)</f>
        <v>0.49437725205044286</v>
      </c>
    </row>
    <row r="8619" spans="1:4">
      <c r="A8619">
        <v>1.008389</v>
      </c>
      <c r="B8619">
        <v>3.1211370000000001</v>
      </c>
      <c r="C8619">
        <f>LOG10(1.008389)</f>
        <v>3.6280995338042986E-3</v>
      </c>
      <c r="D8619">
        <f>LOG10(3.121137)</f>
        <v>0.49431283211877192</v>
      </c>
    </row>
    <row r="8620" spans="1:4">
      <c r="A8620">
        <v>1.0068429999999999</v>
      </c>
      <c r="B8620">
        <v>3.0533130000000002</v>
      </c>
      <c r="C8620">
        <f>LOG10(1.006843)</f>
        <v>2.9617550129358615E-3</v>
      </c>
      <c r="D8620">
        <f>LOG10(3.053313)</f>
        <v>0.48477132680281609</v>
      </c>
    </row>
    <row r="8621" spans="1:4">
      <c r="A8621">
        <v>1.019266</v>
      </c>
      <c r="B8621">
        <v>3.0901399999999999</v>
      </c>
      <c r="C8621">
        <f>LOG10(1.019266)</f>
        <v>8.2875375459959006E-3</v>
      </c>
      <c r="D8621">
        <f>LOG10(3.09014)</f>
        <v>0.48997815575173881</v>
      </c>
    </row>
    <row r="8622" spans="1:4">
      <c r="A8622">
        <v>1.008289</v>
      </c>
      <c r="B8622">
        <v>3.1964600000000001</v>
      </c>
      <c r="C8622">
        <f>LOG10(1.008289)</f>
        <v>3.5850292486859846E-3</v>
      </c>
      <c r="D8622">
        <f>LOG10(3.19646)</f>
        <v>0.50466927411073426</v>
      </c>
    </row>
    <row r="8623" spans="1:4">
      <c r="A8623">
        <v>1.005922</v>
      </c>
      <c r="B8623">
        <v>3.0762719999999999</v>
      </c>
      <c r="C8623">
        <f>LOG10(1.005922)</f>
        <v>2.5643064824327532E-3</v>
      </c>
      <c r="D8623">
        <f>LOG10(3.076272)</f>
        <v>0.48802473258471096</v>
      </c>
    </row>
    <row r="8624" spans="1:4">
      <c r="A8624">
        <v>1.0046850000000001</v>
      </c>
      <c r="B8624">
        <v>3.0893060000000001</v>
      </c>
      <c r="C8624">
        <f>LOG10(1.004685)</f>
        <v>2.0299182684288841E-3</v>
      </c>
      <c r="D8624">
        <f>LOG10(3.089306)</f>
        <v>0.4898609278966507</v>
      </c>
    </row>
    <row r="8625" spans="1:4">
      <c r="A8625">
        <v>1.0066729999999999</v>
      </c>
      <c r="B8625">
        <v>3.078227</v>
      </c>
      <c r="C8625">
        <f>LOG10(1.006673)</f>
        <v>2.8884205451700402E-3</v>
      </c>
      <c r="D8625">
        <f>LOG10(3.078227)</f>
        <v>0.48830064317976613</v>
      </c>
    </row>
    <row r="8626" spans="1:4">
      <c r="A8626">
        <v>1.0075829999999999</v>
      </c>
      <c r="B8626">
        <v>3.0798100000000002</v>
      </c>
      <c r="C8626">
        <f>LOG10(1.007583)</f>
        <v>3.2808314456910376E-3</v>
      </c>
      <c r="D8626">
        <f>LOG10(3.07981)</f>
        <v>0.48852392478070367</v>
      </c>
    </row>
    <row r="8627" spans="1:4">
      <c r="A8627">
        <v>1.0035540000000001</v>
      </c>
      <c r="B8627">
        <v>3.1722579999999998</v>
      </c>
      <c r="C8627">
        <f>LOG10(1.003554)</f>
        <v>1.5407463013843293E-3</v>
      </c>
      <c r="D8627">
        <f>LOG10(3.172258)</f>
        <v>0.50136850128736066</v>
      </c>
    </row>
    <row r="8628" spans="1:4">
      <c r="A8628">
        <v>1.0052049999999999</v>
      </c>
      <c r="B8628">
        <v>3.0702919999999998</v>
      </c>
      <c r="C8628">
        <f>LOG10(1.005205)</f>
        <v>2.2546401543315389E-3</v>
      </c>
      <c r="D8628">
        <f>LOG10(3.070292)</f>
        <v>0.48717968100103171</v>
      </c>
    </row>
    <row r="8629" spans="1:4">
      <c r="A8629">
        <v>1.005627</v>
      </c>
      <c r="B8629">
        <v>3.0193750000000001</v>
      </c>
      <c r="C8629">
        <f>LOG10(1.005627)</f>
        <v>2.4369251727257494E-3</v>
      </c>
      <c r="D8629">
        <f>LOG10(3.019375)</f>
        <v>0.47991705483059499</v>
      </c>
    </row>
    <row r="8630" spans="1:4">
      <c r="A8630">
        <v>1.0112909999999999</v>
      </c>
      <c r="B8630">
        <v>3.1473179999999998</v>
      </c>
      <c r="C8630">
        <f>LOG10(1.011291)</f>
        <v>4.8761422473290574E-3</v>
      </c>
      <c r="D8630">
        <f>LOG10(3.147318)</f>
        <v>0.49794062555320218</v>
      </c>
    </row>
    <row r="8631" spans="1:4">
      <c r="A8631">
        <v>1.006453</v>
      </c>
      <c r="B8631">
        <v>3.0227889999999999</v>
      </c>
      <c r="C8631">
        <f>LOG10(1.006453)</f>
        <v>2.793498730639781E-3</v>
      </c>
      <c r="D8631">
        <f>LOG10(3.022789)</f>
        <v>0.48040783314081753</v>
      </c>
    </row>
    <row r="8632" spans="1:4">
      <c r="A8632">
        <v>1.0073220000000001</v>
      </c>
      <c r="B8632">
        <v>3.0521609999999999</v>
      </c>
      <c r="C8632">
        <f>LOG10(1.007322)</f>
        <v>3.1683190836584245E-3</v>
      </c>
      <c r="D8632">
        <f>LOG10(3.052161)</f>
        <v>0.48460743870859446</v>
      </c>
    </row>
    <row r="8633" spans="1:4">
      <c r="A8633">
        <v>1.009674</v>
      </c>
      <c r="B8633">
        <v>2.9711609999999999</v>
      </c>
      <c r="C8633">
        <f>LOG10(1.009674)</f>
        <v>4.181172936040551E-3</v>
      </c>
      <c r="D8633">
        <f>LOG10(2.971161)</f>
        <v>0.47292618580471302</v>
      </c>
    </row>
    <row r="8634" spans="1:4">
      <c r="A8634">
        <v>1.0113270000000001</v>
      </c>
      <c r="B8634">
        <v>2.982596</v>
      </c>
      <c r="C8634">
        <f>LOG10(1.011327)</f>
        <v>4.8916020141760172E-3</v>
      </c>
      <c r="D8634">
        <f>LOG10(2.982596)</f>
        <v>0.47459443108480587</v>
      </c>
    </row>
    <row r="8635" spans="1:4">
      <c r="A8635">
        <v>1.003266</v>
      </c>
      <c r="B8635">
        <v>3.142547</v>
      </c>
      <c r="C8635">
        <f>LOG10(1.003266)</f>
        <v>1.4160945522022103E-3</v>
      </c>
      <c r="D8635">
        <f>LOG10(3.142547)</f>
        <v>0.49728178172410792</v>
      </c>
    </row>
    <row r="8636" spans="1:4">
      <c r="A8636">
        <v>1.00359</v>
      </c>
      <c r="B8636">
        <v>3.0981610000000002</v>
      </c>
      <c r="C8636">
        <f>LOG10(1.00359)</f>
        <v>1.5563252547131996E-3</v>
      </c>
      <c r="D8636">
        <f>LOG10(3.098161)</f>
        <v>0.49110398269199806</v>
      </c>
    </row>
    <row r="8637" spans="1:4">
      <c r="A8637">
        <v>1.011101</v>
      </c>
      <c r="B8637">
        <v>3.0129609999999998</v>
      </c>
      <c r="C8637">
        <f>LOG10(1.011101)</f>
        <v>4.7945399152348354E-3</v>
      </c>
      <c r="D8637">
        <f>LOG10(3.012961)</f>
        <v>0.4789935101684073</v>
      </c>
    </row>
    <row r="8638" spans="1:4">
      <c r="A8638">
        <v>1.017147</v>
      </c>
      <c r="B8638">
        <v>3.11388</v>
      </c>
      <c r="C8638">
        <f>LOG10(1.017147)</f>
        <v>7.3837225150611046E-3</v>
      </c>
      <c r="D8638">
        <f>LOG10(3.11388)</f>
        <v>0.49330187209144533</v>
      </c>
    </row>
    <row r="8639" spans="1:4">
      <c r="A8639">
        <v>1.0036940000000001</v>
      </c>
      <c r="B8639">
        <v>2.9678089999999999</v>
      </c>
      <c r="C8639">
        <f>LOG10(1.003694)</f>
        <v>1.6013279809426707E-3</v>
      </c>
      <c r="D8639">
        <f>LOG10(2.967809)</f>
        <v>0.47243594751156803</v>
      </c>
    </row>
    <row r="8640" spans="1:4">
      <c r="A8640">
        <v>1.005322</v>
      </c>
      <c r="B8640">
        <v>2.94062</v>
      </c>
      <c r="C8640">
        <f>LOG10(1.005322)</f>
        <v>2.3051865577771056E-3</v>
      </c>
      <c r="D8640">
        <f>LOG10(2.94062)</f>
        <v>0.46843890666764659</v>
      </c>
    </row>
    <row r="8641" spans="1:4">
      <c r="A8641">
        <v>1.0068090000000001</v>
      </c>
      <c r="B8641">
        <v>3.0292439999999998</v>
      </c>
      <c r="C8641">
        <f>LOG10(1.006809)</f>
        <v>2.9470891100032235E-3</v>
      </c>
      <c r="D8641">
        <f>LOG10(3.029244)</f>
        <v>0.48133425635884203</v>
      </c>
    </row>
    <row r="8642" spans="1:4">
      <c r="A8642">
        <v>1.008589</v>
      </c>
      <c r="B8642">
        <v>3.1090309999999999</v>
      </c>
      <c r="C8642">
        <f>LOG10(1.008589)</f>
        <v>3.7142272919308788E-3</v>
      </c>
      <c r="D8642">
        <f>LOG10(3.109031)</f>
        <v>0.49262505239437182</v>
      </c>
    </row>
    <row r="8643" spans="1:4">
      <c r="A8643">
        <v>1.0079530000000001</v>
      </c>
      <c r="B8643">
        <v>3.1674600000000002</v>
      </c>
      <c r="C8643">
        <f>LOG10(1.007953)</f>
        <v>3.4402817954831849E-3</v>
      </c>
      <c r="D8643">
        <f>LOG10(3.16746)</f>
        <v>0.50071113913907339</v>
      </c>
    </row>
    <row r="8644" spans="1:4">
      <c r="A8644">
        <v>1.004389</v>
      </c>
      <c r="B8644">
        <v>3.135758</v>
      </c>
      <c r="C8644">
        <f>LOG10(1.004389)</f>
        <v>1.901947703309301E-3</v>
      </c>
      <c r="D8644">
        <f>LOG10(3.135758)</f>
        <v>0.49634253892311558</v>
      </c>
    </row>
    <row r="8645" spans="1:4">
      <c r="A8645">
        <v>1.012256</v>
      </c>
      <c r="B8645">
        <v>3.1644030000000001</v>
      </c>
      <c r="C8645">
        <f>LOG10(1.012256)</f>
        <v>5.2903596653645912E-3</v>
      </c>
      <c r="D8645">
        <f>LOG10(3.164403)</f>
        <v>0.50029178757245474</v>
      </c>
    </row>
    <row r="8646" spans="1:4">
      <c r="A8646">
        <v>1.0046930000000001</v>
      </c>
      <c r="B8646">
        <v>3.1066630000000002</v>
      </c>
      <c r="C8646">
        <f>LOG10(1.004693)</f>
        <v>2.0333764090626999E-3</v>
      </c>
      <c r="D8646">
        <f>LOG10(3.106663)</f>
        <v>0.49229414505469232</v>
      </c>
    </row>
    <row r="8647" spans="1:4">
      <c r="A8647">
        <v>1.011398</v>
      </c>
      <c r="B8647">
        <v>3.1626820000000002</v>
      </c>
      <c r="C8647">
        <f>LOG10(1.011398)</f>
        <v>4.9220904970174962E-3</v>
      </c>
      <c r="D8647">
        <f>LOG10(3.162682)</f>
        <v>0.50005552685467125</v>
      </c>
    </row>
    <row r="8648" spans="1:4">
      <c r="A8648">
        <v>1.0045660000000001</v>
      </c>
      <c r="B8648">
        <v>3.2304580000000001</v>
      </c>
      <c r="C8648">
        <f>LOG10(1.004566)</f>
        <v>1.9784751750503999E-3</v>
      </c>
      <c r="D8648">
        <f>LOG10(3.230458)</f>
        <v>0.5092640990406937</v>
      </c>
    </row>
    <row r="8649" spans="1:4">
      <c r="A8649">
        <v>1.0168779999999999</v>
      </c>
      <c r="B8649">
        <v>3.1928049999999999</v>
      </c>
      <c r="C8649">
        <f>LOG10(1.016878)</f>
        <v>7.2688515411909686E-3</v>
      </c>
      <c r="D8649">
        <f>LOG10(3.192805)</f>
        <v>0.50417239489082188</v>
      </c>
    </row>
    <row r="8650" spans="1:4">
      <c r="A8650">
        <v>1.0027200000000001</v>
      </c>
      <c r="B8650">
        <v>3.1074609999999998</v>
      </c>
      <c r="C8650">
        <f>LOG10(1.00272)</f>
        <v>1.1796773558958218E-3</v>
      </c>
      <c r="D8650">
        <f>LOG10(3.107461)</f>
        <v>0.49240568676144414</v>
      </c>
    </row>
    <row r="8651" spans="1:4">
      <c r="A8651">
        <v>1.004901</v>
      </c>
      <c r="B8651">
        <v>3.2494689999999999</v>
      </c>
      <c r="C8651">
        <f>LOG10(1.004901)</f>
        <v>2.1232784017621701E-3</v>
      </c>
      <c r="D8651">
        <f>LOG10(3.249469)</f>
        <v>0.51181239814470936</v>
      </c>
    </row>
    <row r="8652" spans="1:4">
      <c r="A8652">
        <v>1.00302</v>
      </c>
      <c r="B8652">
        <v>3.5107170000000001</v>
      </c>
      <c r="C8652">
        <f>LOG10(1.00302)</f>
        <v>1.3095928439875375E-3</v>
      </c>
      <c r="D8652">
        <f>LOG10(3.510717)</f>
        <v>0.54539582226171568</v>
      </c>
    </row>
    <row r="8653" spans="1:4">
      <c r="A8653">
        <v>1.0033209999999999</v>
      </c>
      <c r="B8653">
        <v>3.295766</v>
      </c>
      <c r="C8653">
        <f>LOG10(1.003321)</f>
        <v>1.4399023377710638E-3</v>
      </c>
      <c r="D8653">
        <f>LOG10(3.295766)</f>
        <v>0.51795636913054732</v>
      </c>
    </row>
    <row r="8654" spans="1:4">
      <c r="A8654">
        <v>1.0173140000000001</v>
      </c>
      <c r="B8654">
        <v>3.2051270000000001</v>
      </c>
      <c r="C8654">
        <f>LOG10(1.017314)</f>
        <v>7.4550211820208082E-3</v>
      </c>
      <c r="D8654">
        <f>LOG10(3.205127)</f>
        <v>0.50584524268680131</v>
      </c>
    </row>
    <row r="8655" spans="1:4">
      <c r="A8655">
        <v>1.0062340000000001</v>
      </c>
      <c r="B8655">
        <v>3.0972529999999998</v>
      </c>
      <c r="C8655">
        <f>LOG10(1.006234)</f>
        <v>2.698987769012708E-3</v>
      </c>
      <c r="D8655">
        <f>LOG10(3.097253)</f>
        <v>0.49097668227514402</v>
      </c>
    </row>
    <row r="8656" spans="1:4">
      <c r="A8656">
        <v>1.005773</v>
      </c>
      <c r="B8656">
        <v>3.185209</v>
      </c>
      <c r="C8656">
        <f>LOG10(1.005773)</f>
        <v>2.4999727957437713E-3</v>
      </c>
      <c r="D8656">
        <f>LOG10(3.185209)</f>
        <v>0.50313793418118413</v>
      </c>
    </row>
    <row r="8657" spans="1:4">
      <c r="A8657">
        <v>1.006845</v>
      </c>
      <c r="B8657">
        <v>3.1558860000000002</v>
      </c>
      <c r="C8657">
        <f>LOG10(1.006845)</f>
        <v>2.9626176976852684E-3</v>
      </c>
      <c r="D8657">
        <f>LOG10(3.155886)</f>
        <v>0.49912130681078487</v>
      </c>
    </row>
    <row r="8658" spans="1:4">
      <c r="A8658">
        <v>1.0105649999999999</v>
      </c>
      <c r="B8658">
        <v>3.0321440000000002</v>
      </c>
      <c r="C8658">
        <f>LOG10(1.010565)</f>
        <v>4.5642527681447843E-3</v>
      </c>
      <c r="D8658">
        <f>LOG10(3.032144)</f>
        <v>0.48174982259338012</v>
      </c>
    </row>
    <row r="8659" spans="1:4">
      <c r="A8659">
        <v>1.0004379999999999</v>
      </c>
      <c r="B8659">
        <v>3.141648</v>
      </c>
      <c r="C8659">
        <f>LOG10(1.000438)</f>
        <v>1.9017933683856131E-4</v>
      </c>
      <c r="D8659">
        <f>LOG10(3.141648)</f>
        <v>0.49715752372705518</v>
      </c>
    </row>
    <row r="8660" spans="1:4">
      <c r="A8660">
        <v>1.0013380000000001</v>
      </c>
      <c r="B8660">
        <v>3.2994330000000001</v>
      </c>
      <c r="C8660">
        <f>LOG10(1.001338)</f>
        <v>5.8069761665566222E-4</v>
      </c>
      <c r="D8660">
        <f>LOG10(3.299433)</f>
        <v>0.51843931377838925</v>
      </c>
    </row>
    <row r="8661" spans="1:4">
      <c r="A8661">
        <v>1.0071049999999999</v>
      </c>
      <c r="B8661">
        <v>3.1955969999999998</v>
      </c>
      <c r="C8661">
        <f>LOG10(1.007105)</f>
        <v>3.0747521259701103E-3</v>
      </c>
      <c r="D8661">
        <f>LOG10(3.195597)</f>
        <v>0.50455200477469431</v>
      </c>
    </row>
    <row r="8662" spans="1:4">
      <c r="A8662">
        <v>1.0010889999999999</v>
      </c>
      <c r="B8662">
        <v>3.156587</v>
      </c>
      <c r="C8662">
        <f>LOG10(1.001089)</f>
        <v>4.7268935812603088E-4</v>
      </c>
      <c r="D8662">
        <f>LOG10(3.156587)</f>
        <v>0.4992177635981852</v>
      </c>
    </row>
    <row r="8663" spans="1:4">
      <c r="A8663">
        <v>1.00596</v>
      </c>
      <c r="B8663">
        <v>3.2630140000000001</v>
      </c>
      <c r="C8663">
        <f>LOG10(1.00596)</f>
        <v>2.580712206341291E-3</v>
      </c>
      <c r="D8663">
        <f>LOG10(3.263014)</f>
        <v>0.51361893713746221</v>
      </c>
    </row>
    <row r="8664" spans="1:4">
      <c r="A8664">
        <v>1.003862</v>
      </c>
      <c r="B8664">
        <v>2.972785</v>
      </c>
      <c r="C8664">
        <f>LOG10(1.003862)</f>
        <v>1.674014843107451E-3</v>
      </c>
      <c r="D8664">
        <f>LOG10(2.972785)</f>
        <v>0.4731635009674553</v>
      </c>
    </row>
    <row r="8665" spans="1:4">
      <c r="A8665">
        <v>1.0013049999999999</v>
      </c>
      <c r="B8665">
        <v>2.9978349999999998</v>
      </c>
      <c r="C8665">
        <f>LOG10(1.001305)</f>
        <v>5.6638481312135363E-4</v>
      </c>
      <c r="D8665">
        <f>LOG10(2.997835)</f>
        <v>0.47680772572323055</v>
      </c>
    </row>
    <row r="8666" spans="1:4">
      <c r="A8666">
        <v>1.0010330000000001</v>
      </c>
      <c r="B8666">
        <v>2.9596610000000001</v>
      </c>
      <c r="C8666">
        <f>LOG10(1.001033)</f>
        <v>4.4839464382505194E-4</v>
      </c>
      <c r="D8666">
        <f>LOG10(2.959661)</f>
        <v>0.47124196975465577</v>
      </c>
    </row>
    <row r="8667" spans="1:4">
      <c r="A8667">
        <v>1.000313</v>
      </c>
      <c r="B8667">
        <v>3.2551009999999998</v>
      </c>
      <c r="C8667">
        <f>LOG10(1.000313)</f>
        <v>1.3591290357574222E-4</v>
      </c>
      <c r="D8667">
        <f>LOG10(3.255101)</f>
        <v>0.51256446849934378</v>
      </c>
    </row>
    <row r="8668" spans="1:4">
      <c r="A8668">
        <v>1.0242100000000001</v>
      </c>
      <c r="B8668">
        <v>3.1726749999999999</v>
      </c>
      <c r="C8668">
        <f>LOG10(1.02421)</f>
        <v>1.0389011806537323E-2</v>
      </c>
      <c r="D8668">
        <f>LOG10(3.172675)</f>
        <v>0.50142558646043167</v>
      </c>
    </row>
    <row r="8669" spans="1:4">
      <c r="A8669">
        <v>1.0090030000000001</v>
      </c>
      <c r="B8669">
        <v>3.186852</v>
      </c>
      <c r="C8669">
        <f>LOG10(1.009003)</f>
        <v>3.8924574970778769E-3</v>
      </c>
      <c r="D8669">
        <f>LOG10(3.186852)</f>
        <v>0.50336189495292827</v>
      </c>
    </row>
    <row r="8670" spans="1:4">
      <c r="A8670">
        <v>1.0032890000000001</v>
      </c>
      <c r="B8670">
        <v>3.1165370000000001</v>
      </c>
      <c r="C8670">
        <f>LOG10(1.003289)</f>
        <v>1.4260506940316229E-3</v>
      </c>
      <c r="D8670">
        <f>LOG10(3.116537)</f>
        <v>0.4936722872685898</v>
      </c>
    </row>
    <row r="8671" spans="1:4">
      <c r="A8671">
        <v>1.004181</v>
      </c>
      <c r="B8671">
        <v>3.094408</v>
      </c>
      <c r="C8671">
        <f>LOG10(1.004181)</f>
        <v>1.8119998771854633E-3</v>
      </c>
      <c r="D8671">
        <f>LOG10(3.094408)</f>
        <v>0.49057757518967215</v>
      </c>
    </row>
    <row r="8672" spans="1:4">
      <c r="A8672">
        <v>1.0028649999999999</v>
      </c>
      <c r="B8672">
        <v>2.9585819999999998</v>
      </c>
      <c r="C8672">
        <f>LOG10(1.002865)</f>
        <v>1.242474694313911E-3</v>
      </c>
      <c r="D8672">
        <f>LOG10(2.958582)</f>
        <v>0.47108361067708299</v>
      </c>
    </row>
    <row r="8673" spans="1:4">
      <c r="A8673">
        <v>1.000885</v>
      </c>
      <c r="B8673">
        <v>3.0063279999999999</v>
      </c>
      <c r="C8673">
        <f>LOG10(1.000885)</f>
        <v>3.8418064161437499E-4</v>
      </c>
      <c r="D8673">
        <f>LOG10(3.006328)</f>
        <v>0.47803636175287978</v>
      </c>
    </row>
    <row r="8674" spans="1:4">
      <c r="A8674">
        <v>1.0017259999999999</v>
      </c>
      <c r="B8674">
        <v>3.1266069999999999</v>
      </c>
      <c r="C8674">
        <f>LOG10(1.001726)</f>
        <v>7.4894612103285042E-4</v>
      </c>
      <c r="D8674">
        <f>LOG10(3.126607)</f>
        <v>0.49507329587112697</v>
      </c>
    </row>
    <row r="8675" spans="1:4">
      <c r="A8675">
        <v>1.006534</v>
      </c>
      <c r="B8675">
        <v>3.4559009999999999</v>
      </c>
      <c r="C8675">
        <f>LOG10(1.006534)</f>
        <v>2.8284496300277537E-3</v>
      </c>
      <c r="D8675">
        <f>LOG10(3.455901)</f>
        <v>0.5385612929013186</v>
      </c>
    </row>
    <row r="8676" spans="1:4">
      <c r="A8676">
        <v>1.0150710000000001</v>
      </c>
      <c r="B8676">
        <v>3.135367</v>
      </c>
      <c r="C8676">
        <f>LOG10(1.015071)</f>
        <v>6.4964204066732386E-3</v>
      </c>
      <c r="D8676">
        <f>LOG10(3.135367)</f>
        <v>0.4962883830443397</v>
      </c>
    </row>
    <row r="8677" spans="1:4">
      <c r="A8677">
        <v>1.000362</v>
      </c>
      <c r="B8677">
        <v>3.261253</v>
      </c>
      <c r="C8677">
        <f>LOG10(1.000362)</f>
        <v>1.5718615347140187E-4</v>
      </c>
      <c r="D8677">
        <f>LOG10(3.261253)</f>
        <v>0.51338449161240796</v>
      </c>
    </row>
    <row r="8678" spans="1:4">
      <c r="A8678">
        <v>1.016667</v>
      </c>
      <c r="B8678">
        <v>3.256478</v>
      </c>
      <c r="C8678">
        <f>LOG10(1.016667)</f>
        <v>7.1787270187334638E-3</v>
      </c>
      <c r="D8678">
        <f>LOG10(3.256478)</f>
        <v>0.5127481485285641</v>
      </c>
    </row>
    <row r="8679" spans="1:4">
      <c r="A8679">
        <v>1.003112</v>
      </c>
      <c r="B8679">
        <v>3.0953689999999998</v>
      </c>
      <c r="C8679">
        <f>LOG10(1.003112)</f>
        <v>1.3494258084814996E-3</v>
      </c>
      <c r="D8679">
        <f>LOG10(3.095369)</f>
        <v>0.49071242883640687</v>
      </c>
    </row>
    <row r="8680" spans="1:4">
      <c r="A8680">
        <v>1.007986</v>
      </c>
      <c r="B8680">
        <v>3.3346149999999999</v>
      </c>
      <c r="C8680">
        <f>LOG10(1.007986)</f>
        <v>3.4545001998139368E-3</v>
      </c>
      <c r="D8680">
        <f>LOG10(3.334615)</f>
        <v>0.52304569941375367</v>
      </c>
    </row>
    <row r="8681" spans="1:4">
      <c r="A8681">
        <v>1.0025580000000001</v>
      </c>
      <c r="B8681">
        <v>3.3015659999999998</v>
      </c>
      <c r="C8681">
        <f>LOG10(1.002558)</f>
        <v>1.1095068296930869E-3</v>
      </c>
      <c r="D8681">
        <f>LOG10(3.301566)</f>
        <v>0.51871998346555059</v>
      </c>
    </row>
    <row r="8682" spans="1:4">
      <c r="A8682">
        <v>1.0150920000000001</v>
      </c>
      <c r="B8682">
        <v>3.2592059999999998</v>
      </c>
      <c r="C8682">
        <f>LOG10(1.015092)</f>
        <v>6.5054050883173384E-3</v>
      </c>
      <c r="D8682">
        <f>LOG10(3.259206)</f>
        <v>0.51311181116654936</v>
      </c>
    </row>
    <row r="8683" spans="1:4">
      <c r="A8683">
        <v>1.0044120000000001</v>
      </c>
      <c r="B8683">
        <v>3.5311650000000001</v>
      </c>
      <c r="C8683">
        <f>LOG10(1.004412)</f>
        <v>1.9118927133767566E-3</v>
      </c>
      <c r="D8683">
        <f>LOG10(3.531165)</f>
        <v>0.54791801122361827</v>
      </c>
    </row>
    <row r="8684" spans="1:4">
      <c r="A8684">
        <v>1.0077</v>
      </c>
      <c r="B8684">
        <v>3.2787030000000001</v>
      </c>
      <c r="C8684">
        <f>LOG10(1.0077)</f>
        <v>3.3312585613267391E-3</v>
      </c>
      <c r="D8684">
        <f>LOG10(3.278703)</f>
        <v>0.51570207805911916</v>
      </c>
    </row>
    <row r="8685" spans="1:4">
      <c r="A8685">
        <v>1.0022789999999999</v>
      </c>
      <c r="B8685">
        <v>3.3245619999999998</v>
      </c>
      <c r="C8685">
        <f>LOG10(1.002279)</f>
        <v>9.8863100663787841E-4</v>
      </c>
      <c r="D8685">
        <f>LOG10(3.324562)</f>
        <v>0.5217344365525024</v>
      </c>
    </row>
    <row r="8686" spans="1:4">
      <c r="A8686">
        <v>1.002381</v>
      </c>
      <c r="B8686">
        <v>3.516235</v>
      </c>
      <c r="C8686">
        <f>LOG10(1.002381)</f>
        <v>1.0328260693341759E-3</v>
      </c>
      <c r="D8686">
        <f>LOG10(3.516235)</f>
        <v>0.54607789250887806</v>
      </c>
    </row>
    <row r="8687" spans="1:4">
      <c r="A8687">
        <v>1.0174639999999999</v>
      </c>
      <c r="B8687">
        <v>3.3655400000000002</v>
      </c>
      <c r="C8687">
        <f>LOG10(1.017464)</f>
        <v>7.5190519238544995E-3</v>
      </c>
      <c r="D8687">
        <f>LOG10(3.36554)</f>
        <v>0.52705475658524503</v>
      </c>
    </row>
    <row r="8688" spans="1:4">
      <c r="A8688">
        <v>1.0056320000000001</v>
      </c>
      <c r="B8688">
        <v>3.1756479999999998</v>
      </c>
      <c r="C8688">
        <f>LOG10(1.005632)</f>
        <v>2.4390844892628388E-3</v>
      </c>
      <c r="D8688">
        <f>LOG10(3.175648)</f>
        <v>0.50183235769405954</v>
      </c>
    </row>
    <row r="8689" spans="1:4">
      <c r="A8689">
        <v>1.0222789999999999</v>
      </c>
      <c r="B8689">
        <v>3.8016519999999998</v>
      </c>
      <c r="C8689">
        <f>LOG10(1.022279)</f>
        <v>9.5694394624534114E-3</v>
      </c>
      <c r="D8689">
        <f>LOG10(3.801652)</f>
        <v>0.57997235940032055</v>
      </c>
    </row>
    <row r="8690" spans="1:4">
      <c r="A8690">
        <v>1.005298</v>
      </c>
      <c r="B8690">
        <v>3.839048</v>
      </c>
      <c r="C8690">
        <f>LOG10(1.005298)</f>
        <v>2.2948185443621553E-3</v>
      </c>
      <c r="D8690">
        <f>LOG10(3.839048)</f>
        <v>0.58422354217856931</v>
      </c>
    </row>
    <row r="8691" spans="1:4">
      <c r="A8691">
        <v>1.0051699999999999</v>
      </c>
      <c r="B8691">
        <v>3.5810170000000001</v>
      </c>
      <c r="C8691">
        <f>LOG10(1.00517)</f>
        <v>2.2395182921235903E-3</v>
      </c>
      <c r="D8691">
        <f>LOG10(3.581017)</f>
        <v>0.55400638272334324</v>
      </c>
    </row>
    <row r="8692" spans="1:4">
      <c r="A8692">
        <v>1.0052220000000001</v>
      </c>
      <c r="B8692">
        <v>3.5167440000000001</v>
      </c>
      <c r="C8692">
        <f>LOG10(1.005222)</f>
        <v>2.26198486885497E-3</v>
      </c>
      <c r="D8692">
        <f>LOG10(3.516744)</f>
        <v>0.54614075517110838</v>
      </c>
    </row>
    <row r="8693" spans="1:4">
      <c r="A8693">
        <v>1.008427</v>
      </c>
      <c r="B8693">
        <v>3.418857</v>
      </c>
      <c r="C8693">
        <f>LOG10(1.008427)</f>
        <v>3.6444651222509086E-3</v>
      </c>
      <c r="D8693">
        <f>LOG10(3.418857)</f>
        <v>0.53388093600873165</v>
      </c>
    </row>
    <row r="8694" spans="1:4">
      <c r="A8694">
        <v>1.0033049999999999</v>
      </c>
      <c r="B8694">
        <v>3.4262160000000002</v>
      </c>
      <c r="C8694">
        <f>LOG10(1.003305)</f>
        <v>1.4329765711253548E-3</v>
      </c>
      <c r="D8694">
        <f>LOG10(3.426216)</f>
        <v>0.53481473885455233</v>
      </c>
    </row>
    <row r="8695" spans="1:4">
      <c r="A8695">
        <v>1.015787</v>
      </c>
      <c r="B8695">
        <v>3.5338319999999999</v>
      </c>
      <c r="C8695">
        <f>LOG10(1.015787)</f>
        <v>6.8026504453332281E-3</v>
      </c>
      <c r="D8695">
        <f>LOG10(3.533832)</f>
        <v>0.54824589910191579</v>
      </c>
    </row>
    <row r="8696" spans="1:4">
      <c r="A8696">
        <v>1.013369</v>
      </c>
      <c r="B8696">
        <v>3.3853070000000001</v>
      </c>
      <c r="C8696">
        <f>LOG10(1.013369)</f>
        <v>5.7676146429664916E-3</v>
      </c>
      <c r="D8696">
        <f>LOG10(3.385307)</f>
        <v>0.5295980592428029</v>
      </c>
    </row>
    <row r="8697" spans="1:4">
      <c r="A8697">
        <v>1.000947</v>
      </c>
      <c r="B8697">
        <v>3.451616</v>
      </c>
      <c r="C8697">
        <f>LOG10(1.000947)</f>
        <v>4.1108225762072722E-4</v>
      </c>
      <c r="D8697">
        <f>LOG10(3.451616)</f>
        <v>0.5380224734981478</v>
      </c>
    </row>
    <row r="8698" spans="1:4">
      <c r="A8698">
        <v>1.002759</v>
      </c>
      <c r="B8698">
        <v>3.6756669999999998</v>
      </c>
      <c r="C8698">
        <f>LOG10(1.002759)</f>
        <v>1.1965685672187213E-3</v>
      </c>
      <c r="D8698">
        <f>LOG10(3.675667)</f>
        <v>0.56533615923930181</v>
      </c>
    </row>
    <row r="8699" spans="1:4">
      <c r="A8699">
        <v>1.0128280000000001</v>
      </c>
      <c r="B8699">
        <v>3.3193570000000001</v>
      </c>
      <c r="C8699">
        <f>LOG10(1.012828)</f>
        <v>5.5356990688215047E-3</v>
      </c>
      <c r="D8699">
        <f>LOG10(3.319357)</f>
        <v>0.52105396370484458</v>
      </c>
    </row>
    <row r="8700" spans="1:4">
      <c r="A8700">
        <v>1.0023280000000001</v>
      </c>
      <c r="B8700">
        <v>3.5470130000000002</v>
      </c>
      <c r="C8700">
        <f>LOG10(1.002328)</f>
        <v>1.0098625294426766E-3</v>
      </c>
      <c r="D8700">
        <f>LOG10(3.547013)</f>
        <v>0.54986278018829982</v>
      </c>
    </row>
    <row r="8701" spans="1:4">
      <c r="A8701">
        <v>1</v>
      </c>
      <c r="B8701">
        <v>3.662239</v>
      </c>
      <c r="C8701">
        <f>LOG10(1)</f>
        <v>0</v>
      </c>
      <c r="D8701">
        <f>LOG10(3.662239)</f>
        <v>0.56374668321914378</v>
      </c>
    </row>
    <row r="8702" spans="1:4">
      <c r="A8702">
        <v>1.00718</v>
      </c>
      <c r="B8702">
        <v>3.4994589999999999</v>
      </c>
      <c r="C8702">
        <f>LOG10(1.00718)</f>
        <v>3.1070932158931519E-3</v>
      </c>
      <c r="D8702">
        <f>LOG10(3.499459)</f>
        <v>0.54400090964309966</v>
      </c>
    </row>
    <row r="8703" spans="1:4">
      <c r="A8703">
        <v>1.005706</v>
      </c>
      <c r="B8703">
        <v>3.8010190000000001</v>
      </c>
      <c r="C8703">
        <f>LOG10(1.005706)</f>
        <v>2.4710411188052636E-3</v>
      </c>
      <c r="D8703">
        <f>LOG10(3.801019)</f>
        <v>0.57990004049879773</v>
      </c>
    </row>
    <row r="8704" spans="1:4">
      <c r="A8704">
        <v>1.0027649999999999</v>
      </c>
      <c r="B8704">
        <v>3.7603780000000002</v>
      </c>
      <c r="C8704">
        <f>LOG10(1.002765)</f>
        <v>1.1991671568056879E-3</v>
      </c>
      <c r="D8704">
        <f>LOG10(3.760378)</f>
        <v>0.57523150318906702</v>
      </c>
    </row>
    <row r="8705" spans="1:4">
      <c r="A8705">
        <v>1.001277</v>
      </c>
      <c r="B8705">
        <v>3.824589</v>
      </c>
      <c r="C8705">
        <f>LOG10(1.001277)</f>
        <v>5.5424024626312025E-4</v>
      </c>
      <c r="D8705">
        <f>LOG10(3.824589)</f>
        <v>0.58258477161447764</v>
      </c>
    </row>
    <row r="8706" spans="1:4">
      <c r="A8706">
        <v>1.0123009999999999</v>
      </c>
      <c r="B8706">
        <v>3.3496079999999999</v>
      </c>
      <c r="C8706">
        <f>LOG10(1.012301)</f>
        <v>5.3096658658704794E-3</v>
      </c>
      <c r="D8706">
        <f>LOG10(3.349608)</f>
        <v>0.5249939851269364</v>
      </c>
    </row>
    <row r="8707" spans="1:4">
      <c r="A8707">
        <v>1.0033669999999999</v>
      </c>
      <c r="B8707">
        <v>3.3526630000000002</v>
      </c>
      <c r="C8707">
        <f>LOG10(1.003367)</f>
        <v>1.459813301678801E-3</v>
      </c>
      <c r="D8707">
        <f>LOG10(3.352663)</f>
        <v>0.52538990159587695</v>
      </c>
    </row>
    <row r="8708" spans="1:4">
      <c r="A8708">
        <v>1.0012760000000001</v>
      </c>
      <c r="B8708">
        <v>3.688015</v>
      </c>
      <c r="C8708">
        <f>LOG10(1.001276)</f>
        <v>5.5380650545139884E-4</v>
      </c>
      <c r="D8708">
        <f>LOG10(3.688015)</f>
        <v>0.56679267876011141</v>
      </c>
    </row>
    <row r="8709" spans="1:4">
      <c r="A8709">
        <v>1.0028319999999999</v>
      </c>
      <c r="B8709">
        <v>3.4763929999999998</v>
      </c>
      <c r="C8709">
        <f>LOG10(1.002832)</f>
        <v>1.2281836843517095E-3</v>
      </c>
      <c r="D8709">
        <f>LOG10(3.476393)</f>
        <v>0.5411288667650116</v>
      </c>
    </row>
    <row r="8710" spans="1:4">
      <c r="A8710">
        <v>1.034422</v>
      </c>
      <c r="B8710">
        <v>3.6542089999999998</v>
      </c>
      <c r="C8710">
        <f>LOG10(1.034422)</f>
        <v>1.469774850903446E-2</v>
      </c>
      <c r="D8710">
        <f>LOG10(3.654209)</f>
        <v>0.56279338290457981</v>
      </c>
    </row>
    <row r="8711" spans="1:4">
      <c r="A8711">
        <v>1.004065</v>
      </c>
      <c r="B8711">
        <v>3.809339</v>
      </c>
      <c r="C8711">
        <f>LOG10(1.004065)</f>
        <v>1.7618285735136947E-3</v>
      </c>
      <c r="D8711">
        <f>LOG10(3.809339)</f>
        <v>0.58084962303590659</v>
      </c>
    </row>
    <row r="8712" spans="1:4">
      <c r="A8712">
        <v>1.0044230000000001</v>
      </c>
      <c r="B8712">
        <v>3.7515900000000002</v>
      </c>
      <c r="C8712">
        <f>LOG10(1.004423)</f>
        <v>1.9166489420376234E-3</v>
      </c>
      <c r="D8712">
        <f>LOG10(3.75159)</f>
        <v>0.57421536956121466</v>
      </c>
    </row>
    <row r="8713" spans="1:4">
      <c r="A8713">
        <v>1</v>
      </c>
      <c r="B8713">
        <v>3.8052060000000001</v>
      </c>
      <c r="C8713">
        <f>LOG10(1)</f>
        <v>0</v>
      </c>
      <c r="D8713">
        <f>LOG10(3.805206)</f>
        <v>0.58037817286522053</v>
      </c>
    </row>
    <row r="8714" spans="1:4">
      <c r="A8714">
        <v>1.013612</v>
      </c>
      <c r="B8714">
        <v>3.7924799999999999</v>
      </c>
      <c r="C8714">
        <f>LOG10(1.013612)</f>
        <v>5.8717434528646195E-3</v>
      </c>
      <c r="D8714">
        <f>LOG10(3.79248)</f>
        <v>0.57892329917200713</v>
      </c>
    </row>
    <row r="8715" spans="1:4">
      <c r="A8715">
        <v>1.015944</v>
      </c>
      <c r="B8715">
        <v>3.434053</v>
      </c>
      <c r="C8715">
        <f>LOG10(1.015944)</f>
        <v>6.8697697970530273E-3</v>
      </c>
      <c r="D8715">
        <f>LOG10(3.434053)</f>
        <v>0.53580699362918338</v>
      </c>
    </row>
    <row r="8716" spans="1:4">
      <c r="A8716">
        <v>1.006462</v>
      </c>
      <c r="B8716">
        <v>3.9004799999999999</v>
      </c>
      <c r="C8716">
        <f>LOG10(1.006462)</f>
        <v>2.7973823028096174E-3</v>
      </c>
      <c r="D8716">
        <f>LOG10(3.90048)</f>
        <v>0.59111805536598006</v>
      </c>
    </row>
    <row r="8717" spans="1:4">
      <c r="A8717">
        <v>1.029342</v>
      </c>
      <c r="B8717">
        <v>3.6927279999999998</v>
      </c>
      <c r="C8717">
        <f>LOG10(1.029342)</f>
        <v>1.2559693553166157E-2</v>
      </c>
      <c r="D8717">
        <f>LOG10(3.692728)</f>
        <v>0.56734731944368733</v>
      </c>
    </row>
    <row r="8718" spans="1:4">
      <c r="A8718">
        <v>1.020173</v>
      </c>
      <c r="B8718">
        <v>3.7841779999999998</v>
      </c>
      <c r="C8718">
        <f>LOG10(1.020173)</f>
        <v>8.6738252663501186E-3</v>
      </c>
      <c r="D8718">
        <f>LOG10(3.784178)</f>
        <v>0.57797155653515397</v>
      </c>
    </row>
    <row r="8719" spans="1:4">
      <c r="A8719">
        <v>1.0162249999999999</v>
      </c>
      <c r="B8719">
        <v>3.7211699999999999</v>
      </c>
      <c r="C8719">
        <f>LOG10(1.016225)</f>
        <v>6.9898747196186139E-3</v>
      </c>
      <c r="D8719">
        <f>LOG10(3.72117)</f>
        <v>0.5706795110254177</v>
      </c>
    </row>
    <row r="8720" spans="1:4">
      <c r="A8720">
        <v>1.014748</v>
      </c>
      <c r="B8720">
        <v>3.8625069999999999</v>
      </c>
      <c r="C8720">
        <f>LOG10(1.014748)</f>
        <v>6.3582040249773398E-3</v>
      </c>
      <c r="D8720">
        <f>LOG10(3.862507)</f>
        <v>0.58686927950308354</v>
      </c>
    </row>
    <row r="8721" spans="1:4">
      <c r="A8721">
        <v>1.017509</v>
      </c>
      <c r="B8721">
        <v>3.4066529999999999</v>
      </c>
      <c r="C8721">
        <f>LOG10(1.017509)</f>
        <v>7.5382593056613966E-3</v>
      </c>
      <c r="D8721">
        <f>LOG10(3.406653)</f>
        <v>0.53232789879826092</v>
      </c>
    </row>
    <row r="8722" spans="1:4">
      <c r="A8722">
        <v>1.0072509999999999</v>
      </c>
      <c r="B8722">
        <v>3.7386819999999998</v>
      </c>
      <c r="C8722">
        <f>LOG10(1.007251)</f>
        <v>3.1377072287115306E-3</v>
      </c>
      <c r="D8722">
        <f>LOG10(3.738682)</f>
        <v>0.57271852706422632</v>
      </c>
    </row>
    <row r="8723" spans="1:4">
      <c r="A8723">
        <v>1.0228109999999999</v>
      </c>
      <c r="B8723">
        <v>3.5356390000000002</v>
      </c>
      <c r="C8723">
        <f>LOG10(1.022811)</f>
        <v>9.7953900754671613E-3</v>
      </c>
      <c r="D8723">
        <f>LOG10(3.535639)</f>
        <v>0.54846791575518172</v>
      </c>
    </row>
    <row r="8724" spans="1:4">
      <c r="A8724">
        <v>1.0072190000000001</v>
      </c>
      <c r="B8724">
        <v>3.5208469999999998</v>
      </c>
      <c r="C8724">
        <f>LOG10(1.007219)</f>
        <v>3.1239096309096368E-3</v>
      </c>
      <c r="D8724">
        <f>LOG10(3.520847)</f>
        <v>0.54664715301694544</v>
      </c>
    </row>
    <row r="8725" spans="1:4">
      <c r="A8725">
        <v>1.0119359999999999</v>
      </c>
      <c r="B8725">
        <v>3.515139</v>
      </c>
      <c r="C8725">
        <f>LOG10(1.011936)</f>
        <v>5.1530463715991582E-3</v>
      </c>
      <c r="D8725">
        <f>LOG10(3.515139)</f>
        <v>0.54594250310816617</v>
      </c>
    </row>
    <row r="8726" spans="1:4">
      <c r="A8726">
        <v>1.011544</v>
      </c>
      <c r="B8726">
        <v>3.451146</v>
      </c>
      <c r="C8726">
        <f>LOG10(1.011544)</f>
        <v>4.9847783985667816E-3</v>
      </c>
      <c r="D8726">
        <f>LOG10(3.451146)</f>
        <v>0.53796333241612582</v>
      </c>
    </row>
    <row r="8727" spans="1:4">
      <c r="A8727">
        <v>1.016022</v>
      </c>
      <c r="B8727">
        <v>3.5546280000000001</v>
      </c>
      <c r="C8727">
        <f>LOG10(1.016022)</f>
        <v>6.9031118604587155E-3</v>
      </c>
      <c r="D8727">
        <f>LOG10(3.554628)</f>
        <v>0.55079415752692218</v>
      </c>
    </row>
    <row r="8728" spans="1:4">
      <c r="A8728">
        <v>1.005981</v>
      </c>
      <c r="B8728">
        <v>3.3083909999999999</v>
      </c>
      <c r="C8728">
        <f>LOG10(1.005981)</f>
        <v>2.5897782615788159E-3</v>
      </c>
      <c r="D8728">
        <f>LOG10(3.308391)</f>
        <v>0.51961683071957743</v>
      </c>
    </row>
    <row r="8729" spans="1:4">
      <c r="A8729">
        <v>1.006847</v>
      </c>
      <c r="B8729">
        <v>3.4851719999999999</v>
      </c>
      <c r="C8729">
        <f>LOG10(1.006847)</f>
        <v>2.9634803807210373E-3</v>
      </c>
      <c r="D8729">
        <f>LOG10(3.485172)</f>
        <v>0.54222421623821626</v>
      </c>
    </row>
    <row r="8730" spans="1:4">
      <c r="A8730">
        <v>1.0119089999999999</v>
      </c>
      <c r="B8730">
        <v>3.6003219999999998</v>
      </c>
      <c r="C8730">
        <f>LOG10(1.011909)</f>
        <v>5.1414585760791625E-3</v>
      </c>
      <c r="D8730">
        <f>LOG10(3.600322)</f>
        <v>0.55634134425880499</v>
      </c>
    </row>
    <row r="8731" spans="1:4">
      <c r="A8731">
        <v>1.027531</v>
      </c>
      <c r="B8731">
        <v>4.1404740000000002</v>
      </c>
      <c r="C8731">
        <f>LOG10(1.027531)</f>
        <v>1.1794933152340046E-2</v>
      </c>
      <c r="D8731">
        <f>LOG10(4.140474)</f>
        <v>0.61705006184573841</v>
      </c>
    </row>
    <row r="8732" spans="1:4">
      <c r="A8732">
        <v>1.00807</v>
      </c>
      <c r="B8732">
        <v>3.5381459999999998</v>
      </c>
      <c r="C8732">
        <f>LOG10(1.00807)</f>
        <v>3.490690401376762E-3</v>
      </c>
      <c r="D8732">
        <f>LOG10(3.538146)</f>
        <v>0.54877574990951816</v>
      </c>
    </row>
    <row r="8733" spans="1:4">
      <c r="A8733">
        <v>1.0057510000000001</v>
      </c>
      <c r="B8733">
        <v>3.558859</v>
      </c>
      <c r="C8733">
        <f>LOG10(1.005751)</f>
        <v>2.490473054649717E-3</v>
      </c>
      <c r="D8733">
        <f>LOG10(3.558859)</f>
        <v>0.55131078184060034</v>
      </c>
    </row>
    <row r="8734" spans="1:4">
      <c r="A8734">
        <v>1.0173680000000001</v>
      </c>
      <c r="B8734">
        <v>3.5554480000000002</v>
      </c>
      <c r="C8734">
        <f>LOG10(1.017368)</f>
        <v>7.4780733366359084E-3</v>
      </c>
      <c r="D8734">
        <f>LOG10(3.555448)</f>
        <v>0.55089433127379628</v>
      </c>
    </row>
    <row r="8735" spans="1:4">
      <c r="A8735">
        <v>1.008669</v>
      </c>
      <c r="B8735">
        <v>3.9597899999999999</v>
      </c>
      <c r="C8735">
        <f>LOG10(1.008669)</f>
        <v>3.7486736131951979E-3</v>
      </c>
      <c r="D8735">
        <f>LOG10(3.95979)</f>
        <v>0.59767215454684663</v>
      </c>
    </row>
    <row r="8736" spans="1:4">
      <c r="A8736">
        <v>1.0074419999999999</v>
      </c>
      <c r="B8736">
        <v>3.8299099999999999</v>
      </c>
      <c r="C8736">
        <f>LOG10(1.007442)</f>
        <v>3.2200525252823278E-3</v>
      </c>
      <c r="D8736">
        <f>LOG10(3.82991)</f>
        <v>0.58318856849535394</v>
      </c>
    </row>
    <row r="8737" spans="1:4">
      <c r="A8737">
        <v>1.009835</v>
      </c>
      <c r="B8737">
        <v>3.853882</v>
      </c>
      <c r="C8737">
        <f>LOG10(1.009835)</f>
        <v>4.2504188881354304E-3</v>
      </c>
      <c r="D8737">
        <f>LOG10(3.853882)</f>
        <v>0.58589841308710278</v>
      </c>
    </row>
    <row r="8738" spans="1:4">
      <c r="A8738">
        <v>1.0237210000000001</v>
      </c>
      <c r="B8738">
        <v>3.61422</v>
      </c>
      <c r="C8738">
        <f>LOG10(1.023721)</f>
        <v>1.0181612235275648E-2</v>
      </c>
      <c r="D8738">
        <f>LOG10(3.61422)</f>
        <v>0.55801458482646871</v>
      </c>
    </row>
    <row r="8739" spans="1:4">
      <c r="A8739">
        <v>1.0065550000000001</v>
      </c>
      <c r="B8739">
        <v>3.4281350000000002</v>
      </c>
      <c r="C8739">
        <f>LOG10(1.006555)</f>
        <v>2.8375105151851616E-3</v>
      </c>
      <c r="D8739">
        <f>LOG10(3.428135)</f>
        <v>0.53505791611015163</v>
      </c>
    </row>
    <row r="8740" spans="1:4">
      <c r="A8740">
        <v>1.0082329999999999</v>
      </c>
      <c r="B8740">
        <v>3.9812150000000002</v>
      </c>
      <c r="C8740">
        <f>LOG10(1.008233)</f>
        <v>3.5609080231373833E-3</v>
      </c>
      <c r="D8740">
        <f>LOG10(3.981215)</f>
        <v>0.60001563168917593</v>
      </c>
    </row>
    <row r="8741" spans="1:4">
      <c r="A8741">
        <v>1.011992</v>
      </c>
      <c r="B8741">
        <v>4.1027319999999996</v>
      </c>
      <c r="C8741">
        <f>LOG10(1.011992)</f>
        <v>5.1770793322507358E-3</v>
      </c>
      <c r="D8741">
        <f>LOG10(4.102732)</f>
        <v>0.61307314876741703</v>
      </c>
    </row>
    <row r="8742" spans="1:4">
      <c r="A8742">
        <v>1.023452</v>
      </c>
      <c r="B8742">
        <v>3.653276</v>
      </c>
      <c r="C8742">
        <f>LOG10(1.023452)</f>
        <v>1.006747902200605E-2</v>
      </c>
      <c r="D8742">
        <f>LOG10(3.653276)</f>
        <v>0.56268248380487107</v>
      </c>
    </row>
    <row r="8743" spans="1:4">
      <c r="A8743">
        <v>1.013965</v>
      </c>
      <c r="B8743">
        <v>3.612044</v>
      </c>
      <c r="C8743">
        <f>LOG10(1.013965)</f>
        <v>6.0229642979036007E-3</v>
      </c>
      <c r="D8743">
        <f>LOG10(3.612044)</f>
        <v>0.55775303201821669</v>
      </c>
    </row>
    <row r="8744" spans="1:4">
      <c r="A8744">
        <v>1.0175179999999999</v>
      </c>
      <c r="B8744">
        <v>3.7984079999999998</v>
      </c>
      <c r="C8744">
        <f>LOG10(1.017518)</f>
        <v>7.5421006800875075E-3</v>
      </c>
      <c r="D8744">
        <f>LOG10(3.798408)</f>
        <v>0.57960161196283866</v>
      </c>
    </row>
    <row r="8745" spans="1:4">
      <c r="A8745">
        <v>1.0114639999999999</v>
      </c>
      <c r="B8745">
        <v>3.589852</v>
      </c>
      <c r="C8745">
        <f>LOG10(1.011464)</f>
        <v>4.9504299841557605E-3</v>
      </c>
      <c r="D8745">
        <f>LOG10(3.589852)</f>
        <v>0.55507654414704932</v>
      </c>
    </row>
    <row r="8746" spans="1:4">
      <c r="A8746">
        <v>1.0265420000000001</v>
      </c>
      <c r="B8746">
        <v>3.4311479999999999</v>
      </c>
      <c r="C8746">
        <f>LOG10(1.026542)</f>
        <v>1.1376722820191901E-2</v>
      </c>
      <c r="D8746">
        <f>LOG10(3.431148)</f>
        <v>0.53543945142751181</v>
      </c>
    </row>
    <row r="8747" spans="1:4">
      <c r="A8747">
        <v>1.007755</v>
      </c>
      <c r="B8747">
        <v>3.2707899999999999</v>
      </c>
      <c r="C8747">
        <f>LOG10(1.007755)</f>
        <v>3.3549615926626625E-3</v>
      </c>
      <c r="D8747">
        <f>LOG10(3.27079)</f>
        <v>0.51465266128519893</v>
      </c>
    </row>
    <row r="8748" spans="1:4">
      <c r="A8748">
        <v>1.0143</v>
      </c>
      <c r="B8748">
        <v>3.601407</v>
      </c>
      <c r="C8748">
        <f>LOG10(1.0143)</f>
        <v>6.1664254854314057E-3</v>
      </c>
      <c r="D8748">
        <f>LOG10(3.601407)</f>
        <v>0.55647220436654588</v>
      </c>
    </row>
    <row r="8749" spans="1:4">
      <c r="A8749">
        <v>1.0143439999999999</v>
      </c>
      <c r="B8749">
        <v>3.6315249999999999</v>
      </c>
      <c r="C8749">
        <f>LOG10(1.014344)</f>
        <v>6.1852646284320609E-3</v>
      </c>
      <c r="D8749">
        <f>LOG10(3.631525)</f>
        <v>0.56008903826050804</v>
      </c>
    </row>
    <row r="8750" spans="1:4">
      <c r="A8750">
        <v>1.017479</v>
      </c>
      <c r="B8750">
        <v>3.2570480000000002</v>
      </c>
      <c r="C8750">
        <f>LOG10(1.017479)</f>
        <v>7.5254544788437155E-3</v>
      </c>
      <c r="D8750">
        <f>LOG10(3.257048)</f>
        <v>0.51282415892763733</v>
      </c>
    </row>
    <row r="8751" spans="1:4">
      <c r="A8751">
        <v>1.0097020000000001</v>
      </c>
      <c r="B8751">
        <v>3.1966070000000002</v>
      </c>
      <c r="C8751">
        <f>LOG10(1.009702)</f>
        <v>4.193216503453584E-3</v>
      </c>
      <c r="D8751">
        <f>LOG10(3.196607)</f>
        <v>0.5046892461488347</v>
      </c>
    </row>
    <row r="8752" spans="1:4">
      <c r="A8752">
        <v>1.014651</v>
      </c>
      <c r="B8752">
        <v>3.4069950000000002</v>
      </c>
      <c r="C8752">
        <f>LOG10(1.014651)</f>
        <v>6.3166877289934529E-3</v>
      </c>
      <c r="D8752">
        <f>LOG10(3.406995)</f>
        <v>0.5323714962112579</v>
      </c>
    </row>
    <row r="8753" spans="1:4">
      <c r="A8753">
        <v>1.0198210000000001</v>
      </c>
      <c r="B8753">
        <v>3.441408</v>
      </c>
      <c r="C8753">
        <f>LOG10(1.019821)</f>
        <v>8.5239506499080395E-3</v>
      </c>
      <c r="D8753">
        <f>LOG10(3.441408)</f>
        <v>0.53673616394455526</v>
      </c>
    </row>
    <row r="8754" spans="1:4">
      <c r="A8754">
        <v>1.008826</v>
      </c>
      <c r="B8754">
        <v>3.2987129999999998</v>
      </c>
      <c r="C8754">
        <f>LOG10(1.008826)</f>
        <v>3.8162665775360585E-3</v>
      </c>
      <c r="D8754">
        <f>LOG10(3.298713)</f>
        <v>0.51834453199326003</v>
      </c>
    </row>
    <row r="8755" spans="1:4">
      <c r="A8755">
        <v>1.0105839999999999</v>
      </c>
      <c r="B8755">
        <v>3.261927</v>
      </c>
      <c r="C8755">
        <f>LOG10(1.010584)</f>
        <v>4.5724180198470597E-3</v>
      </c>
      <c r="D8755">
        <f>LOG10(3.261927)</f>
        <v>0.51347423755896915</v>
      </c>
    </row>
    <row r="8756" spans="1:4">
      <c r="A8756">
        <v>1.0138739999999999</v>
      </c>
      <c r="B8756">
        <v>3.5051009999999998</v>
      </c>
      <c r="C8756">
        <f>LOG10(1.013874)</f>
        <v>5.9839860576392087E-3</v>
      </c>
      <c r="D8756">
        <f>LOG10(3.505101)</f>
        <v>0.54470053674224839</v>
      </c>
    </row>
    <row r="8757" spans="1:4">
      <c r="A8757">
        <v>1.019868</v>
      </c>
      <c r="B8757">
        <v>3.2719260000000001</v>
      </c>
      <c r="C8757">
        <f>LOG10(1.019868)</f>
        <v>8.5439653096458963E-3</v>
      </c>
      <c r="D8757">
        <f>LOG10(3.271926)</f>
        <v>0.51480347282474914</v>
      </c>
    </row>
    <row r="8758" spans="1:4">
      <c r="A8758">
        <v>1.0176229999999999</v>
      </c>
      <c r="B8758">
        <v>3.5317620000000001</v>
      </c>
      <c r="C8758">
        <f>LOG10(1.017623)</f>
        <v>7.5869142046937265E-3</v>
      </c>
      <c r="D8758">
        <f>LOG10(3.531762)</f>
        <v>0.54799142945555346</v>
      </c>
    </row>
    <row r="8759" spans="1:4">
      <c r="A8759">
        <v>1.014149</v>
      </c>
      <c r="B8759">
        <v>3.2774359999999998</v>
      </c>
      <c r="C8759">
        <f>LOG10(1.014149)</f>
        <v>6.1017667566307015E-3</v>
      </c>
      <c r="D8759">
        <f>LOG10(3.277436)</f>
        <v>0.51553421977685221</v>
      </c>
    </row>
    <row r="8760" spans="1:4">
      <c r="A8760">
        <v>1.013903</v>
      </c>
      <c r="B8760">
        <v>3.1320389999999998</v>
      </c>
      <c r="C8760">
        <f>LOG10(1.013903)</f>
        <v>5.9964080744350171E-3</v>
      </c>
      <c r="D8760">
        <f>LOG10(3.132039)</f>
        <v>0.4958271612337159</v>
      </c>
    </row>
    <row r="8761" spans="1:4">
      <c r="A8761">
        <v>1.0122739999999999</v>
      </c>
      <c r="B8761">
        <v>3.2624689999999998</v>
      </c>
      <c r="C8761">
        <f>LOG10(1.012274)</f>
        <v>5.298082248556147E-3</v>
      </c>
      <c r="D8761">
        <f>LOG10(3.262469)</f>
        <v>0.51354639369717192</v>
      </c>
    </row>
    <row r="8762" spans="1:4">
      <c r="A8762">
        <v>1.010791</v>
      </c>
      <c r="B8762">
        <v>3.2354530000000001</v>
      </c>
      <c r="C8762">
        <f>LOG10(1.010791)</f>
        <v>4.6613663427146684E-3</v>
      </c>
      <c r="D8762">
        <f>LOG10(3.235453)</f>
        <v>0.50993509539948556</v>
      </c>
    </row>
    <row r="8763" spans="1:4">
      <c r="A8763">
        <v>1.0080530000000001</v>
      </c>
      <c r="B8763">
        <v>2.9835820000000002</v>
      </c>
      <c r="C8763">
        <f>LOG10(1.008053)</f>
        <v>3.4833664373205E-3</v>
      </c>
      <c r="D8763">
        <f>LOG10(2.983582)</f>
        <v>0.47473797838193821</v>
      </c>
    </row>
    <row r="8764" spans="1:4">
      <c r="A8764">
        <v>1.015922</v>
      </c>
      <c r="B8764">
        <v>3.150471</v>
      </c>
      <c r="C8764">
        <f>LOG10(1.015922)</f>
        <v>6.8603651624932378E-3</v>
      </c>
      <c r="D8764">
        <f>LOG10(3.150471)</f>
        <v>0.49837548630063261</v>
      </c>
    </row>
    <row r="8765" spans="1:4">
      <c r="A8765">
        <v>1.0110939999999999</v>
      </c>
      <c r="B8765">
        <v>3.2571270000000001</v>
      </c>
      <c r="C8765">
        <f>LOG10(1.011094)</f>
        <v>4.7915332206545664E-3</v>
      </c>
      <c r="D8765">
        <f>LOG10(3.257127)</f>
        <v>0.51283469265265147</v>
      </c>
    </row>
    <row r="8766" spans="1:4">
      <c r="A8766">
        <v>1.014313</v>
      </c>
      <c r="B8766">
        <v>3.0461170000000002</v>
      </c>
      <c r="C8766">
        <f>LOG10(1.014313)</f>
        <v>6.1719916809204788E-3</v>
      </c>
      <c r="D8766">
        <f>LOG10(3.046117)</f>
        <v>0.48374658037839818</v>
      </c>
    </row>
    <row r="8767" spans="1:4">
      <c r="A8767">
        <v>1.0091650000000001</v>
      </c>
      <c r="B8767">
        <v>2.9617200000000001</v>
      </c>
      <c r="C8767">
        <f>LOG10(1.009165)</f>
        <v>3.9621798454843871E-3</v>
      </c>
      <c r="D8767">
        <f>LOG10(2.96172)</f>
        <v>0.47154399807348168</v>
      </c>
    </row>
    <row r="8768" spans="1:4">
      <c r="A8768">
        <v>1.0134110000000001</v>
      </c>
      <c r="B8768">
        <v>3.1398139999999999</v>
      </c>
      <c r="C8768">
        <f>LOG10(1.013411)</f>
        <v>5.7856139998208019E-3</v>
      </c>
      <c r="D8768">
        <f>LOG10(3.139814)</f>
        <v>0.49690392158715735</v>
      </c>
    </row>
    <row r="8769" spans="1:4">
      <c r="A8769">
        <v>1.0133209999999999</v>
      </c>
      <c r="B8769">
        <v>2.9983369999999998</v>
      </c>
      <c r="C8769">
        <f>LOG10(1.013321)</f>
        <v>5.7470430359271565E-3</v>
      </c>
      <c r="D8769">
        <f>LOG10(2.998337)</f>
        <v>0.47688044406100499</v>
      </c>
    </row>
    <row r="8770" spans="1:4">
      <c r="A8770">
        <v>1.0089079999999999</v>
      </c>
      <c r="B8770">
        <v>3.0432009999999998</v>
      </c>
      <c r="C8770">
        <f>LOG10(1.008908)</f>
        <v>3.8515657275088847E-3</v>
      </c>
      <c r="D8770">
        <f>LOG10(3.043201)</f>
        <v>0.48333063796710252</v>
      </c>
    </row>
    <row r="8771" spans="1:4">
      <c r="A8771">
        <v>1.007808</v>
      </c>
      <c r="B8771">
        <v>2.9431310000000002</v>
      </c>
      <c r="C8771">
        <f>LOG10(1.007808)</f>
        <v>3.3778014716902222E-3</v>
      </c>
      <c r="D8771">
        <f>LOG10(2.943131)</f>
        <v>0.46880959316007792</v>
      </c>
    </row>
    <row r="8772" spans="1:4">
      <c r="A8772">
        <v>1.011414</v>
      </c>
      <c r="B8772">
        <v>2.9786459999999999</v>
      </c>
      <c r="C8772">
        <f>LOG10(1.011414)</f>
        <v>4.9289608455329332E-3</v>
      </c>
      <c r="D8772">
        <f>LOG10(2.978646)</f>
        <v>0.47401889214356513</v>
      </c>
    </row>
    <row r="8773" spans="1:4">
      <c r="A8773">
        <v>1.0082930000000001</v>
      </c>
      <c r="B8773">
        <v>2.9183599999999998</v>
      </c>
      <c r="C8773">
        <f>LOG10(1.008293)</f>
        <v>3.5867521421043187E-3</v>
      </c>
      <c r="D8773">
        <f>LOG10(2.91836)</f>
        <v>0.46513886410640626</v>
      </c>
    </row>
    <row r="8774" spans="1:4">
      <c r="A8774">
        <v>1.0078069999999999</v>
      </c>
      <c r="B8774">
        <v>2.9493779999999998</v>
      </c>
      <c r="C8774">
        <f>LOG10(1.007807)</f>
        <v>3.3773705416942023E-3</v>
      </c>
      <c r="D8774">
        <f>LOG10(2.949378)</f>
        <v>0.46973043643579604</v>
      </c>
    </row>
    <row r="8775" spans="1:4">
      <c r="A8775">
        <v>1.018464</v>
      </c>
      <c r="B8775">
        <v>2.8441200000000002</v>
      </c>
      <c r="C8775">
        <f>LOG10(1.018464)</f>
        <v>7.9456824499128387E-3</v>
      </c>
      <c r="D8775">
        <f>LOG10(2.84412)</f>
        <v>0.45394791633282705</v>
      </c>
    </row>
    <row r="8776" spans="1:4">
      <c r="A8776">
        <v>1.009971</v>
      </c>
      <c r="B8776">
        <v>2.9452989999999999</v>
      </c>
      <c r="C8776">
        <f>LOG10(1.009971)</f>
        <v>4.3089037620570505E-3</v>
      </c>
      <c r="D8776">
        <f>LOG10(2.945299)</f>
        <v>0.46912938994098913</v>
      </c>
    </row>
    <row r="8777" spans="1:4">
      <c r="A8777">
        <v>1.0114099999999999</v>
      </c>
      <c r="B8777">
        <v>2.9336790000000001</v>
      </c>
      <c r="C8777">
        <f>LOG10(1.01141)</f>
        <v>4.9272432685933025E-3</v>
      </c>
      <c r="D8777">
        <f>LOG10(2.933679)</f>
        <v>0.46741259207189295</v>
      </c>
    </row>
    <row r="8778" spans="1:4">
      <c r="A8778">
        <v>1.029172</v>
      </c>
      <c r="B8778">
        <v>2.928817</v>
      </c>
      <c r="C8778">
        <f>LOG10(1.029172)</f>
        <v>1.2487962137114193E-2</v>
      </c>
      <c r="D8778">
        <f>LOG10(2.928817)</f>
        <v>0.4666922366959157</v>
      </c>
    </row>
    <row r="8779" spans="1:4">
      <c r="A8779">
        <v>1.0274909999999999</v>
      </c>
      <c r="B8779">
        <v>2.8889589999999998</v>
      </c>
      <c r="C8779">
        <f>LOG10(1.027491)</f>
        <v>1.1778026492189116E-2</v>
      </c>
      <c r="D8779">
        <f>LOG10(2.888959)</f>
        <v>0.46074137839659951</v>
      </c>
    </row>
    <row r="8780" spans="1:4">
      <c r="A8780">
        <v>1.034832</v>
      </c>
      <c r="B8780">
        <v>2.8442120000000002</v>
      </c>
      <c r="C8780">
        <f>LOG10(1.034832)</f>
        <v>1.4869849894278137E-2</v>
      </c>
      <c r="D8780">
        <f>LOG10(2.844212)</f>
        <v>0.45396196442015335</v>
      </c>
    </row>
    <row r="8781" spans="1:4">
      <c r="A8781">
        <v>1.025414</v>
      </c>
      <c r="B8781">
        <v>2.994075</v>
      </c>
      <c r="C8781">
        <f>LOG10(1.025414)</f>
        <v>1.0899242577015977E-2</v>
      </c>
      <c r="D8781">
        <f>LOG10(2.994075)</f>
        <v>0.47626267499106245</v>
      </c>
    </row>
    <row r="8782" spans="1:4">
      <c r="A8782">
        <v>1.014356</v>
      </c>
      <c r="B8782">
        <v>2.92909</v>
      </c>
      <c r="C8782">
        <f>LOG10(1.014356)</f>
        <v>6.1904024346951395E-3</v>
      </c>
      <c r="D8782">
        <f>LOG10(2.92909)</f>
        <v>0.46673271613461126</v>
      </c>
    </row>
    <row r="8783" spans="1:4">
      <c r="A8783">
        <v>1.011838</v>
      </c>
      <c r="B8783">
        <v>2.8702269999999999</v>
      </c>
      <c r="C8783">
        <f>LOG10(1.011838)</f>
        <v>5.1109854900385134E-3</v>
      </c>
      <c r="D8783">
        <f>LOG10(2.870227)</f>
        <v>0.45791624549666088</v>
      </c>
    </row>
    <row r="8784" spans="1:4">
      <c r="A8784">
        <v>1.0139419999999999</v>
      </c>
      <c r="B8784">
        <v>2.9860989999999998</v>
      </c>
      <c r="C8784">
        <f>LOG10(1.013942)</f>
        <v>6.0131129851123833E-3</v>
      </c>
      <c r="D8784">
        <f>LOG10(2.986099)</f>
        <v>0.47510420206314524</v>
      </c>
    </row>
    <row r="8785" spans="1:4">
      <c r="A8785">
        <v>1.0089140000000001</v>
      </c>
      <c r="B8785">
        <v>2.8964430000000001</v>
      </c>
      <c r="C8785">
        <f>LOG10(1.008914)</f>
        <v>3.854148479497417E-3</v>
      </c>
      <c r="D8785">
        <f>LOG10(2.896443)</f>
        <v>0.46186498630338413</v>
      </c>
    </row>
    <row r="8786" spans="1:4">
      <c r="A8786">
        <v>1.0236540000000001</v>
      </c>
      <c r="B8786">
        <v>2.8510870000000001</v>
      </c>
      <c r="C8786">
        <f>LOG10(1.023654)</f>
        <v>1.0153187808584962E-2</v>
      </c>
      <c r="D8786">
        <f>LOG10(2.851087)</f>
        <v>0.45501046986766491</v>
      </c>
    </row>
    <row r="8787" spans="1:4">
      <c r="A8787">
        <v>1.0096480000000001</v>
      </c>
      <c r="B8787">
        <v>2.9285109999999999</v>
      </c>
      <c r="C8787">
        <f>LOG10(1.009648)</f>
        <v>4.1699893243827297E-3</v>
      </c>
      <c r="D8787">
        <f>LOG10(2.928511)</f>
        <v>0.46664685965314695</v>
      </c>
    </row>
    <row r="8788" spans="1:4">
      <c r="A8788">
        <v>1.0120480000000001</v>
      </c>
      <c r="B8788">
        <v>2.9343400000000002</v>
      </c>
      <c r="C8788">
        <f>LOG10(1.012048)</f>
        <v>5.2011109630414436E-3</v>
      </c>
      <c r="D8788">
        <f>LOG10(2.93434)</f>
        <v>0.46751043383203456</v>
      </c>
    </row>
    <row r="8789" spans="1:4">
      <c r="A8789">
        <v>1.010065</v>
      </c>
      <c r="B8789">
        <v>2.9829379999999999</v>
      </c>
      <c r="C8789">
        <f>LOG10(1.010065)</f>
        <v>4.3493225281863558E-3</v>
      </c>
      <c r="D8789">
        <f>LOG10(2.982938)</f>
        <v>0.47464422669840006</v>
      </c>
    </row>
    <row r="8790" spans="1:4">
      <c r="A8790">
        <v>1.0105010000000001</v>
      </c>
      <c r="B8790">
        <v>2.924534</v>
      </c>
      <c r="C8790">
        <f>LOG10(1.010501)</f>
        <v>4.5367476328834616E-3</v>
      </c>
      <c r="D8790">
        <f>LOG10(2.924534)</f>
        <v>0.46605667474244283</v>
      </c>
    </row>
    <row r="8791" spans="1:4">
      <c r="A8791">
        <v>1.0112410000000001</v>
      </c>
      <c r="B8791">
        <v>2.9576180000000001</v>
      </c>
      <c r="C8791">
        <f>LOG10(1.011241)</f>
        <v>4.8546694359228246E-3</v>
      </c>
      <c r="D8791">
        <f>LOG10(2.957618)</f>
        <v>0.47094208068003762</v>
      </c>
    </row>
    <row r="8792" spans="1:4">
      <c r="A8792">
        <v>1.0165200000000001</v>
      </c>
      <c r="B8792">
        <v>2.9040560000000002</v>
      </c>
      <c r="C8792">
        <f>LOG10(1.01652)</f>
        <v>7.1159277888043198E-3</v>
      </c>
      <c r="D8792">
        <f>LOG10(2.904056)</f>
        <v>0.46300498677202806</v>
      </c>
    </row>
    <row r="8793" spans="1:4">
      <c r="A8793">
        <v>1.0115639999999999</v>
      </c>
      <c r="B8793">
        <v>2.8631380000000002</v>
      </c>
      <c r="C8793">
        <f>LOG10(1.011564)</f>
        <v>4.993365077714221E-3</v>
      </c>
      <c r="D8793">
        <f>LOG10(2.863138)</f>
        <v>0.45684228102688573</v>
      </c>
    </row>
    <row r="8794" spans="1:4">
      <c r="A8794">
        <v>1.012948</v>
      </c>
      <c r="B8794">
        <v>2.9865400000000002</v>
      </c>
      <c r="C8794">
        <f>LOG10(1.012948)</f>
        <v>5.5871512904780976E-3</v>
      </c>
      <c r="D8794">
        <f>LOG10(2.98654)</f>
        <v>0.47516833581268791</v>
      </c>
    </row>
    <row r="8795" spans="1:4">
      <c r="A8795">
        <v>1.0114970000000001</v>
      </c>
      <c r="B8795">
        <v>2.9013260000000001</v>
      </c>
      <c r="C8795">
        <f>LOG10(1.011497)</f>
        <v>4.9645990342799626E-3</v>
      </c>
      <c r="D8795">
        <f>LOG10(2.901326)</f>
        <v>0.46259652992181854</v>
      </c>
    </row>
    <row r="8796" spans="1:4">
      <c r="A8796">
        <v>1.006724</v>
      </c>
      <c r="B8796">
        <v>2.9498600000000001</v>
      </c>
      <c r="C8796">
        <f>LOG10(1.006724)</f>
        <v>2.9104221857623458E-3</v>
      </c>
      <c r="D8796">
        <f>LOG10(2.94986)</f>
        <v>0.46980140490350097</v>
      </c>
    </row>
    <row r="8797" spans="1:4">
      <c r="A8797">
        <v>1.009563</v>
      </c>
      <c r="B8797">
        <v>3.0749300000000002</v>
      </c>
      <c r="C8797">
        <f>LOG10(1.009563)</f>
        <v>4.1334255071455708E-3</v>
      </c>
      <c r="D8797">
        <f>LOG10(3.07493)</f>
        <v>0.48783523362045617</v>
      </c>
    </row>
    <row r="8798" spans="1:4">
      <c r="A8798">
        <v>1.0105090000000001</v>
      </c>
      <c r="B8798">
        <v>3.2644419999999998</v>
      </c>
      <c r="C8798">
        <f>LOG10(1.010509)</f>
        <v>4.5401858700571994E-3</v>
      </c>
      <c r="D8798">
        <f>LOG10(3.264442)</f>
        <v>0.51380895681129879</v>
      </c>
    </row>
    <row r="8799" spans="1:4">
      <c r="A8799">
        <v>1.0073749999999999</v>
      </c>
      <c r="B8799">
        <v>3.149146</v>
      </c>
      <c r="C8799">
        <f>LOG10(1.007375)</f>
        <v>3.1911687802094399E-3</v>
      </c>
      <c r="D8799">
        <f>LOG10(3.149146)</f>
        <v>0.4981927957665867</v>
      </c>
    </row>
    <row r="8800" spans="1:4">
      <c r="A8800">
        <v>1.007485</v>
      </c>
      <c r="B8800">
        <v>3.0436890000000001</v>
      </c>
      <c r="C8800">
        <f>LOG10(1.007485)</f>
        <v>3.2385888422056522E-3</v>
      </c>
      <c r="D8800">
        <f>LOG10(3.043689)</f>
        <v>0.483400274746352</v>
      </c>
    </row>
    <row r="8801" spans="1:4">
      <c r="A8801">
        <v>1.007376</v>
      </c>
      <c r="B8801">
        <v>2.9860220000000002</v>
      </c>
      <c r="C8801">
        <f>LOG10(1.007376)</f>
        <v>3.191599895004235E-3</v>
      </c>
      <c r="D8801">
        <f>LOG10(2.986022)</f>
        <v>0.47509300313562575</v>
      </c>
    </row>
    <row r="8802" spans="1:4">
      <c r="A8802">
        <v>1.0104630000000001</v>
      </c>
      <c r="B8802">
        <v>2.9695140000000002</v>
      </c>
      <c r="C8802">
        <f>LOG10(1.010463)</f>
        <v>4.5204156345754649E-3</v>
      </c>
      <c r="D8802">
        <f>LOG10(2.969514)</f>
        <v>0.47268537713229086</v>
      </c>
    </row>
    <row r="8803" spans="1:4">
      <c r="A8803">
        <v>1.01302</v>
      </c>
      <c r="B8803">
        <v>3.0591330000000001</v>
      </c>
      <c r="C8803">
        <f>LOG10(1.01302)</f>
        <v>5.6180196977878181E-3</v>
      </c>
      <c r="D8803">
        <f>LOG10(3.059133)</f>
        <v>0.4855983589429827</v>
      </c>
    </row>
    <row r="8804" spans="1:4">
      <c r="A8804">
        <v>1.020429</v>
      </c>
      <c r="B8804">
        <v>2.8081130000000001</v>
      </c>
      <c r="C8804">
        <f>LOG10(1.020429)</f>
        <v>8.7827925102815785E-3</v>
      </c>
      <c r="D8804">
        <f>LOG10(2.808113)</f>
        <v>0.44841458005642648</v>
      </c>
    </row>
    <row r="8805" spans="1:4">
      <c r="A8805">
        <v>1.0054860000000001</v>
      </c>
      <c r="B8805">
        <v>2.940709</v>
      </c>
      <c r="C8805">
        <f>LOG10(1.005486)</f>
        <v>2.3760280256746695E-3</v>
      </c>
      <c r="D8805">
        <f>LOG10(2.940709)</f>
        <v>0.46845205070665286</v>
      </c>
    </row>
    <row r="8806" spans="1:4">
      <c r="A8806">
        <v>1.0062819999999999</v>
      </c>
      <c r="B8806">
        <v>3.0715910000000002</v>
      </c>
      <c r="C8806">
        <f>LOG10(1.006282)</f>
        <v>2.7197042603451828E-3</v>
      </c>
      <c r="D8806">
        <f>LOG10(3.071591)</f>
        <v>0.4873633864022594</v>
      </c>
    </row>
    <row r="8807" spans="1:4">
      <c r="A8807">
        <v>1.008456</v>
      </c>
      <c r="B8807">
        <v>3.1452749999999998</v>
      </c>
      <c r="C8807">
        <f>LOG10(1.008456)</f>
        <v>3.6569542353785283E-3</v>
      </c>
      <c r="D8807">
        <f>LOG10(3.145275)</f>
        <v>0.49765862299632185</v>
      </c>
    </row>
    <row r="8808" spans="1:4">
      <c r="A8808">
        <v>1.010985</v>
      </c>
      <c r="B8808">
        <v>2.984178</v>
      </c>
      <c r="C8808">
        <f>LOG10(1.010985)</f>
        <v>4.7447120048927016E-3</v>
      </c>
      <c r="D8808">
        <f>LOG10(2.984178)</f>
        <v>0.47482472433421336</v>
      </c>
    </row>
    <row r="8809" spans="1:4">
      <c r="A8809">
        <v>1.00515</v>
      </c>
      <c r="B8809">
        <v>3.199471</v>
      </c>
      <c r="C8809">
        <f>LOG10(1.00515)</f>
        <v>2.2308769915960003E-3</v>
      </c>
      <c r="D8809">
        <f>LOG10(3.199471)</f>
        <v>0.50507817807846411</v>
      </c>
    </row>
    <row r="8810" spans="1:4">
      <c r="A8810">
        <v>1.0079720000000001</v>
      </c>
      <c r="B8810">
        <v>2.8402910000000001</v>
      </c>
      <c r="C8810">
        <f>LOG10(1.007972)</f>
        <v>3.448468206343115E-3</v>
      </c>
      <c r="D8810">
        <f>LOG10(2.840291)</f>
        <v>0.45336283765969326</v>
      </c>
    </row>
    <row r="8811" spans="1:4">
      <c r="A8811">
        <v>1.0044850000000001</v>
      </c>
      <c r="B8811">
        <v>2.7774860000000001</v>
      </c>
      <c r="C8811">
        <f>LOG10(1.004485)</f>
        <v>1.9434558021691512E-3</v>
      </c>
      <c r="D8811">
        <f>LOG10(2.777486)</f>
        <v>0.44365187854429311</v>
      </c>
    </row>
    <row r="8812" spans="1:4">
      <c r="A8812">
        <v>1.0029710000000001</v>
      </c>
      <c r="B8812">
        <v>2.789895</v>
      </c>
      <c r="C8812">
        <f>LOG10(1.002971)</f>
        <v>1.2883759695175355E-3</v>
      </c>
      <c r="D8812">
        <f>LOG10(2.789895)</f>
        <v>0.44558785855004801</v>
      </c>
    </row>
    <row r="8813" spans="1:4">
      <c r="A8813">
        <v>1.0021960000000001</v>
      </c>
      <c r="B8813">
        <v>2.9244880000000002</v>
      </c>
      <c r="C8813">
        <f>LOG10(1.002196)</f>
        <v>9.5266503847314806E-4</v>
      </c>
      <c r="D8813">
        <f>LOG10(2.924488)</f>
        <v>0.46604984367011387</v>
      </c>
    </row>
    <row r="8814" spans="1:4">
      <c r="A8814">
        <v>1.012567</v>
      </c>
      <c r="B8814">
        <v>2.9800119999999999</v>
      </c>
      <c r="C8814">
        <f>LOG10(1.012567)</f>
        <v>5.4237694349434642E-3</v>
      </c>
      <c r="D8814">
        <f>LOG10(2.980012)</f>
        <v>0.47421801290957394</v>
      </c>
    </row>
    <row r="8815" spans="1:4">
      <c r="A8815">
        <v>1.0047740000000001</v>
      </c>
      <c r="B8815">
        <v>2.848017</v>
      </c>
      <c r="C8815">
        <f>LOG10(1.004774)</f>
        <v>2.0683885322308982E-3</v>
      </c>
      <c r="D8815">
        <f>LOG10(2.848017)</f>
        <v>0.45454257730476172</v>
      </c>
    </row>
    <row r="8816" spans="1:4">
      <c r="A8816">
        <v>1.0040370000000001</v>
      </c>
      <c r="B8816">
        <v>2.9113250000000002</v>
      </c>
      <c r="C8816">
        <f>LOG10(1.004037)</f>
        <v>1.7497173904223546E-3</v>
      </c>
      <c r="D8816">
        <f>LOG10(2.911325)</f>
        <v>0.46409068974937923</v>
      </c>
    </row>
    <row r="8817" spans="1:4">
      <c r="A8817">
        <v>1.002132</v>
      </c>
      <c r="B8817">
        <v>2.868995</v>
      </c>
      <c r="C8817">
        <f>LOG10(1.002132)</f>
        <v>9.2493020979113371E-4</v>
      </c>
      <c r="D8817">
        <f>LOG10(2.868995)</f>
        <v>0.45772979137102393</v>
      </c>
    </row>
    <row r="8818" spans="1:4">
      <c r="A8818">
        <v>1.007595</v>
      </c>
      <c r="B8818">
        <v>2.821285</v>
      </c>
      <c r="C8818">
        <f>LOG10(1.007595)</f>
        <v>3.2860037270309034E-3</v>
      </c>
      <c r="D8818">
        <f>LOG10(2.821285)</f>
        <v>0.45044695984393313</v>
      </c>
    </row>
    <row r="8819" spans="1:4">
      <c r="A8819">
        <v>1.002945</v>
      </c>
      <c r="B8819">
        <v>3.0318299999999998</v>
      </c>
      <c r="C8819">
        <f>LOG10(1.002945)</f>
        <v>1.277117615199456E-3</v>
      </c>
      <c r="D8819">
        <f>LOG10(3.03183)</f>
        <v>0.48170484599307162</v>
      </c>
    </row>
    <row r="8820" spans="1:4">
      <c r="A8820">
        <v>1.0037689999999999</v>
      </c>
      <c r="B8820">
        <v>2.9189750000000001</v>
      </c>
      <c r="C8820">
        <f>LOG10(1.003769)</f>
        <v>1.6337789762116473E-3</v>
      </c>
      <c r="D8820">
        <f>LOG10(2.918975)</f>
        <v>0.4652303754235943</v>
      </c>
    </row>
    <row r="8821" spans="1:4">
      <c r="A8821">
        <v>1.0045729999999999</v>
      </c>
      <c r="B8821">
        <v>3.2435040000000002</v>
      </c>
      <c r="C8821">
        <f>LOG10(1.004573)</f>
        <v>1.9815014080519773E-3</v>
      </c>
      <c r="D8821">
        <f>LOG10(3.243504)</f>
        <v>0.51101443785337564</v>
      </c>
    </row>
    <row r="8822" spans="1:4">
      <c r="A8822">
        <v>1.0106379999999999</v>
      </c>
      <c r="B8822">
        <v>3.157276</v>
      </c>
      <c r="C8822">
        <f>LOG10(1.010638)</f>
        <v>4.5956236865460709E-3</v>
      </c>
      <c r="D8822">
        <f>LOG10(3.157276)</f>
        <v>0.49931254832798344</v>
      </c>
    </row>
    <row r="8823" spans="1:4">
      <c r="A8823">
        <v>1.000772</v>
      </c>
      <c r="B8823">
        <v>3.098678</v>
      </c>
      <c r="C8823">
        <f>LOG10(1.000772)</f>
        <v>3.3514599031576176E-4</v>
      </c>
      <c r="D8823">
        <f>LOG10(3.098678)</f>
        <v>0.4911764487501496</v>
      </c>
    </row>
    <row r="8824" spans="1:4">
      <c r="A8824">
        <v>1.0059119999999999</v>
      </c>
      <c r="B8824">
        <v>3.216942</v>
      </c>
      <c r="C8824">
        <f>LOG10(1.005912)</f>
        <v>2.5599890836621817E-3</v>
      </c>
      <c r="D8824">
        <f>LOG10(3.216942)</f>
        <v>0.50744323084072551</v>
      </c>
    </row>
    <row r="8825" spans="1:4">
      <c r="A8825">
        <v>1.001962</v>
      </c>
      <c r="B8825">
        <v>2.9028489999999998</v>
      </c>
      <c r="C8825">
        <f>LOG10(1.001962)</f>
        <v>8.5125096909620022E-4</v>
      </c>
      <c r="D8825">
        <f>LOG10(2.902849)</f>
        <v>0.46282444534859973</v>
      </c>
    </row>
    <row r="8826" spans="1:4">
      <c r="A8826">
        <v>1.0123530000000001</v>
      </c>
      <c r="B8826">
        <v>3.109324</v>
      </c>
      <c r="C8826">
        <f>LOG10(1.012353)</f>
        <v>5.331974184293287E-3</v>
      </c>
      <c r="D8826">
        <f>LOG10(3.109324)</f>
        <v>0.49266597906494364</v>
      </c>
    </row>
    <row r="8827" spans="1:4">
      <c r="A8827">
        <v>1.00526</v>
      </c>
      <c r="B8827">
        <v>3.2252260000000001</v>
      </c>
      <c r="C8827">
        <f>LOG10(1.00526)</f>
        <v>2.2784020168963664E-3</v>
      </c>
      <c r="D8827">
        <f>LOG10(3.225226)</f>
        <v>0.50856015218492912</v>
      </c>
    </row>
    <row r="8828" spans="1:4">
      <c r="A8828">
        <v>1.0093289999999999</v>
      </c>
      <c r="B8828">
        <v>3.2154759999999998</v>
      </c>
      <c r="C8828">
        <f>LOG10(1.009329)</f>
        <v>4.032751563992131E-3</v>
      </c>
      <c r="D8828">
        <f>LOG10(3.215476)</f>
        <v>0.50724527239912742</v>
      </c>
    </row>
    <row r="8829" spans="1:4">
      <c r="A8829">
        <v>1.0013540000000001</v>
      </c>
      <c r="B8829">
        <v>3.453141</v>
      </c>
      <c r="C8829">
        <f>LOG10(1.001354)</f>
        <v>5.8763698797247661E-4</v>
      </c>
      <c r="D8829">
        <f>LOG10(3.453141)</f>
        <v>0.5382143119931655</v>
      </c>
    </row>
    <row r="8830" spans="1:4">
      <c r="A8830">
        <v>1.01176</v>
      </c>
      <c r="B8830">
        <v>3.308996</v>
      </c>
      <c r="C8830">
        <f>LOG10(1.01176)</f>
        <v>5.0775055502429219E-3</v>
      </c>
      <c r="D8830">
        <f>LOG10(3.308996)</f>
        <v>0.51969624217376131</v>
      </c>
    </row>
    <row r="8831" spans="1:4">
      <c r="A8831">
        <v>1.0042530000000001</v>
      </c>
      <c r="B8831">
        <v>3.3449529999999998</v>
      </c>
      <c r="C8831">
        <f>LOG10(1.004253)</f>
        <v>1.8431377713960377E-3</v>
      </c>
      <c r="D8831">
        <f>LOG10(3.344953)</f>
        <v>0.52439001986645706</v>
      </c>
    </row>
    <row r="8832" spans="1:4">
      <c r="A8832">
        <v>1.0039739999999999</v>
      </c>
      <c r="B8832">
        <v>3.3815249999999999</v>
      </c>
      <c r="C8832">
        <f>LOG10(1.003974)</f>
        <v>1.7224659935236866E-3</v>
      </c>
      <c r="D8832">
        <f>LOG10(3.381525)</f>
        <v>0.52911260256186798</v>
      </c>
    </row>
    <row r="8833" spans="1:4">
      <c r="A8833">
        <v>1.015477</v>
      </c>
      <c r="B8833">
        <v>3.442844</v>
      </c>
      <c r="C8833">
        <f>LOG10(1.015477)</f>
        <v>6.670091319158333E-3</v>
      </c>
      <c r="D8833">
        <f>LOG10(3.442844)</f>
        <v>0.53691734466979835</v>
      </c>
    </row>
    <row r="8834" spans="1:4">
      <c r="A8834">
        <v>1.015603</v>
      </c>
      <c r="B8834">
        <v>3.2501540000000002</v>
      </c>
      <c r="C8834">
        <f>LOG10(1.015603)</f>
        <v>6.7239750704532475E-3</v>
      </c>
      <c r="D8834">
        <f>LOG10(3.250154)</f>
        <v>0.51190393936831735</v>
      </c>
    </row>
    <row r="8835" spans="1:4">
      <c r="A8835">
        <v>1.008394</v>
      </c>
      <c r="B8835">
        <v>3.695872</v>
      </c>
      <c r="C8835">
        <f>LOG10(1.008394)</f>
        <v>3.6302529359398135E-3</v>
      </c>
      <c r="D8835">
        <f>LOG10(3.695872)</f>
        <v>0.56771692178608368</v>
      </c>
    </row>
    <row r="8836" spans="1:4">
      <c r="A8836">
        <v>1.0209630000000001</v>
      </c>
      <c r="B8836">
        <v>3.9154110000000002</v>
      </c>
      <c r="C8836">
        <f>LOG10(1.020963)</f>
        <v>9.010003412083965E-3</v>
      </c>
      <c r="D8836">
        <f>LOG10(3.915411)</f>
        <v>0.59277735660173703</v>
      </c>
    </row>
    <row r="8837" spans="1:4">
      <c r="A8837">
        <v>1.0114799999999999</v>
      </c>
      <c r="B8837">
        <v>3.6698210000000002</v>
      </c>
      <c r="C8837">
        <f>LOG10(1.01148)</f>
        <v>4.9572998843710947E-3</v>
      </c>
      <c r="D8837">
        <f>LOG10(3.669821)</f>
        <v>0.56464488152507841</v>
      </c>
    </row>
    <row r="8838" spans="1:4">
      <c r="A8838">
        <v>1.0056700000000001</v>
      </c>
      <c r="B8838">
        <v>3.584508</v>
      </c>
      <c r="C8838">
        <f>LOG10(1.00567)</f>
        <v>2.4554949440968514E-3</v>
      </c>
      <c r="D8838">
        <f>LOG10(3.584508)</f>
        <v>0.55442955399307681</v>
      </c>
    </row>
    <row r="8839" spans="1:4">
      <c r="A8839">
        <v>1.0075529999999999</v>
      </c>
      <c r="B8839">
        <v>3.559793</v>
      </c>
      <c r="C8839">
        <f>LOG10(1.007553)</f>
        <v>3.2679004728355587E-3</v>
      </c>
      <c r="D8839">
        <f>LOG10(3.559793)</f>
        <v>0.55142474472245639</v>
      </c>
    </row>
    <row r="8840" spans="1:4">
      <c r="A8840">
        <v>1.0081659999999999</v>
      </c>
      <c r="B8840">
        <v>3.5466500000000001</v>
      </c>
      <c r="C8840">
        <f>LOG10(1.008166)</f>
        <v>3.5320469392960963E-3</v>
      </c>
      <c r="D8840">
        <f>LOG10(3.54665)</f>
        <v>0.54981833237704392</v>
      </c>
    </row>
    <row r="8841" spans="1:4">
      <c r="A8841">
        <v>1.0197369999999999</v>
      </c>
      <c r="B8841">
        <v>3.5407350000000002</v>
      </c>
      <c r="C8841">
        <f>LOG10(1.019737)</f>
        <v>8.4881774711108842E-3</v>
      </c>
      <c r="D8841">
        <f>LOG10(3.540735)</f>
        <v>0.5490934239779991</v>
      </c>
    </row>
    <row r="8842" spans="1:4">
      <c r="A8842">
        <v>1.010812</v>
      </c>
      <c r="B8842">
        <v>3.4204110000000001</v>
      </c>
      <c r="C8842">
        <f>LOG10(1.010812)</f>
        <v>4.670389067869229E-3</v>
      </c>
      <c r="D8842">
        <f>LOG10(3.420411)</f>
        <v>0.53407829445015909</v>
      </c>
    </row>
    <row r="8843" spans="1:4">
      <c r="A8843">
        <v>1.0186809999999999</v>
      </c>
      <c r="B8843">
        <v>3.642458</v>
      </c>
      <c r="C8843">
        <f>LOG10(1.018681)</f>
        <v>8.0382059599520533E-3</v>
      </c>
      <c r="D8843">
        <f>LOG10(3.642458)</f>
        <v>0.56139455276230188</v>
      </c>
    </row>
    <row r="8844" spans="1:4">
      <c r="A8844">
        <v>1.0087269999999999</v>
      </c>
      <c r="B8844">
        <v>3.9530750000000001</v>
      </c>
      <c r="C8844">
        <f>LOG10(1.008727)</f>
        <v>3.7736454877872775E-3</v>
      </c>
      <c r="D8844">
        <f>LOG10(3.953075)</f>
        <v>0.59693505410445624</v>
      </c>
    </row>
    <row r="8845" spans="1:4">
      <c r="A8845">
        <v>1.0127060000000001</v>
      </c>
      <c r="B8845">
        <v>3.5095429999999999</v>
      </c>
      <c r="C8845">
        <f>LOG10(1.012706)</f>
        <v>5.4833830604442092E-3</v>
      </c>
      <c r="D8845">
        <f>LOG10(3.509543)</f>
        <v>0.54525056789036541</v>
      </c>
    </row>
    <row r="8846" spans="1:4">
      <c r="A8846">
        <v>1.034937</v>
      </c>
      <c r="B8846">
        <v>3.6746379999999998</v>
      </c>
      <c r="C8846">
        <f>LOG10(1.034937)</f>
        <v>1.491391367206104E-2</v>
      </c>
      <c r="D8846">
        <f>LOG10(3.674638)</f>
        <v>0.5652145618294534</v>
      </c>
    </row>
    <row r="8847" spans="1:4">
      <c r="A8847">
        <v>1.008372</v>
      </c>
      <c r="B8847">
        <v>3.7380640000000001</v>
      </c>
      <c r="C8847">
        <f>LOG10(1.008372)</f>
        <v>3.6207778866755597E-3</v>
      </c>
      <c r="D8847">
        <f>LOG10(3.738064)</f>
        <v>0.5726467327327277</v>
      </c>
    </row>
    <row r="8848" spans="1:4">
      <c r="A8848">
        <v>1.014777</v>
      </c>
      <c r="B8848">
        <v>3.4969990000000002</v>
      </c>
      <c r="C8848">
        <f>LOG10(1.014777)</f>
        <v>6.3706153428729814E-3</v>
      </c>
      <c r="D8848">
        <f>LOG10(3.496999)</f>
        <v>0.5436955081186402</v>
      </c>
    </row>
    <row r="8849" spans="1:4">
      <c r="A8849">
        <v>1.0147710000000001</v>
      </c>
      <c r="B8849">
        <v>3.8740079999999999</v>
      </c>
      <c r="C8849">
        <f>LOG10(1.014771)</f>
        <v>6.3680475130986616E-3</v>
      </c>
      <c r="D8849">
        <f>LOG10(3.874008)</f>
        <v>0.58816051322157104</v>
      </c>
    </row>
    <row r="8850" spans="1:4">
      <c r="A8850">
        <v>1.0048029999999999</v>
      </c>
      <c r="B8850">
        <v>4.0026270000000004</v>
      </c>
      <c r="C8850">
        <f>LOG10(1.004803)</f>
        <v>2.0809230506653714E-3</v>
      </c>
      <c r="D8850">
        <f>LOG10(4.002627)</f>
        <v>0.60234512060986956</v>
      </c>
    </row>
    <row r="8851" spans="1:4">
      <c r="A8851">
        <v>1.0060709999999999</v>
      </c>
      <c r="B8851">
        <v>3.8487420000000001</v>
      </c>
      <c r="C8851">
        <f>LOG10(1.006071)</f>
        <v>2.6286306405405202E-3</v>
      </c>
      <c r="D8851">
        <f>LOG10(3.848742)</f>
        <v>0.58531879918713214</v>
      </c>
    </row>
    <row r="8852" spans="1:4">
      <c r="A8852">
        <v>1.0076799999999999</v>
      </c>
      <c r="B8852">
        <v>3.6613760000000002</v>
      </c>
      <c r="C8852">
        <f>LOG10(1.00768)</f>
        <v>3.3226389564498353E-3</v>
      </c>
      <c r="D8852">
        <f>LOG10(3.661376)</f>
        <v>0.56364433044947548</v>
      </c>
    </row>
    <row r="8853" spans="1:4">
      <c r="A8853">
        <v>1.008141</v>
      </c>
      <c r="B8853">
        <v>3.5551170000000001</v>
      </c>
      <c r="C8853">
        <f>LOG10(1.008141)</f>
        <v>3.5212773867943073E-3</v>
      </c>
      <c r="D8853">
        <f>LOG10(3.555117)</f>
        <v>0.55085389806669838</v>
      </c>
    </row>
    <row r="8854" spans="1:4">
      <c r="A8854">
        <v>1.0035510000000001</v>
      </c>
      <c r="B8854">
        <v>3.7798569999999998</v>
      </c>
      <c r="C8854">
        <f>LOG10(1.003551)</f>
        <v>1.5394480300475533E-3</v>
      </c>
      <c r="D8854">
        <f>LOG10(3.779857)</f>
        <v>0.57747536986747339</v>
      </c>
    </row>
    <row r="8855" spans="1:4">
      <c r="A8855">
        <v>1.0035019999999999</v>
      </c>
      <c r="B8855">
        <v>3.5576880000000002</v>
      </c>
      <c r="C8855">
        <f>LOG10(1.003502)</f>
        <v>1.5182423821473046E-3</v>
      </c>
      <c r="D8855">
        <f>LOG10(3.557688)</f>
        <v>0.55116785891944253</v>
      </c>
    </row>
    <row r="8856" spans="1:4">
      <c r="A8856">
        <v>1.0270760000000001</v>
      </c>
      <c r="B8856">
        <v>3.6974089999999999</v>
      </c>
      <c r="C8856">
        <f>LOG10(1.027076)</f>
        <v>1.1602581045590482E-2</v>
      </c>
      <c r="D8856">
        <f>LOG10(3.697409)</f>
        <v>0.56789749401870993</v>
      </c>
    </row>
    <row r="8857" spans="1:4">
      <c r="A8857">
        <v>1.006982</v>
      </c>
      <c r="B8857">
        <v>4.1697329999999999</v>
      </c>
      <c r="C8857">
        <f>LOG10(1.006982)</f>
        <v>3.02170752428165E-3</v>
      </c>
      <c r="D8857">
        <f>LOG10(4.169733)</f>
        <v>0.62010824673895959</v>
      </c>
    </row>
    <row r="8858" spans="1:4">
      <c r="A8858">
        <v>1.004394</v>
      </c>
      <c r="B8858">
        <v>3.6501269999999999</v>
      </c>
      <c r="C8858">
        <f>LOG10(1.004394)</f>
        <v>1.9041096813920855E-3</v>
      </c>
      <c r="D8858">
        <f>LOG10(3.650127)</f>
        <v>0.56230797526186405</v>
      </c>
    </row>
    <row r="8859" spans="1:4">
      <c r="A8859">
        <v>1.0040450000000001</v>
      </c>
      <c r="B8859">
        <v>4.1284919999999996</v>
      </c>
      <c r="C8859">
        <f>LOG10(1.004045)</f>
        <v>1.7531777629123705E-3</v>
      </c>
      <c r="D8859">
        <f>LOG10(4.128492)</f>
        <v>0.61579144737707514</v>
      </c>
    </row>
    <row r="8860" spans="1:4">
      <c r="A8860">
        <v>1.0053479999999999</v>
      </c>
      <c r="B8860">
        <v>3.8401380000000001</v>
      </c>
      <c r="C8860">
        <f>LOG10(1.005348)</f>
        <v>2.3164182929997458E-3</v>
      </c>
      <c r="D8860">
        <f>LOG10(3.840138)</f>
        <v>0.58434683154503442</v>
      </c>
    </row>
    <row r="8861" spans="1:4">
      <c r="A8861">
        <v>1.015504</v>
      </c>
      <c r="B8861">
        <v>4.0348259999999998</v>
      </c>
      <c r="C8861">
        <f>LOG10(1.015504)</f>
        <v>6.6816384001128848E-3</v>
      </c>
      <c r="D8861">
        <f>LOG10(4.034826)</f>
        <v>0.60582481071379457</v>
      </c>
    </row>
    <row r="8862" spans="1:4">
      <c r="A8862">
        <v>1.007101</v>
      </c>
      <c r="B8862">
        <v>4.4719179999999996</v>
      </c>
      <c r="C8862">
        <f>LOG10(1.007101)</f>
        <v>3.0730272001903551E-3</v>
      </c>
      <c r="D8862">
        <f>LOG10(4.471918)</f>
        <v>0.65049383144499973</v>
      </c>
    </row>
    <row r="8863" spans="1:4">
      <c r="A8863">
        <v>1.001182</v>
      </c>
      <c r="B8863">
        <v>3.4122810000000001</v>
      </c>
      <c r="C8863">
        <f>LOG10(1.001182)</f>
        <v>5.1303293484077084E-4</v>
      </c>
      <c r="D8863">
        <f>LOG10(3.412281)</f>
        <v>0.53304478794813426</v>
      </c>
    </row>
    <row r="8864" spans="1:4">
      <c r="A8864">
        <v>1.0030570000000001</v>
      </c>
      <c r="B8864">
        <v>3.6352129999999998</v>
      </c>
      <c r="C8864">
        <f>LOG10(1.003057)</f>
        <v>1.3256130623862036E-3</v>
      </c>
      <c r="D8864">
        <f>LOG10(3.635213)</f>
        <v>0.56052986279189365</v>
      </c>
    </row>
    <row r="8865" spans="1:4">
      <c r="A8865">
        <v>1.00498</v>
      </c>
      <c r="B8865">
        <v>3.6470009999999999</v>
      </c>
      <c r="C8865">
        <f>LOG10(1.00498)</f>
        <v>2.1574189942529689E-3</v>
      </c>
      <c r="D8865">
        <f>LOG10(3.647001)</f>
        <v>0.56193588239643066</v>
      </c>
    </row>
    <row r="8866" spans="1:4">
      <c r="A8866">
        <v>1.005355</v>
      </c>
      <c r="B8866">
        <v>3.8890210000000001</v>
      </c>
      <c r="C8866">
        <f>LOG10(1.005355)</f>
        <v>2.3194421720841994E-3</v>
      </c>
      <c r="D8866">
        <f>LOG10(3.889021)</f>
        <v>0.58984028826432688</v>
      </c>
    </row>
    <row r="8867" spans="1:4">
      <c r="A8867">
        <v>1.0003420000000001</v>
      </c>
      <c r="B8867">
        <v>3.9152110000000002</v>
      </c>
      <c r="C8867">
        <f>LOG10(1.000342)</f>
        <v>1.4850332019040197E-4</v>
      </c>
      <c r="D8867">
        <f>LOG10(3.915211)</f>
        <v>0.59275517218359008</v>
      </c>
    </row>
    <row r="8868" spans="1:4">
      <c r="A8868">
        <v>1.0017640000000001</v>
      </c>
      <c r="B8868">
        <v>3.864576</v>
      </c>
      <c r="C8868">
        <f>LOG10(1.001764)</f>
        <v>7.6542056344523215E-4</v>
      </c>
      <c r="D8868">
        <f>LOG10(3.864576)</f>
        <v>0.58710185246872448</v>
      </c>
    </row>
    <row r="8869" spans="1:4">
      <c r="A8869">
        <v>1.0233220000000001</v>
      </c>
      <c r="B8869">
        <v>3.4142420000000002</v>
      </c>
      <c r="C8869">
        <f>LOG10(1.023322)</f>
        <v>1.0012310954868861E-2</v>
      </c>
      <c r="D8869">
        <f>LOG10(3.414242)</f>
        <v>0.53329430047521087</v>
      </c>
    </row>
    <row r="8870" spans="1:4">
      <c r="A8870">
        <v>1.0047969999999999</v>
      </c>
      <c r="B8870">
        <v>3.5614530000000002</v>
      </c>
      <c r="C8870">
        <f>LOG10(1.004797)</f>
        <v>2.0783297317049755E-3</v>
      </c>
      <c r="D8870">
        <f>LOG10(3.561453)</f>
        <v>0.55162721739451903</v>
      </c>
    </row>
    <row r="8871" spans="1:4">
      <c r="A8871">
        <v>1.0012030000000001</v>
      </c>
      <c r="B8871">
        <v>3.651748</v>
      </c>
      <c r="C8871">
        <f>LOG10(1.001203)</f>
        <v>5.2214225609549839E-4</v>
      </c>
      <c r="D8871">
        <f>LOG10(3.651748)</f>
        <v>0.56250080008199044</v>
      </c>
    </row>
    <row r="8872" spans="1:4">
      <c r="A8872">
        <v>1.001193</v>
      </c>
      <c r="B8872">
        <v>3.7260200000000001</v>
      </c>
      <c r="C8872">
        <f>LOG10(1.001193)</f>
        <v>5.1780450789874104E-4</v>
      </c>
      <c r="D8872">
        <f>LOG10(3.72602)</f>
        <v>0.57124518171060668</v>
      </c>
    </row>
    <row r="8873" spans="1:4">
      <c r="A8873">
        <v>1.00979</v>
      </c>
      <c r="B8873">
        <v>3.673816</v>
      </c>
      <c r="C8873">
        <f>LOG10(1.00979)</f>
        <v>4.231065541163679E-3</v>
      </c>
      <c r="D8873">
        <f>LOG10(3.673816)</f>
        <v>0.56511740123877319</v>
      </c>
    </row>
    <row r="8874" spans="1:4">
      <c r="A8874">
        <v>1.0013399999999999</v>
      </c>
      <c r="B8874">
        <v>3.7095220000000002</v>
      </c>
      <c r="C8874">
        <f>LOG10(1.00134)</f>
        <v>5.8156504413400399E-4</v>
      </c>
      <c r="D8874">
        <f>LOG10(3.709522)</f>
        <v>0.56931795108762673</v>
      </c>
    </row>
    <row r="8875" spans="1:4">
      <c r="A8875">
        <v>1.0013700000000001</v>
      </c>
      <c r="B8875">
        <v>3.6330179999999999</v>
      </c>
      <c r="C8875">
        <f>LOG10(1.00137)</f>
        <v>5.9457624841036702E-4</v>
      </c>
      <c r="D8875">
        <f>LOG10(3.633018)</f>
        <v>0.56026754960543657</v>
      </c>
    </row>
    <row r="8876" spans="1:4">
      <c r="A8876">
        <v>1.0025649999999999</v>
      </c>
      <c r="B8876">
        <v>3.627723</v>
      </c>
      <c r="C8876">
        <f>LOG10(1.002565)</f>
        <v>1.1125391238448949E-3</v>
      </c>
      <c r="D8876">
        <f>LOG10(3.627723)</f>
        <v>0.55963411847510458</v>
      </c>
    </row>
    <row r="8877" spans="1:4">
      <c r="A8877">
        <v>1.0025759999999999</v>
      </c>
      <c r="B8877">
        <v>3.7074780000000001</v>
      </c>
      <c r="C8877">
        <f>LOG10(1.002576)</f>
        <v>1.1173041147367838E-3</v>
      </c>
      <c r="D8877">
        <f>LOG10(3.707478)</f>
        <v>0.56907858262504551</v>
      </c>
    </row>
    <row r="8878" spans="1:4">
      <c r="A8878">
        <v>1.003152</v>
      </c>
      <c r="B8878">
        <v>3.8213409999999999</v>
      </c>
      <c r="C8878">
        <f>LOG10(1.003152)</f>
        <v>1.3667433492223484E-3</v>
      </c>
      <c r="D8878">
        <f>LOG10(3.821341)</f>
        <v>0.58221579398531509</v>
      </c>
    </row>
    <row r="8879" spans="1:4">
      <c r="A8879">
        <v>1.002316</v>
      </c>
      <c r="B8879">
        <v>3.7732519999999998</v>
      </c>
      <c r="C8879">
        <f>LOG10(1.002316)</f>
        <v>1.0046630688073173E-3</v>
      </c>
      <c r="D8879">
        <f>LOG10(3.773252)</f>
        <v>0.57671581091389257</v>
      </c>
    </row>
    <row r="8880" spans="1:4">
      <c r="A8880">
        <v>1.0016929999999999</v>
      </c>
      <c r="B8880">
        <v>3.5000499999999999</v>
      </c>
      <c r="C8880">
        <f>LOG10(1.001693)</f>
        <v>7.3463886138912964E-4</v>
      </c>
      <c r="D8880">
        <f>LOG10(3.50005)</f>
        <v>0.54407424851284458</v>
      </c>
    </row>
    <row r="8881" spans="1:4">
      <c r="A8881">
        <v>1.012402</v>
      </c>
      <c r="B8881">
        <v>3.6680799999999998</v>
      </c>
      <c r="C8881">
        <f>LOG10(1.012402)</f>
        <v>5.3529944357483018E-3</v>
      </c>
      <c r="D8881">
        <f>LOG10(3.66808)</f>
        <v>0.56443879896626992</v>
      </c>
    </row>
    <row r="8882" spans="1:4">
      <c r="A8882">
        <v>1.0011300000000001</v>
      </c>
      <c r="B8882">
        <v>3.8610760000000002</v>
      </c>
      <c r="C8882">
        <f>LOG10(1.00113)</f>
        <v>4.9047569794260463E-4</v>
      </c>
      <c r="D8882">
        <f>LOG10(3.861076)</f>
        <v>0.58670835020104473</v>
      </c>
    </row>
    <row r="8883" spans="1:4">
      <c r="A8883">
        <v>1.0025999999999999</v>
      </c>
      <c r="B8883">
        <v>3.6662970000000001</v>
      </c>
      <c r="C8883">
        <f>LOG10(1.0026)</f>
        <v>1.1277002770349424E-3</v>
      </c>
      <c r="D8883">
        <f>LOG10(3.666297)</f>
        <v>0.56422764345122411</v>
      </c>
    </row>
    <row r="8884" spans="1:4">
      <c r="A8884">
        <v>1.0106409999999999</v>
      </c>
      <c r="B8884">
        <v>3.4832740000000002</v>
      </c>
      <c r="C8884">
        <f>LOG10(1.010641)</f>
        <v>4.5969128538957543E-3</v>
      </c>
      <c r="D8884">
        <f>LOG10(3.483274)</f>
        <v>0.54198763811246609</v>
      </c>
    </row>
    <row r="8885" spans="1:4">
      <c r="A8885">
        <v>1.0081150000000001</v>
      </c>
      <c r="B8885">
        <v>3.7704399999999998</v>
      </c>
      <c r="C8885">
        <f>LOG10(1.008115)</f>
        <v>3.5100767688866115E-3</v>
      </c>
      <c r="D8885">
        <f>LOG10(3.77044)</f>
        <v>0.576392034137302</v>
      </c>
    </row>
    <row r="8886" spans="1:4">
      <c r="A8886">
        <v>1.0080439999999999</v>
      </c>
      <c r="B8886">
        <v>3.4312909999999999</v>
      </c>
      <c r="C8886">
        <f>LOG10(1.008044)</f>
        <v>3.4794889945811681E-3</v>
      </c>
      <c r="D8886">
        <f>LOG10(3.431291)</f>
        <v>0.53545755114713656</v>
      </c>
    </row>
    <row r="8887" spans="1:4">
      <c r="A8887">
        <v>1.0062329999999999</v>
      </c>
      <c r="B8887">
        <v>3.2699289999999999</v>
      </c>
      <c r="C8887">
        <f>LOG10(1.006233)</f>
        <v>2.6985561649347637E-3</v>
      </c>
      <c r="D8887">
        <f>LOG10(3.269929)</f>
        <v>0.51453832292237411</v>
      </c>
    </row>
    <row r="8888" spans="1:4">
      <c r="A8888">
        <v>1.0003960000000001</v>
      </c>
      <c r="B8888">
        <v>3.332608</v>
      </c>
      <c r="C8888">
        <f>LOG10(1.000396)</f>
        <v>1.7194657165907958E-4</v>
      </c>
      <c r="D8888">
        <f>LOG10(3.332608)</f>
        <v>0.52278423251771389</v>
      </c>
    </row>
    <row r="8889" spans="1:4">
      <c r="A8889">
        <v>1.0068589999999999</v>
      </c>
      <c r="B8889">
        <v>3.5441479999999999</v>
      </c>
      <c r="C8889">
        <f>LOG10(1.006859)</f>
        <v>2.9686564429494437E-3</v>
      </c>
      <c r="D8889">
        <f>LOG10(3.544148)</f>
        <v>0.54951184928760388</v>
      </c>
    </row>
    <row r="8890" spans="1:4">
      <c r="A8890">
        <v>1.0021329999999999</v>
      </c>
      <c r="B8890">
        <v>3.4573459999999998</v>
      </c>
      <c r="C8890">
        <f>LOG10(1.002133)</f>
        <v>9.2536358011079459E-4</v>
      </c>
      <c r="D8890">
        <f>LOG10(3.457346)</f>
        <v>0.53874284450376797</v>
      </c>
    </row>
    <row r="8891" spans="1:4">
      <c r="A8891">
        <v>1.000389</v>
      </c>
      <c r="B8891">
        <v>3.4090280000000002</v>
      </c>
      <c r="C8891">
        <f>LOG10(1.000389)</f>
        <v>1.6890770304163756E-4</v>
      </c>
      <c r="D8891">
        <f>LOG10(3.409028)</f>
        <v>0.53263056831470934</v>
      </c>
    </row>
    <row r="8892" spans="1:4">
      <c r="A8892">
        <v>1.0046619999999999</v>
      </c>
      <c r="B8892">
        <v>3.5562719999999999</v>
      </c>
      <c r="C8892">
        <f>LOG10(1.004662)</f>
        <v>2.0199759607197054E-3</v>
      </c>
      <c r="D8892">
        <f>LOG10(3.556272)</f>
        <v>0.55099497040320222</v>
      </c>
    </row>
    <row r="8893" spans="1:4">
      <c r="A8893">
        <v>1.0015959999999999</v>
      </c>
      <c r="B8893">
        <v>3.4281990000000002</v>
      </c>
      <c r="C8893">
        <f>LOG10(1.001596)</f>
        <v>6.9258146000815695E-4</v>
      </c>
      <c r="D8893">
        <f>LOG10(3.428199)</f>
        <v>0.53506602389686175</v>
      </c>
    </row>
    <row r="8894" spans="1:4">
      <c r="A8894">
        <v>1.0088649999999999</v>
      </c>
      <c r="B8894">
        <v>3.2494670000000001</v>
      </c>
      <c r="C8894">
        <f>LOG10(1.008865)</f>
        <v>3.8330555554284044E-3</v>
      </c>
      <c r="D8894">
        <f>LOG10(3.249467)</f>
        <v>0.51181213084281141</v>
      </c>
    </row>
    <row r="8895" spans="1:4">
      <c r="A8895">
        <v>1.00342</v>
      </c>
      <c r="B8895">
        <v>3.4223910000000002</v>
      </c>
      <c r="C8895">
        <f>LOG10(1.00342)</f>
        <v>1.4827530631445261E-3</v>
      </c>
      <c r="D8895">
        <f>LOG10(3.422391)</f>
        <v>0.5343296251471944</v>
      </c>
    </row>
    <row r="8896" spans="1:4">
      <c r="A8896">
        <v>1.014875</v>
      </c>
      <c r="B8896">
        <v>3.5206200000000001</v>
      </c>
      <c r="C8896">
        <f>LOG10(1.014875)</f>
        <v>6.4125544134718462E-3</v>
      </c>
      <c r="D8896">
        <f>LOG10(3.52062)</f>
        <v>0.54661915179293175</v>
      </c>
    </row>
    <row r="8897" spans="1:4">
      <c r="A8897">
        <v>1.0046029999999999</v>
      </c>
      <c r="B8897">
        <v>3.853936</v>
      </c>
      <c r="C8897">
        <f>LOG10(1.004603)</f>
        <v>1.9944707392186393E-3</v>
      </c>
      <c r="D8897">
        <f>LOG10(3.853936)</f>
        <v>0.58590449831174685</v>
      </c>
    </row>
    <row r="8898" spans="1:4">
      <c r="A8898">
        <v>1.001522</v>
      </c>
      <c r="B8898">
        <v>3.3420830000000001</v>
      </c>
      <c r="C8898">
        <f>LOG10(1.001522)</f>
        <v>6.604936931612509E-4</v>
      </c>
      <c r="D8898">
        <f>LOG10(3.342083)</f>
        <v>0.52401723131272593</v>
      </c>
    </row>
    <row r="8899" spans="1:4">
      <c r="A8899">
        <v>1.0002850000000001</v>
      </c>
      <c r="B8899">
        <v>3.1531530000000001</v>
      </c>
      <c r="C8899">
        <f>LOG10(1.000285)</f>
        <v>1.2375629290828279E-4</v>
      </c>
      <c r="D8899">
        <f>LOG10(3.153153)</f>
        <v>0.49874504446931428</v>
      </c>
    </row>
    <row r="8900" spans="1:4">
      <c r="A8900">
        <v>1.0109379999999999</v>
      </c>
      <c r="B8900">
        <v>3.073944</v>
      </c>
      <c r="C8900">
        <f>LOG10(1.010938)</f>
        <v>4.7245214826490889E-3</v>
      </c>
      <c r="D8900">
        <f>LOG10(3.073944)</f>
        <v>0.48769595141599825</v>
      </c>
    </row>
    <row r="8901" spans="1:4">
      <c r="A8901">
        <v>1.000683</v>
      </c>
      <c r="B8901">
        <v>3.1979890000000002</v>
      </c>
      <c r="C8901">
        <f>LOG10(1.000683)</f>
        <v>2.9652188044082729E-4</v>
      </c>
      <c r="D8901">
        <f>LOG10(3.197989)</f>
        <v>0.50487696558672723</v>
      </c>
    </row>
    <row r="8902" spans="1:4">
      <c r="A8902">
        <v>1.0048029999999999</v>
      </c>
      <c r="B8902">
        <v>3.2174489999999998</v>
      </c>
      <c r="C8902">
        <f>LOG10(1.004803)</f>
        <v>2.0809230506653714E-3</v>
      </c>
      <c r="D8902">
        <f>LOG10(3.217449)</f>
        <v>0.5075116716000081</v>
      </c>
    </row>
    <row r="8903" spans="1:4">
      <c r="A8903">
        <v>1.0013300000000001</v>
      </c>
      <c r="B8903">
        <v>3.3323320000000001</v>
      </c>
      <c r="C8903">
        <f>LOG10(1.00133)</f>
        <v>5.7722788941655119E-4</v>
      </c>
      <c r="D8903">
        <f>LOG10(3.332332)</f>
        <v>0.5227482636186469</v>
      </c>
    </row>
    <row r="8904" spans="1:4">
      <c r="A8904">
        <v>1.0127159999999999</v>
      </c>
      <c r="B8904">
        <v>3.1232340000000001</v>
      </c>
      <c r="C8904">
        <f>LOG10(1.012716)</f>
        <v>5.4876714949719275E-3</v>
      </c>
      <c r="D8904">
        <f>LOG10(3.123234)</f>
        <v>0.4946045238080668</v>
      </c>
    </row>
    <row r="8905" spans="1:4">
      <c r="A8905">
        <v>1.0065189999999999</v>
      </c>
      <c r="B8905">
        <v>3.401948</v>
      </c>
      <c r="C8905">
        <f>LOG10(1.006519)</f>
        <v>2.8219774534594152E-3</v>
      </c>
      <c r="D8905">
        <f>LOG10(3.401948)</f>
        <v>0.53172767097976736</v>
      </c>
    </row>
    <row r="8906" spans="1:4">
      <c r="A8906">
        <v>1.0013540000000001</v>
      </c>
      <c r="B8906">
        <v>3.2491400000000001</v>
      </c>
      <c r="C8906">
        <f>LOG10(1.001354)</f>
        <v>5.8763698797247661E-4</v>
      </c>
      <c r="D8906">
        <f>LOG10(3.24914)</f>
        <v>0.51176842476989393</v>
      </c>
    </row>
    <row r="8907" spans="1:4">
      <c r="A8907">
        <v>1.001134</v>
      </c>
      <c r="B8907">
        <v>3.1893180000000001</v>
      </c>
      <c r="C8907">
        <f>LOG10(1.001134)</f>
        <v>4.922109116083039E-4</v>
      </c>
      <c r="D8907">
        <f>LOG10(3.189318)</f>
        <v>0.50369782396541418</v>
      </c>
    </row>
    <row r="8908" spans="1:4">
      <c r="A8908">
        <v>1.0046839999999999</v>
      </c>
      <c r="B8908">
        <v>3.2297349999999998</v>
      </c>
      <c r="C8908">
        <f>LOG10(1.004684)</f>
        <v>2.0294859989134651E-3</v>
      </c>
      <c r="D8908">
        <f>LOG10(3.229735)</f>
        <v>0.50916688989795544</v>
      </c>
    </row>
    <row r="8909" spans="1:4">
      <c r="A8909">
        <v>1.000499</v>
      </c>
      <c r="B8909">
        <v>3.141791</v>
      </c>
      <c r="C8909">
        <f>LOG10(1.000499)</f>
        <v>2.1665889457010804E-4</v>
      </c>
      <c r="D8909">
        <f>LOG10(3.141791)</f>
        <v>0.4971772912813906</v>
      </c>
    </row>
    <row r="8910" spans="1:4">
      <c r="A8910">
        <v>1.0016480000000001</v>
      </c>
      <c r="B8910">
        <v>3.1095769999999998</v>
      </c>
      <c r="C8910">
        <f>LOG10(1.001648)</f>
        <v>7.1512820225634252E-4</v>
      </c>
      <c r="D8910">
        <f>LOG10(3.109577)</f>
        <v>0.49270131537403816</v>
      </c>
    </row>
    <row r="8911" spans="1:4">
      <c r="A8911">
        <v>1.0066649999999999</v>
      </c>
      <c r="B8911">
        <v>3.0042309999999999</v>
      </c>
      <c r="C8911">
        <f>LOG10(1.006665)</f>
        <v>2.8849692062937584E-3</v>
      </c>
      <c r="D8911">
        <f>LOG10(3.004231)</f>
        <v>0.47773332319506767</v>
      </c>
    </row>
    <row r="8912" spans="1:4">
      <c r="A8912">
        <v>1.000667</v>
      </c>
      <c r="B8912">
        <v>2.927295</v>
      </c>
      <c r="C8912">
        <f>LOG10(1.000667)</f>
        <v>2.8957785594675375E-4</v>
      </c>
      <c r="D8912">
        <f>LOG10(2.927295)</f>
        <v>0.46646649093957099</v>
      </c>
    </row>
    <row r="8913" spans="1:4">
      <c r="A8913">
        <v>1.0031330000000001</v>
      </c>
      <c r="B8913">
        <v>3.0051290000000002</v>
      </c>
      <c r="C8913">
        <f>LOG10(1.003133)</f>
        <v>1.3585176034719645E-3</v>
      </c>
      <c r="D8913">
        <f>LOG10(3.005129)</f>
        <v>0.47786311952867128</v>
      </c>
    </row>
    <row r="8914" spans="1:4">
      <c r="A8914">
        <v>1.0078560000000001</v>
      </c>
      <c r="B8914">
        <v>3.0694189999999999</v>
      </c>
      <c r="C8914">
        <f>LOG10(1.007856)</f>
        <v>3.398485608664755E-3</v>
      </c>
      <c r="D8914">
        <f>LOG10(3.069419)</f>
        <v>0.48705617711452737</v>
      </c>
    </row>
    <row r="8915" spans="1:4">
      <c r="A8915">
        <v>1.0050250000000001</v>
      </c>
      <c r="B8915">
        <v>2.3726409999999998</v>
      </c>
      <c r="C8915">
        <f>LOG10(1.005025)</f>
        <v>2.1768649674609392E-3</v>
      </c>
      <c r="D8915">
        <f>LOG10(2.372641)</f>
        <v>0.37523203087904655</v>
      </c>
    </row>
    <row r="8916" spans="1:4">
      <c r="A8916">
        <v>1.0084120000000001</v>
      </c>
      <c r="B8916">
        <v>1.5994189999999999</v>
      </c>
      <c r="C8916">
        <f>LOG10(1.008412)</f>
        <v>3.6380050952198807E-3</v>
      </c>
      <c r="D8916">
        <f>LOG10(1.599419)</f>
        <v>0.20396225083226588</v>
      </c>
    </row>
    <row r="8917" spans="1:4">
      <c r="A8917">
        <v>1.0023420000000001</v>
      </c>
      <c r="B8917">
        <v>2.888541</v>
      </c>
      <c r="C8917">
        <f>LOG10(1.002342)</f>
        <v>1.0159284881757612E-3</v>
      </c>
      <c r="D8917">
        <f>LOG10(2.888541)</f>
        <v>0.46067853630443084</v>
      </c>
    </row>
    <row r="8918" spans="1:4">
      <c r="A8918">
        <v>1.0048379999999999</v>
      </c>
      <c r="B8918">
        <v>3.183608</v>
      </c>
      <c r="C8918">
        <f>LOG10(1.004838)</f>
        <v>2.0960504359726516E-3</v>
      </c>
      <c r="D8918">
        <f>LOG10(3.183608)</f>
        <v>0.50291958735785003</v>
      </c>
    </row>
    <row r="8919" spans="1:4">
      <c r="A8919">
        <v>1.0046010000000001</v>
      </c>
      <c r="B8919">
        <v>3.0201829999999998</v>
      </c>
      <c r="C8919">
        <f>LOG10(1.004601)</f>
        <v>1.9936061291902546E-3</v>
      </c>
      <c r="D8919">
        <f>LOG10(3.020183)</f>
        <v>0.48003325867977442</v>
      </c>
    </row>
    <row r="8920" spans="1:4">
      <c r="A8920">
        <v>1.006086</v>
      </c>
      <c r="B8920">
        <v>3.1184560000000001</v>
      </c>
      <c r="C8920">
        <f>LOG10(1.006086)</f>
        <v>2.6351056991256228E-3</v>
      </c>
      <c r="D8920">
        <f>LOG10(3.118456)</f>
        <v>0.49393962073218411</v>
      </c>
    </row>
    <row r="8921" spans="1:4">
      <c r="A8921">
        <v>1.003182</v>
      </c>
      <c r="B8921">
        <v>3.13171</v>
      </c>
      <c r="C8921">
        <f>LOG10(1.003182)</f>
        <v>1.3797310516268908E-3</v>
      </c>
      <c r="D8921">
        <f>LOG10(3.13171)</f>
        <v>0.49578153907207517</v>
      </c>
    </row>
    <row r="8922" spans="1:4">
      <c r="A8922">
        <v>1.0034019999999999</v>
      </c>
      <c r="B8922">
        <v>3.024187</v>
      </c>
      <c r="C8922">
        <f>LOG10(1.003402)</f>
        <v>1.4749623366381393E-3</v>
      </c>
      <c r="D8922">
        <f>LOG10(3.024187)</f>
        <v>0.48060864217214749</v>
      </c>
    </row>
    <row r="8923" spans="1:4">
      <c r="A8923">
        <v>1.0031760000000001</v>
      </c>
      <c r="B8923">
        <v>3.1424080000000001</v>
      </c>
      <c r="C8923">
        <f>LOG10(1.003176)</f>
        <v>1.3771335422178962E-3</v>
      </c>
      <c r="D8923">
        <f>LOG10(3.142408)</f>
        <v>0.49726257174313132</v>
      </c>
    </row>
    <row r="8924" spans="1:4">
      <c r="A8924">
        <v>1.006632</v>
      </c>
      <c r="B8924">
        <v>3.0882960000000002</v>
      </c>
      <c r="C8924">
        <f>LOG10(1.006632)</f>
        <v>2.8707321435016628E-3</v>
      </c>
      <c r="D8924">
        <f>LOG10(3.088296)</f>
        <v>0.48971891893245051</v>
      </c>
    </row>
    <row r="8925" spans="1:4">
      <c r="A8925">
        <v>1.0066390000000001</v>
      </c>
      <c r="B8925">
        <v>3.1517620000000002</v>
      </c>
      <c r="C8925">
        <f>LOG10(1.006639)</f>
        <v>2.8737521655189413E-3</v>
      </c>
      <c r="D8925">
        <f>LOG10(3.151762)</f>
        <v>0.49855341503921768</v>
      </c>
    </row>
    <row r="8926" spans="1:4">
      <c r="A8926">
        <v>1.0038720000000001</v>
      </c>
      <c r="B8926">
        <v>3.115793</v>
      </c>
      <c r="C8926">
        <f>LOG10(1.003872)</f>
        <v>1.6783410584518112E-3</v>
      </c>
      <c r="D8926">
        <f>LOG10(3.115793)</f>
        <v>0.49356859728552699</v>
      </c>
    </row>
    <row r="8927" spans="1:4">
      <c r="A8927">
        <v>1.005233</v>
      </c>
      <c r="B8927">
        <v>3.1293899999999999</v>
      </c>
      <c r="C8927">
        <f>LOG10(1.005233)</f>
        <v>2.2667372650050717E-3</v>
      </c>
      <c r="D8927">
        <f>LOG10(3.12939)</f>
        <v>0.49545969043712962</v>
      </c>
    </row>
    <row r="8928" spans="1:4">
      <c r="A8928">
        <v>1.003636</v>
      </c>
      <c r="B8928">
        <v>2.9215650000000002</v>
      </c>
      <c r="C8928">
        <f>LOG10(1.003636)</f>
        <v>1.5762308818533851E-3</v>
      </c>
      <c r="D8928">
        <f>LOG10(2.921565)</f>
        <v>0.46561555308931063</v>
      </c>
    </row>
    <row r="8929" spans="1:4">
      <c r="A8929">
        <v>1.0065010000000001</v>
      </c>
      <c r="B8929">
        <v>3.1351239999999998</v>
      </c>
      <c r="C8929">
        <f>LOG10(1.006501)</f>
        <v>2.8142107142572191E-3</v>
      </c>
      <c r="D8929">
        <f>LOG10(3.135124)</f>
        <v>0.49625472266298987</v>
      </c>
    </row>
    <row r="8930" spans="1:4">
      <c r="A8930">
        <v>1.0032890000000001</v>
      </c>
      <c r="B8930">
        <v>3.0195120000000002</v>
      </c>
      <c r="C8930">
        <f>LOG10(1.003289)</f>
        <v>1.4260506940316229E-3</v>
      </c>
      <c r="D8930">
        <f>LOG10(3.019512)</f>
        <v>0.47993675990009904</v>
      </c>
    </row>
    <row r="8931" spans="1:4">
      <c r="A8931">
        <v>1.0069710000000001</v>
      </c>
      <c r="B8931">
        <v>2.9269769999999999</v>
      </c>
      <c r="C8931">
        <f>LOG10(1.006971)</f>
        <v>3.016963382485912E-3</v>
      </c>
      <c r="D8931">
        <f>LOG10(2.926977)</f>
        <v>0.46641930978865043</v>
      </c>
    </row>
    <row r="8932" spans="1:4">
      <c r="A8932">
        <v>1.0098339999999999</v>
      </c>
      <c r="B8932">
        <v>3.0868859999999998</v>
      </c>
      <c r="C8932">
        <f>LOG10(1.009834)</f>
        <v>4.2499888231277844E-3</v>
      </c>
      <c r="D8932">
        <f>LOG10(3.086886)</f>
        <v>0.48952059110012891</v>
      </c>
    </row>
    <row r="8933" spans="1:4">
      <c r="A8933">
        <v>1.0047159999999999</v>
      </c>
      <c r="B8933">
        <v>3.0481799999999999</v>
      </c>
      <c r="C8933">
        <f>LOG10(1.004716)</f>
        <v>2.043318410003435E-3</v>
      </c>
      <c r="D8933">
        <f>LOG10(3.04818)</f>
        <v>0.48404060922221359</v>
      </c>
    </row>
    <row r="8934" spans="1:4">
      <c r="A8934">
        <v>1.013544</v>
      </c>
      <c r="B8934">
        <v>3.2496770000000001</v>
      </c>
      <c r="C8934">
        <f>LOG10(1.013544)</f>
        <v>5.842607042267231E-3</v>
      </c>
      <c r="D8934">
        <f>LOG10(3.249677)</f>
        <v>0.51184019664385583</v>
      </c>
    </row>
    <row r="8935" spans="1:4">
      <c r="A8935">
        <v>1.0039940000000001</v>
      </c>
      <c r="B8935">
        <v>3.0630989999999998</v>
      </c>
      <c r="C8935">
        <f>LOG10(1.003994)</f>
        <v>1.7311174158953669E-3</v>
      </c>
      <c r="D8935">
        <f>LOG10(3.063099)</f>
        <v>0.48616103352185008</v>
      </c>
    </row>
    <row r="8936" spans="1:4">
      <c r="A8936">
        <v>1.004543</v>
      </c>
      <c r="B8936">
        <v>3.0845189999999998</v>
      </c>
      <c r="C8936">
        <f>LOG10(1.004543)</f>
        <v>1.9685316895707598E-3</v>
      </c>
      <c r="D8936">
        <f>LOG10(3.084519)</f>
        <v>0.48918744975255185</v>
      </c>
    </row>
    <row r="8937" spans="1:4">
      <c r="A8937">
        <v>1.034902</v>
      </c>
      <c r="B8937">
        <v>3.0364450000000001</v>
      </c>
      <c r="C8937">
        <f>LOG10(1.034902)</f>
        <v>1.4899226242876387E-2</v>
      </c>
      <c r="D8937">
        <f>LOG10(3.036445)</f>
        <v>0.48236541902919577</v>
      </c>
    </row>
    <row r="8938" spans="1:4">
      <c r="A8938">
        <v>1.021604</v>
      </c>
      <c r="B8938">
        <v>3.0448240000000002</v>
      </c>
      <c r="C8938">
        <f>LOG10(1.021604)</f>
        <v>9.2825847002753828E-3</v>
      </c>
      <c r="D8938">
        <f>LOG10(3.044824)</f>
        <v>0.48356219416499174</v>
      </c>
    </row>
    <row r="8939" spans="1:4">
      <c r="A8939">
        <v>1.0679730000000001</v>
      </c>
      <c r="B8939">
        <v>3.014608</v>
      </c>
      <c r="C8939">
        <f>LOG10(1.067973)</f>
        <v>2.8560273198871743E-2</v>
      </c>
      <c r="D8939">
        <f>LOG10(3.014608)</f>
        <v>0.47923084732024956</v>
      </c>
    </row>
    <row r="8940" spans="1:4">
      <c r="A8940">
        <v>1.0713889999999999</v>
      </c>
      <c r="B8940">
        <v>3.1303909999999999</v>
      </c>
      <c r="C8940">
        <f>LOG10(1.071389)</f>
        <v>2.9947183138366654E-2</v>
      </c>
      <c r="D8940">
        <f>LOG10(3.130391)</f>
        <v>0.49559858628031989</v>
      </c>
    </row>
    <row r="8941" spans="1:4">
      <c r="A8941">
        <v>1.025779</v>
      </c>
      <c r="B8941">
        <v>3.0516719999999999</v>
      </c>
      <c r="C8941">
        <f>LOG10(1.025779)</f>
        <v>1.1053803837285285E-2</v>
      </c>
      <c r="D8941">
        <f>LOG10(3.051672)</f>
        <v>0.48453785292467638</v>
      </c>
    </row>
    <row r="8942" spans="1:4">
      <c r="A8942">
        <v>1.0026409999999999</v>
      </c>
      <c r="B8942">
        <v>3.1276510000000002</v>
      </c>
      <c r="C8942">
        <f>LOG10(1.002641)</f>
        <v>1.1454598119342351E-3</v>
      </c>
      <c r="D8942">
        <f>LOG10(3.127651)</f>
        <v>0.49521828619398167</v>
      </c>
    </row>
    <row r="8943" spans="1:4">
      <c r="A8943">
        <v>1.0200750000000001</v>
      </c>
      <c r="B8943">
        <v>3.0527060000000001</v>
      </c>
      <c r="C8943">
        <f>LOG10(1.020075)</f>
        <v>8.6321040057394261E-3</v>
      </c>
      <c r="D8943">
        <f>LOG10(3.052706)</f>
        <v>0.48468498028100415</v>
      </c>
    </row>
    <row r="8944" spans="1:4">
      <c r="A8944">
        <v>1.0100439999999999</v>
      </c>
      <c r="B8944">
        <v>3.093108</v>
      </c>
      <c r="C8944">
        <f>LOG10(1.010044)</f>
        <v>4.3402931301486083E-3</v>
      </c>
      <c r="D8944">
        <f>LOG10(3.093108)</f>
        <v>0.49039508424022443</v>
      </c>
    </row>
    <row r="8945" spans="1:4">
      <c r="A8945">
        <v>1.003423</v>
      </c>
      <c r="B8945">
        <v>3.1996340000000001</v>
      </c>
      <c r="C8945">
        <f>LOG10(1.003423)</f>
        <v>1.4840515039749248E-3</v>
      </c>
      <c r="D8945">
        <f>LOG10(3.199634)</f>
        <v>0.5051003030476795</v>
      </c>
    </row>
    <row r="8946" spans="1:4">
      <c r="A8946">
        <v>1.011074</v>
      </c>
      <c r="B8946">
        <v>3.0777480000000002</v>
      </c>
      <c r="C8946">
        <f>LOG10(1.011074)</f>
        <v>4.7829425500096855E-3</v>
      </c>
      <c r="D8946">
        <f>LOG10(3.077748)</f>
        <v>0.48823305776648834</v>
      </c>
    </row>
    <row r="8947" spans="1:4">
      <c r="A8947">
        <v>1.003927</v>
      </c>
      <c r="B8947">
        <v>3.0154640000000001</v>
      </c>
      <c r="C8947">
        <f>LOG10(1.003927)</f>
        <v>1.7021344725441751E-3</v>
      </c>
      <c r="D8947">
        <f>LOG10(3.015464)</f>
        <v>0.47935414803009396</v>
      </c>
    </row>
    <row r="8948" spans="1:4">
      <c r="A8948">
        <v>1.0002500000000001</v>
      </c>
      <c r="B8948">
        <v>3.1908729999999998</v>
      </c>
      <c r="C8948">
        <f>LOG10(1.00025)</f>
        <v>1.0856005103481612E-4</v>
      </c>
      <c r="D8948">
        <f>LOG10(3.190873)</f>
        <v>0.50390951917414106</v>
      </c>
    </row>
    <row r="8949" spans="1:4">
      <c r="A8949">
        <v>1.00342</v>
      </c>
      <c r="B8949">
        <v>3.0877300000000001</v>
      </c>
      <c r="C8949">
        <f>LOG10(1.00342)</f>
        <v>1.4827530631445261E-3</v>
      </c>
      <c r="D8949">
        <f>LOG10(3.08773)</f>
        <v>0.48963931736424293</v>
      </c>
    </row>
    <row r="8950" spans="1:4">
      <c r="A8950">
        <v>1.0078290000000001</v>
      </c>
      <c r="B8950">
        <v>3.1545540000000001</v>
      </c>
      <c r="C8950">
        <f>LOG10(1.007829)</f>
        <v>3.3868509028331505E-3</v>
      </c>
      <c r="D8950">
        <f>LOG10(3.154554)</f>
        <v>0.49893796610602059</v>
      </c>
    </row>
    <row r="8951" spans="1:4">
      <c r="A8951">
        <v>1.0025329999999999</v>
      </c>
      <c r="B8951">
        <v>2.956696</v>
      </c>
      <c r="C8951">
        <f>LOG10(1.002533)</f>
        <v>1.0986770348875494E-3</v>
      </c>
      <c r="D8951">
        <f>LOG10(2.956696)</f>
        <v>0.47080667376198809</v>
      </c>
    </row>
    <row r="8952" spans="1:4">
      <c r="A8952">
        <v>1.006856</v>
      </c>
      <c r="B8952">
        <v>3.0180769999999999</v>
      </c>
      <c r="C8952">
        <f>LOG10(1.006856)</f>
        <v>2.9673624331757668E-3</v>
      </c>
      <c r="D8952">
        <f>LOG10(3.018077)</f>
        <v>0.47973031570746966</v>
      </c>
    </row>
    <row r="8953" spans="1:4">
      <c r="A8953">
        <v>1.0068630000000001</v>
      </c>
      <c r="B8953">
        <v>2.9201860000000002</v>
      </c>
      <c r="C8953">
        <f>LOG10(1.006863)</f>
        <v>2.9703817833168483E-3</v>
      </c>
      <c r="D8953">
        <f>LOG10(2.920186)</f>
        <v>0.46541051453095073</v>
      </c>
    </row>
    <row r="8954" spans="1:4">
      <c r="A8954">
        <v>1.0048170000000001</v>
      </c>
      <c r="B8954">
        <v>3.0158659999999999</v>
      </c>
      <c r="C8954">
        <f>LOG10(1.004817)</f>
        <v>2.086974068018724E-3</v>
      </c>
      <c r="D8954">
        <f>LOG10(3.015866)</f>
        <v>0.47941204119196157</v>
      </c>
    </row>
    <row r="8955" spans="1:4">
      <c r="A8955">
        <v>1.003228</v>
      </c>
      <c r="B8955">
        <v>2.9719370000000001</v>
      </c>
      <c r="C8955">
        <f>LOG10(1.003228)</f>
        <v>1.3996447743167156E-3</v>
      </c>
      <c r="D8955">
        <f>LOG10(2.971937)</f>
        <v>0.47303959888316877</v>
      </c>
    </row>
    <row r="8956" spans="1:4">
      <c r="A8956">
        <v>1.012775</v>
      </c>
      <c r="B8956">
        <v>2.9611149999999999</v>
      </c>
      <c r="C8956">
        <f>LOG10(1.012775)</f>
        <v>5.5129723967676427E-3</v>
      </c>
      <c r="D8956">
        <f>LOG10(2.961115)</f>
        <v>0.47145527429087913</v>
      </c>
    </row>
    <row r="8957" spans="1:4">
      <c r="A8957">
        <v>1.0056160000000001</v>
      </c>
      <c r="B8957">
        <v>3.0244260000000001</v>
      </c>
      <c r="C8957">
        <f>LOG10(1.005616)</f>
        <v>2.4321746385526275E-3</v>
      </c>
      <c r="D8957">
        <f>LOG10(3.024426)</f>
        <v>0.48064296289368447</v>
      </c>
    </row>
    <row r="8958" spans="1:4">
      <c r="A8958">
        <v>1.0104280000000001</v>
      </c>
      <c r="B8958">
        <v>3.0301770000000001</v>
      </c>
      <c r="C8958">
        <f>LOG10(1.010428)</f>
        <v>4.5053724611750822E-3</v>
      </c>
      <c r="D8958">
        <f>LOG10(3.030177)</f>
        <v>0.4814679974389941</v>
      </c>
    </row>
    <row r="8959" spans="1:4">
      <c r="A8959">
        <v>1.0003519999999999</v>
      </c>
      <c r="B8959">
        <v>3.2159399999999998</v>
      </c>
      <c r="C8959">
        <f>LOG10(1.000352)</f>
        <v>1.5284475853029873E-4</v>
      </c>
      <c r="D8959">
        <f>LOG10(3.21594)</f>
        <v>0.50730793749183889</v>
      </c>
    </row>
    <row r="8960" spans="1:4">
      <c r="A8960">
        <v>1.010502</v>
      </c>
      <c r="B8960">
        <v>3.0070139999999999</v>
      </c>
      <c r="C8960">
        <f>LOG10(1.010502)</f>
        <v>4.5371774140187376E-3</v>
      </c>
      <c r="D8960">
        <f>LOG10(3.007014)</f>
        <v>0.47813545008541702</v>
      </c>
    </row>
    <row r="8961" spans="1:4">
      <c r="A8961">
        <v>1.0114050000000001</v>
      </c>
      <c r="B8961">
        <v>3.0076399999999999</v>
      </c>
      <c r="C8961">
        <f>LOG10(1.011405)</f>
        <v>4.9250962878665053E-3</v>
      </c>
      <c r="D8961">
        <f>LOG10(3.00764)</f>
        <v>0.47822585207584012</v>
      </c>
    </row>
    <row r="8962" spans="1:4">
      <c r="A8962">
        <v>1.0082519999999999</v>
      </c>
      <c r="B8962">
        <v>3.0938599999999998</v>
      </c>
      <c r="C8962">
        <f>LOG10(1.008252)</f>
        <v>3.5690921605412342E-3</v>
      </c>
      <c r="D8962">
        <f>LOG10(3.09386)</f>
        <v>0.49050065758471217</v>
      </c>
    </row>
    <row r="8963" spans="1:4">
      <c r="A8963">
        <v>1.0004459999999999</v>
      </c>
      <c r="B8963">
        <v>3.195621</v>
      </c>
      <c r="C8963">
        <f>LOG10(1.000446)</f>
        <v>1.9365215770698549E-4</v>
      </c>
      <c r="D8963">
        <f>LOG10(3.195621)</f>
        <v>0.50455526645895099</v>
      </c>
    </row>
    <row r="8964" spans="1:4">
      <c r="A8964">
        <v>1.0071779999999999</v>
      </c>
      <c r="B8964">
        <v>3.132679</v>
      </c>
      <c r="C8964">
        <f>LOG10(1.007178)</f>
        <v>3.1062308180831977E-3</v>
      </c>
      <c r="D8964">
        <f>LOG10(3.132679)</f>
        <v>0.49591589578469975</v>
      </c>
    </row>
    <row r="8965" spans="1:4">
      <c r="A8965">
        <v>1.0073030000000001</v>
      </c>
      <c r="B8965">
        <v>3.0153810000000001</v>
      </c>
      <c r="C8965">
        <f>LOG10(1.007303)</f>
        <v>3.1601273902599979E-3</v>
      </c>
      <c r="D8965">
        <f>LOG10(3.015381)</f>
        <v>0.4793421940030877</v>
      </c>
    </row>
    <row r="8966" spans="1:4">
      <c r="A8966">
        <v>1.003242</v>
      </c>
      <c r="B8966">
        <v>3.170137</v>
      </c>
      <c r="C8966">
        <f>LOG10(1.003242)</f>
        <v>1.4057052912910299E-3</v>
      </c>
      <c r="D8966">
        <f>LOG10(3.170137)</f>
        <v>0.50107803100588022</v>
      </c>
    </row>
    <row r="8967" spans="1:4">
      <c r="A8967">
        <v>1.002931</v>
      </c>
      <c r="B8967">
        <v>3.0525099999999998</v>
      </c>
      <c r="C8967">
        <f>LOG10(1.002931)</f>
        <v>1.2710553035244312E-3</v>
      </c>
      <c r="D8967">
        <f>LOG10(3.05251)</f>
        <v>0.48465709536473506</v>
      </c>
    </row>
    <row r="8968" spans="1:4">
      <c r="A8968">
        <v>1.0026619999999999</v>
      </c>
      <c r="B8968">
        <v>3.0162230000000001</v>
      </c>
      <c r="C8968">
        <f>LOG10(1.002662)</f>
        <v>1.1545558778358199E-3</v>
      </c>
      <c r="D8968">
        <f>LOG10(3.016223)</f>
        <v>0.47946344730689805</v>
      </c>
    </row>
    <row r="8969" spans="1:4">
      <c r="A8969">
        <v>1.009174</v>
      </c>
      <c r="B8969">
        <v>3.22193</v>
      </c>
      <c r="C8969">
        <f>LOG10(1.009174)</f>
        <v>3.9660529811044419E-3</v>
      </c>
      <c r="D8969">
        <f>LOG10(3.22193)</f>
        <v>0.50811610065676405</v>
      </c>
    </row>
    <row r="8970" spans="1:4">
      <c r="A8970">
        <v>1.0008870000000001</v>
      </c>
      <c r="B8970">
        <v>3.0485850000000001</v>
      </c>
      <c r="C8970">
        <f>LOG10(1.000887)</f>
        <v>3.8504846168962011E-4</v>
      </c>
      <c r="D8970">
        <f>LOG10(3.048585)</f>
        <v>0.48409830843332952</v>
      </c>
    </row>
    <row r="8971" spans="1:4">
      <c r="A8971">
        <v>1.0063949999999999</v>
      </c>
      <c r="B8971">
        <v>3.12513</v>
      </c>
      <c r="C8971">
        <f>LOG10(1.006395)</f>
        <v>2.7684704324698155E-3</v>
      </c>
      <c r="D8971">
        <f>LOG10(3.12513)</f>
        <v>0.49486808795476528</v>
      </c>
    </row>
    <row r="8972" spans="1:4">
      <c r="A8972">
        <v>1.0073749999999999</v>
      </c>
      <c r="B8972">
        <v>3.279217</v>
      </c>
      <c r="C8972">
        <f>LOG10(1.007375)</f>
        <v>3.1911687802094399E-3</v>
      </c>
      <c r="D8972">
        <f>LOG10(3.279217)</f>
        <v>0.51577015676826943</v>
      </c>
    </row>
    <row r="8973" spans="1:4">
      <c r="A8973">
        <v>1.0093829999999999</v>
      </c>
      <c r="B8973">
        <v>3.2834310000000002</v>
      </c>
      <c r="C8973">
        <f>LOG10(1.009383)</f>
        <v>4.0559860838526845E-3</v>
      </c>
      <c r="D8973">
        <f>LOG10(3.283431)</f>
        <v>0.51632789419324465</v>
      </c>
    </row>
    <row r="8974" spans="1:4">
      <c r="A8974">
        <v>1.005927</v>
      </c>
      <c r="B8974">
        <v>3.1130369999999998</v>
      </c>
      <c r="C8974">
        <f>LOG10(1.005927)</f>
        <v>2.566465165723134E-3</v>
      </c>
      <c r="D8974">
        <f>LOG10(3.113037)</f>
        <v>0.49318428252007923</v>
      </c>
    </row>
    <row r="8975" spans="1:4">
      <c r="A8975">
        <v>1.009719</v>
      </c>
      <c r="B8975">
        <v>3.3171759999999999</v>
      </c>
      <c r="C8975">
        <f>LOG10(1.009719)</f>
        <v>4.2005285064410751E-3</v>
      </c>
      <c r="D8975">
        <f>LOG10(3.317176)</f>
        <v>0.5207685145707468</v>
      </c>
    </row>
    <row r="8976" spans="1:4">
      <c r="A8976">
        <v>1.0107269999999999</v>
      </c>
      <c r="B8976">
        <v>3.1630069999999999</v>
      </c>
      <c r="C8976">
        <f>LOG10(1.010727)</f>
        <v>4.6338673574460509E-3</v>
      </c>
      <c r="D8976">
        <f>LOG10(3.163007)</f>
        <v>0.50010015304693034</v>
      </c>
    </row>
    <row r="8977" spans="1:4">
      <c r="A8977">
        <v>1.0058959999999999</v>
      </c>
      <c r="B8977">
        <v>3.3982700000000001</v>
      </c>
      <c r="C8977">
        <f>LOG10(1.005896)</f>
        <v>2.5530811563544012E-3</v>
      </c>
      <c r="D8977">
        <f>LOG10(3.39827)</f>
        <v>0.53125788155236997</v>
      </c>
    </row>
    <row r="8978" spans="1:4">
      <c r="A8978">
        <v>1.010143</v>
      </c>
      <c r="B8978">
        <v>3.3168380000000002</v>
      </c>
      <c r="C8978">
        <f>LOG10(1.010143)</f>
        <v>4.3828586488286825E-3</v>
      </c>
      <c r="D8978">
        <f>LOG10(3.316838)</f>
        <v>0.52072426035753283</v>
      </c>
    </row>
    <row r="8979" spans="1:4">
      <c r="A8979">
        <v>1.004359</v>
      </c>
      <c r="B8979">
        <v>3.4316559999999998</v>
      </c>
      <c r="C8979">
        <f>LOG10(1.004359)</f>
        <v>1.8889756087926617E-3</v>
      </c>
      <c r="D8979">
        <f>LOG10(3.431656)</f>
        <v>0.53550374631257913</v>
      </c>
    </row>
    <row r="8980" spans="1:4">
      <c r="A8980">
        <v>1.01326</v>
      </c>
      <c r="B8980">
        <v>3.2765279999999999</v>
      </c>
      <c r="C8980">
        <f>LOG10(1.01326)</f>
        <v>5.7208985458682433E-3</v>
      </c>
      <c r="D8980">
        <f>LOG10(3.276528)</f>
        <v>0.51541388362850249</v>
      </c>
    </row>
    <row r="8981" spans="1:4">
      <c r="A8981">
        <v>1.0011890000000001</v>
      </c>
      <c r="B8981">
        <v>3.472391</v>
      </c>
      <c r="C8981">
        <f>LOG10(1.001189)</f>
        <v>5.1606939648886135E-4</v>
      </c>
      <c r="D8981">
        <f>LOG10(3.472391)</f>
        <v>0.54062862191390015</v>
      </c>
    </row>
    <row r="8982" spans="1:4">
      <c r="A8982">
        <v>1.014035</v>
      </c>
      <c r="B8982">
        <v>3.290734</v>
      </c>
      <c r="C8982">
        <f>LOG10(1.014035)</f>
        <v>6.0529451793092286E-3</v>
      </c>
      <c r="D8982">
        <f>LOG10(3.290734)</f>
        <v>0.51729277837426701</v>
      </c>
    </row>
    <row r="8983" spans="1:4">
      <c r="A8983">
        <v>1.0061599999999999</v>
      </c>
      <c r="B8983">
        <v>3.3411460000000002</v>
      </c>
      <c r="C8983">
        <f>LOG10(1.00616)</f>
        <v>2.667047908651981E-3</v>
      </c>
      <c r="D8983">
        <f>LOG10(3.341146)</f>
        <v>0.52389545367134638</v>
      </c>
    </row>
    <row r="8984" spans="1:4">
      <c r="A8984">
        <v>1.0144740000000001</v>
      </c>
      <c r="B8984">
        <v>3.4191569999999998</v>
      </c>
      <c r="C8984">
        <f>LOG10(1.014474)</f>
        <v>6.2409209590884064E-3</v>
      </c>
      <c r="D8984">
        <f>LOG10(3.419157)</f>
        <v>0.5339190430803622</v>
      </c>
    </row>
    <row r="8985" spans="1:4">
      <c r="A8985">
        <v>1.0008969999999999</v>
      </c>
      <c r="B8985">
        <v>3.2522090000000001</v>
      </c>
      <c r="C8985">
        <f>LOG10(1.000897)</f>
        <v>3.8938753605428748E-4</v>
      </c>
      <c r="D8985">
        <f>LOG10(3.252209)</f>
        <v>0.51217844732489404</v>
      </c>
    </row>
    <row r="8986" spans="1:4">
      <c r="A8986">
        <v>1.0093049999999999</v>
      </c>
      <c r="B8986">
        <v>3.2972549999999998</v>
      </c>
      <c r="C8986">
        <f>LOG10(1.009305)</f>
        <v>4.0224247117086765E-3</v>
      </c>
      <c r="D8986">
        <f>LOG10(3.297255)</f>
        <v>0.51815253549936324</v>
      </c>
    </row>
    <row r="8987" spans="1:4">
      <c r="A8987">
        <v>1.0070950000000001</v>
      </c>
      <c r="B8987">
        <v>3.4523079999999999</v>
      </c>
      <c r="C8987">
        <f>LOG10(1.007095)</f>
        <v>3.0704397986749061E-3</v>
      </c>
      <c r="D8987">
        <f>LOG10(3.452308)</f>
        <v>0.53810953464843958</v>
      </c>
    </row>
    <row r="8988" spans="1:4">
      <c r="A8988">
        <v>1.0206299999999999</v>
      </c>
      <c r="B8988">
        <v>3.4281839999999999</v>
      </c>
      <c r="C8988">
        <f>LOG10(1.02063)</f>
        <v>8.8683296663801502E-3</v>
      </c>
      <c r="D8988">
        <f>LOG10(3.428184)</f>
        <v>0.5350641236479321</v>
      </c>
    </row>
    <row r="8989" spans="1:4">
      <c r="A8989">
        <v>1.0066310000000001</v>
      </c>
      <c r="B8989">
        <v>3.254378</v>
      </c>
      <c r="C8989">
        <f>LOG10(1.006631)</f>
        <v>2.8703007100705931E-3</v>
      </c>
      <c r="D8989">
        <f>LOG10(3.254378)</f>
        <v>0.51246799536786669</v>
      </c>
    </row>
    <row r="8990" spans="1:4">
      <c r="A8990">
        <v>1.0093019999999999</v>
      </c>
      <c r="B8990">
        <v>3.2520150000000001</v>
      </c>
      <c r="C8990">
        <f>LOG10(1.009302)</f>
        <v>4.0211338379073872E-3</v>
      </c>
      <c r="D8990">
        <f>LOG10(3.252015)</f>
        <v>0.51215254012074052</v>
      </c>
    </row>
    <row r="8991" spans="1:4">
      <c r="A8991">
        <v>1.0128600000000001</v>
      </c>
      <c r="B8991">
        <v>3.4256060000000002</v>
      </c>
      <c r="C8991">
        <f>LOG10(1.01286)</f>
        <v>5.5494202572987771E-3</v>
      </c>
      <c r="D8991">
        <f>LOG10(3.425606)</f>
        <v>0.53473741062429159</v>
      </c>
    </row>
    <row r="8992" spans="1:4">
      <c r="A8992">
        <v>1.012505</v>
      </c>
      <c r="B8992">
        <v>3.3708800000000001</v>
      </c>
      <c r="C8992">
        <f>LOG10(1.012505)</f>
        <v>5.3971765455188732E-3</v>
      </c>
      <c r="D8992">
        <f>LOG10(3.37088)</f>
        <v>0.52774329234136808</v>
      </c>
    </row>
    <row r="8993" spans="1:4">
      <c r="A8993">
        <v>1.002427</v>
      </c>
      <c r="B8993">
        <v>3.5320200000000002</v>
      </c>
      <c r="C8993">
        <f>LOG10(1.002427)</f>
        <v>1.0527557046618994E-3</v>
      </c>
      <c r="D8993">
        <f>LOG10(3.53202)</f>
        <v>0.54802315409722013</v>
      </c>
    </row>
    <row r="8994" spans="1:4">
      <c r="A8994">
        <v>1.014812</v>
      </c>
      <c r="B8994">
        <v>3.260548</v>
      </c>
      <c r="C8994">
        <f>LOG10(1.014812)</f>
        <v>6.3855940472984825E-3</v>
      </c>
      <c r="D8994">
        <f>LOG10(3.260548)</f>
        <v>0.5132905980357918</v>
      </c>
    </row>
    <row r="8995" spans="1:4">
      <c r="A8995">
        <v>1.010256</v>
      </c>
      <c r="B8995">
        <v>3.1876980000000001</v>
      </c>
      <c r="C8995">
        <f>LOG10(1.010256)</f>
        <v>4.4314384357977427E-3</v>
      </c>
      <c r="D8995">
        <f>LOG10(3.187698)</f>
        <v>0.50347716995550795</v>
      </c>
    </row>
    <row r="8996" spans="1:4">
      <c r="A8996">
        <v>1</v>
      </c>
      <c r="B8996">
        <v>3.303626</v>
      </c>
      <c r="C8996">
        <f>LOG10(1)</f>
        <v>0</v>
      </c>
      <c r="D8996">
        <f>LOG10(3.303626)</f>
        <v>0.51899087541289357</v>
      </c>
    </row>
    <row r="8997" spans="1:4">
      <c r="A8997">
        <v>1.00508</v>
      </c>
      <c r="B8997">
        <v>3.392722</v>
      </c>
      <c r="C8997">
        <f>LOG10(1.00508)</f>
        <v>2.2006310856593448E-3</v>
      </c>
      <c r="D8997">
        <f>LOG10(3.392722)</f>
        <v>0.53054827496716106</v>
      </c>
    </row>
    <row r="8998" spans="1:4">
      <c r="A8998">
        <v>1.020993</v>
      </c>
      <c r="B8998">
        <v>3.5133239999999999</v>
      </c>
      <c r="C8998">
        <f>LOG10(1.020993)</f>
        <v>9.0227645435265839E-3</v>
      </c>
      <c r="D8998">
        <f>LOG10(3.513324)</f>
        <v>0.54571820243185154</v>
      </c>
    </row>
    <row r="8999" spans="1:4">
      <c r="A8999">
        <v>1.0065489999999999</v>
      </c>
      <c r="B8999">
        <v>3.556584</v>
      </c>
      <c r="C8999">
        <f>LOG10(1.006549)</f>
        <v>2.8349217101442869E-3</v>
      </c>
      <c r="D8999">
        <f>LOG10(3.556584)</f>
        <v>0.55103307039522809</v>
      </c>
    </row>
    <row r="9000" spans="1:4">
      <c r="A9000">
        <v>1.002127</v>
      </c>
      <c r="B9000">
        <v>3.2542249999999999</v>
      </c>
      <c r="C9000">
        <f>LOG10(1.002127)</f>
        <v>9.2276335170589125E-4</v>
      </c>
      <c r="D9000">
        <f>LOG10(3.254225)</f>
        <v>0.51244757714424993</v>
      </c>
    </row>
    <row r="9001" spans="1:4">
      <c r="A9001">
        <v>1.003754</v>
      </c>
      <c r="B9001">
        <v>3.9484720000000002</v>
      </c>
      <c r="C9001">
        <f>LOG10(1.003754)</f>
        <v>1.6272889711371188E-3</v>
      </c>
      <c r="D9001">
        <f>LOG10(3.948472)</f>
        <v>0.59642906262548823</v>
      </c>
    </row>
    <row r="9002" spans="1:4">
      <c r="A9002">
        <v>1.00867</v>
      </c>
      <c r="B9002">
        <v>4.4904070000000003</v>
      </c>
      <c r="C9002">
        <f>LOG10(1.00867)</f>
        <v>3.7491041749221736E-3</v>
      </c>
      <c r="D9002">
        <f>LOG10(4.490407)</f>
        <v>0.65228570622457782</v>
      </c>
    </row>
    <row r="9003" spans="1:4">
      <c r="A9003">
        <v>1.0028159999999999</v>
      </c>
      <c r="B9003">
        <v>4.087993</v>
      </c>
      <c r="C9003">
        <f>LOG10(1.002816)</f>
        <v>1.2212545405432184E-3</v>
      </c>
      <c r="D9003">
        <f>LOG10(4.087993)</f>
        <v>0.6115101434710849</v>
      </c>
    </row>
    <row r="9004" spans="1:4">
      <c r="A9004">
        <v>1.002408</v>
      </c>
      <c r="B9004">
        <v>4.0521260000000003</v>
      </c>
      <c r="C9004">
        <f>LOG10(1.002408)</f>
        <v>1.0445240096282381E-3</v>
      </c>
      <c r="D9004">
        <f>LOG10(4.052126)</f>
        <v>0.60768294119316402</v>
      </c>
    </row>
    <row r="9005" spans="1:4">
      <c r="A9005">
        <v>1.004461</v>
      </c>
      <c r="B9005">
        <v>4.5764300000000002</v>
      </c>
      <c r="C9005">
        <f>LOG10(1.004461)</f>
        <v>1.9330791493709332E-3</v>
      </c>
      <c r="D9005">
        <f>LOG10(4.57643)</f>
        <v>0.66052682388234862</v>
      </c>
    </row>
    <row r="9006" spans="1:4">
      <c r="A9006">
        <v>1.0068520000000001</v>
      </c>
      <c r="B9006">
        <v>3.6863790000000001</v>
      </c>
      <c r="C9006">
        <f>LOG10(1.006852)</f>
        <v>2.9656370808132902E-3</v>
      </c>
      <c r="D9006">
        <f>LOG10(3.686379)</f>
        <v>0.56659998339177342</v>
      </c>
    </row>
    <row r="9007" spans="1:4">
      <c r="A9007">
        <v>1.0193639999999999</v>
      </c>
      <c r="B9007">
        <v>3.460197</v>
      </c>
      <c r="C9007">
        <f>LOG10(1.019364)</f>
        <v>8.3292919195303572E-3</v>
      </c>
      <c r="D9007">
        <f>LOG10(3.460197)</f>
        <v>0.53910082526023351</v>
      </c>
    </row>
    <row r="9008" spans="1:4">
      <c r="A9008">
        <v>1.001247</v>
      </c>
      <c r="B9008">
        <v>3.885284</v>
      </c>
      <c r="C9008">
        <f>LOG10(1.001247)</f>
        <v>5.4122783347000398E-4</v>
      </c>
      <c r="D9008">
        <f>LOG10(3.885284)</f>
        <v>0.58942276962983231</v>
      </c>
    </row>
    <row r="9009" spans="1:4">
      <c r="A9009">
        <v>1.0102640000000001</v>
      </c>
      <c r="B9009">
        <v>3.8102610000000001</v>
      </c>
      <c r="C9009">
        <f>LOG10(1.010264)</f>
        <v>4.4348775067846648E-3</v>
      </c>
      <c r="D9009">
        <f>LOG10(3.810261)</f>
        <v>0.58095472553847072</v>
      </c>
    </row>
    <row r="9010" spans="1:4">
      <c r="A9010">
        <v>1.0058549999999999</v>
      </c>
      <c r="B9010">
        <v>4.0302499999999997</v>
      </c>
      <c r="C9010">
        <f>LOG10(1.005855)</f>
        <v>2.5353790910784498E-3</v>
      </c>
      <c r="D9010">
        <f>LOG10(4.03025)</f>
        <v>0.60533198665052557</v>
      </c>
    </row>
    <row r="9011" spans="1:4">
      <c r="A9011">
        <v>1.0034130000000001</v>
      </c>
      <c r="B9011">
        <v>4.2304729999999999</v>
      </c>
      <c r="C9011">
        <f>LOG10(1.003413)</f>
        <v>1.4797233527767198E-3</v>
      </c>
      <c r="D9011">
        <f>LOG10(4.230473)</f>
        <v>0.62638892761278653</v>
      </c>
    </row>
    <row r="9012" spans="1:4">
      <c r="A9012">
        <v>1.0037149999999999</v>
      </c>
      <c r="B9012">
        <v>3.3355220000000001</v>
      </c>
      <c r="C9012">
        <f>LOG10(1.003715)</f>
        <v>1.6104145040380894E-3</v>
      </c>
      <c r="D9012">
        <f>LOG10(3.335522)</f>
        <v>0.52316380946082297</v>
      </c>
    </row>
    <row r="9013" spans="1:4">
      <c r="A9013">
        <v>1.0094620000000001</v>
      </c>
      <c r="B9013">
        <v>3.6156890000000002</v>
      </c>
      <c r="C9013">
        <f>LOG10(1.009462)</f>
        <v>4.0899750865625905E-3</v>
      </c>
      <c r="D9013">
        <f>LOG10(3.615689)</f>
        <v>0.55819106798903551</v>
      </c>
    </row>
    <row r="9014" spans="1:4">
      <c r="A9014">
        <v>1.006982</v>
      </c>
      <c r="B9014">
        <v>3.7996159999999999</v>
      </c>
      <c r="C9014">
        <f>LOG10(1.006982)</f>
        <v>3.02170752428165E-3</v>
      </c>
      <c r="D9014">
        <f>LOG10(3.799616)</f>
        <v>0.57973970779895601</v>
      </c>
    </row>
    <row r="9015" spans="1:4">
      <c r="A9015">
        <v>1.011155</v>
      </c>
      <c r="B9015">
        <v>3.6840109999999999</v>
      </c>
      <c r="C9015">
        <f>LOG10(1.011155)</f>
        <v>4.8177337166411356E-3</v>
      </c>
      <c r="D9015">
        <f>LOG10(3.684011)</f>
        <v>0.56632091827621434</v>
      </c>
    </row>
    <row r="9016" spans="1:4">
      <c r="A9016">
        <v>1.010068</v>
      </c>
      <c r="B9016">
        <v>3.9661119999999999</v>
      </c>
      <c r="C9016">
        <f>LOG10(1.010068)</f>
        <v>4.3506124268669873E-3</v>
      </c>
      <c r="D9016">
        <f>LOG10(3.966112)</f>
        <v>0.59836497418980183</v>
      </c>
    </row>
    <row r="9017" spans="1:4">
      <c r="A9017">
        <v>1.0112920000000001</v>
      </c>
      <c r="B9017">
        <v>3.7477269999999998</v>
      </c>
      <c r="C9017">
        <f>LOG10(1.011292)</f>
        <v>4.8765716927282963E-3</v>
      </c>
      <c r="D9017">
        <f>LOG10(3.747727)</f>
        <v>0.57376794755412286</v>
      </c>
    </row>
    <row r="9018" spans="1:4">
      <c r="A9018">
        <v>1.018751</v>
      </c>
      <c r="B9018">
        <v>3.94354</v>
      </c>
      <c r="C9018">
        <f>LOG10(1.018751)</f>
        <v>8.068048049155712E-3</v>
      </c>
      <c r="D9018">
        <f>LOG10(3.94354)</f>
        <v>0.59588625030751707</v>
      </c>
    </row>
    <row r="9019" spans="1:4">
      <c r="A9019">
        <v>1.00366</v>
      </c>
      <c r="B9019">
        <v>3.8641990000000002</v>
      </c>
      <c r="C9019">
        <f>LOG10(1.00366)</f>
        <v>1.5866160642740994E-3</v>
      </c>
      <c r="D9019">
        <f>LOG10(3.864199)</f>
        <v>0.58705948378292183</v>
      </c>
    </row>
    <row r="9020" spans="1:4">
      <c r="A9020">
        <v>1.006262</v>
      </c>
      <c r="B9020">
        <v>3.7332670000000001</v>
      </c>
      <c r="C9020">
        <f>LOG10(1.006262)</f>
        <v>2.7110725090509886E-3</v>
      </c>
      <c r="D9020">
        <f>LOG10(3.733267)</f>
        <v>0.57208905139965327</v>
      </c>
    </row>
    <row r="9021" spans="1:4">
      <c r="A9021">
        <v>1.0081340000000001</v>
      </c>
      <c r="B9021">
        <v>3.7376809999999998</v>
      </c>
      <c r="C9021">
        <f>LOG10(1.008134)</f>
        <v>3.5182618642358491E-3</v>
      </c>
      <c r="D9021">
        <f>LOG10(3.737681)</f>
        <v>0.57260223287707068</v>
      </c>
    </row>
    <row r="9022" spans="1:4">
      <c r="A9022">
        <v>1.0100499999999999</v>
      </c>
      <c r="B9022">
        <v>4.1611599999999997</v>
      </c>
      <c r="C9022">
        <f>LOG10(1.01005)</f>
        <v>4.3428729773155282E-3</v>
      </c>
      <c r="D9022">
        <f>LOG10(4.16116)</f>
        <v>0.6192144150914739</v>
      </c>
    </row>
    <row r="9023" spans="1:4">
      <c r="A9023">
        <v>1.006068</v>
      </c>
      <c r="B9023">
        <v>3.7273459999999998</v>
      </c>
      <c r="C9023">
        <f>LOG10(1.006068)</f>
        <v>2.6273356172387503E-3</v>
      </c>
      <c r="D9023">
        <f>LOG10(3.727346)</f>
        <v>0.57139970907155457</v>
      </c>
    </row>
    <row r="9024" spans="1:4">
      <c r="A9024">
        <v>1.007457</v>
      </c>
      <c r="B9024">
        <v>3.5651679999999999</v>
      </c>
      <c r="C9024">
        <f>LOG10(1.007457)</f>
        <v>3.2265187722045922E-3</v>
      </c>
      <c r="D9024">
        <f>LOG10(3.565168)</f>
        <v>0.55207999975699107</v>
      </c>
    </row>
    <row r="9025" spans="1:4">
      <c r="A9025">
        <v>1.0110779999999999</v>
      </c>
      <c r="B9025">
        <v>3.9768690000000002</v>
      </c>
      <c r="C9025">
        <f>LOG10(1.011078)</f>
        <v>4.7846606977330697E-3</v>
      </c>
      <c r="D9025">
        <f>LOG10(3.976869)</f>
        <v>0.59954128535003526</v>
      </c>
    </row>
    <row r="9026" spans="1:4">
      <c r="A9026">
        <v>1.009584</v>
      </c>
      <c r="B9026">
        <v>3.9633090000000002</v>
      </c>
      <c r="C9026">
        <f>LOG10(1.009584)</f>
        <v>4.1424592071390024E-3</v>
      </c>
      <c r="D9026">
        <f>LOG10(3.963309)</f>
        <v>0.59805793349074465</v>
      </c>
    </row>
    <row r="9027" spans="1:4">
      <c r="A9027">
        <v>1.0066889999999999</v>
      </c>
      <c r="B9027">
        <v>3.668285</v>
      </c>
      <c r="C9027">
        <f>LOG10(1.006689)</f>
        <v>2.8953231406403089E-3</v>
      </c>
      <c r="D9027">
        <f>LOG10(3.668285)</f>
        <v>0.56446306994210427</v>
      </c>
    </row>
    <row r="9028" spans="1:4">
      <c r="A9028">
        <v>1.010302</v>
      </c>
      <c r="B9028">
        <v>3.589302</v>
      </c>
      <c r="C9028">
        <f>LOG10(1.010302)</f>
        <v>4.4512127220800437E-3</v>
      </c>
      <c r="D9028">
        <f>LOG10(3.589302)</f>
        <v>0.55501000094000452</v>
      </c>
    </row>
    <row r="9029" spans="1:4">
      <c r="A9029">
        <v>1.0059709999999999</v>
      </c>
      <c r="B9029">
        <v>3.8807700000000001</v>
      </c>
      <c r="C9029">
        <f>LOG10(1.005971)</f>
        <v>2.5854611160215694E-3</v>
      </c>
      <c r="D9029">
        <f>LOG10(3.88077)</f>
        <v>0.58891790435022318</v>
      </c>
    </row>
    <row r="9030" spans="1:4">
      <c r="A9030">
        <v>1.010535</v>
      </c>
      <c r="B9030">
        <v>3.4761069999999998</v>
      </c>
      <c r="C9030">
        <f>LOG10(1.010535)</f>
        <v>4.5513599528877033E-3</v>
      </c>
      <c r="D9030">
        <f>LOG10(3.476107)</f>
        <v>0.54109313624450983</v>
      </c>
    </row>
    <row r="9031" spans="1:4">
      <c r="A9031">
        <v>1.0128299999999999</v>
      </c>
      <c r="B9031">
        <v>3.409065</v>
      </c>
      <c r="C9031">
        <f>LOG10(1.01283)</f>
        <v>5.5365566558018692E-3</v>
      </c>
      <c r="D9031">
        <f>LOG10(3.409065)</f>
        <v>0.53263528191888887</v>
      </c>
    </row>
    <row r="9032" spans="1:4">
      <c r="A9032">
        <v>1.013482</v>
      </c>
      <c r="B9032">
        <v>3.2462629999999999</v>
      </c>
      <c r="C9032">
        <f>LOG10(1.013482)</f>
        <v>5.8160397876919068E-3</v>
      </c>
      <c r="D9032">
        <f>LOG10(3.246263)</f>
        <v>0.51138370181855586</v>
      </c>
    </row>
    <row r="9033" spans="1:4">
      <c r="A9033">
        <v>1.0043010000000001</v>
      </c>
      <c r="B9033">
        <v>3.7064710000000001</v>
      </c>
      <c r="C9033">
        <f>LOG10(1.004301)</f>
        <v>1.8638951273200958E-3</v>
      </c>
      <c r="D9033">
        <f>LOG10(3.706471)</f>
        <v>0.56896060648413438</v>
      </c>
    </row>
    <row r="9034" spans="1:4">
      <c r="A9034">
        <v>1.005547</v>
      </c>
      <c r="B9034">
        <v>3.547596</v>
      </c>
      <c r="C9034">
        <f>LOG10(1.005547)</f>
        <v>2.4023746479371237E-3</v>
      </c>
      <c r="D9034">
        <f>LOG10(3.547596)</f>
        <v>0.54993415654844024</v>
      </c>
    </row>
    <row r="9035" spans="1:4">
      <c r="A9035">
        <v>1.004532</v>
      </c>
      <c r="B9035">
        <v>3.572749</v>
      </c>
      <c r="C9035">
        <f>LOG10(1.004532)</f>
        <v>1.9637760290792637E-3</v>
      </c>
      <c r="D9035">
        <f>LOG10(3.572749)</f>
        <v>0.55300250633846271</v>
      </c>
    </row>
    <row r="9036" spans="1:4">
      <c r="A9036">
        <v>1.010348</v>
      </c>
      <c r="B9036">
        <v>3.6270950000000002</v>
      </c>
      <c r="C9036">
        <f>LOG10(1.010348)</f>
        <v>4.4709861080409934E-3</v>
      </c>
      <c r="D9036">
        <f>LOG10(3.627095)</f>
        <v>0.55955893066603313</v>
      </c>
    </row>
    <row r="9037" spans="1:4">
      <c r="A9037">
        <v>1.0049950000000001</v>
      </c>
      <c r="B9037">
        <v>3.3683930000000002</v>
      </c>
      <c r="C9037">
        <f>LOG10(1.004995)</f>
        <v>2.1639010820687001E-3</v>
      </c>
      <c r="D9037">
        <f>LOG10(3.368393)</f>
        <v>0.52742275615726519</v>
      </c>
    </row>
    <row r="9038" spans="1:4">
      <c r="A9038">
        <v>1.007369</v>
      </c>
      <c r="B9038">
        <v>3.311982</v>
      </c>
      <c r="C9038">
        <f>LOG10(1.007369)</f>
        <v>3.1885820824538885E-3</v>
      </c>
      <c r="D9038">
        <f>LOG10(3.311982)</f>
        <v>0.5200879678103314</v>
      </c>
    </row>
    <row r="9039" spans="1:4">
      <c r="A9039">
        <v>1.001862</v>
      </c>
      <c r="B9039">
        <v>3.5905649999999998</v>
      </c>
      <c r="C9039">
        <f>LOG10(1.001862)</f>
        <v>8.0790439951087373E-4</v>
      </c>
      <c r="D9039">
        <f>LOG10(3.590565)</f>
        <v>0.55516279316757688</v>
      </c>
    </row>
    <row r="9040" spans="1:4">
      <c r="A9040">
        <v>1.01058</v>
      </c>
      <c r="B9040">
        <v>3.860643</v>
      </c>
      <c r="C9040">
        <f>LOG10(1.01058)</f>
        <v>4.5706990322462821E-3</v>
      </c>
      <c r="D9040">
        <f>LOG10(3.860643)</f>
        <v>0.58665964355661449</v>
      </c>
    </row>
    <row r="9041" spans="1:4">
      <c r="A9041">
        <v>1.013506</v>
      </c>
      <c r="B9041">
        <v>3.7754110000000001</v>
      </c>
      <c r="C9041">
        <f>LOG10(1.013506)</f>
        <v>5.8263240790307558E-3</v>
      </c>
      <c r="D9041">
        <f>LOG10(3.775411)</f>
        <v>0.57696423684362241</v>
      </c>
    </row>
    <row r="9042" spans="1:4">
      <c r="A9042">
        <v>1.0104489999999999</v>
      </c>
      <c r="B9042">
        <v>3.2796560000000001</v>
      </c>
      <c r="C9042">
        <f>LOG10(1.010449)</f>
        <v>4.5143984277432811E-3</v>
      </c>
      <c r="D9042">
        <f>LOG10(3.279656)</f>
        <v>0.51582829336516345</v>
      </c>
    </row>
    <row r="9043" spans="1:4">
      <c r="A9043">
        <v>1.0056510000000001</v>
      </c>
      <c r="B9043">
        <v>3.1484529999999999</v>
      </c>
      <c r="C9043">
        <f>LOG10(1.005651)</f>
        <v>2.4472897941914869E-3</v>
      </c>
      <c r="D9043">
        <f>LOG10(3.148453)</f>
        <v>0.49809721455311984</v>
      </c>
    </row>
    <row r="9044" spans="1:4">
      <c r="A9044">
        <v>1.0073570000000001</v>
      </c>
      <c r="B9044">
        <v>3.180755</v>
      </c>
      <c r="C9044">
        <f>LOG10(1.007357)</f>
        <v>3.1834086407224989E-3</v>
      </c>
      <c r="D9044">
        <f>LOG10(3.180755)</f>
        <v>0.50253021854281976</v>
      </c>
    </row>
    <row r="9045" spans="1:4">
      <c r="A9045">
        <v>1.0060979999999999</v>
      </c>
      <c r="B9045">
        <v>3.1918220000000002</v>
      </c>
      <c r="C9045">
        <f>LOG10(1.006098)</f>
        <v>2.640285676486399E-3</v>
      </c>
      <c r="D9045">
        <f>LOG10(3.191822)</f>
        <v>0.50403866382741469</v>
      </c>
    </row>
    <row r="9046" spans="1:4">
      <c r="A9046">
        <v>1.0050749999999999</v>
      </c>
      <c r="B9046">
        <v>3.3483540000000001</v>
      </c>
      <c r="C9046">
        <f>LOG10(1.005075)</f>
        <v>2.1984705832010418E-3</v>
      </c>
      <c r="D9046">
        <f>LOG10(3.348354)</f>
        <v>0.52483136691958621</v>
      </c>
    </row>
    <row r="9047" spans="1:4">
      <c r="A9047">
        <v>1.0150380000000001</v>
      </c>
      <c r="B9047">
        <v>3.262445</v>
      </c>
      <c r="C9047">
        <f>LOG10(1.015038)</f>
        <v>6.4823012456783876E-3</v>
      </c>
      <c r="D9047">
        <f>LOG10(3.262445)</f>
        <v>0.51354319884508171</v>
      </c>
    </row>
    <row r="9048" spans="1:4">
      <c r="A9048">
        <v>1.004427</v>
      </c>
      <c r="B9048">
        <v>3.1773340000000001</v>
      </c>
      <c r="C9048">
        <f>LOG10(1.004427)</f>
        <v>1.918378466818039E-3</v>
      </c>
      <c r="D9048">
        <f>LOG10(3.177334)</f>
        <v>0.50206287007822148</v>
      </c>
    </row>
    <row r="9049" spans="1:4">
      <c r="A9049">
        <v>1.0024630000000001</v>
      </c>
      <c r="B9049">
        <v>3.2620040000000001</v>
      </c>
      <c r="C9049">
        <f>LOG10(1.002463)</f>
        <v>1.0683521726479346E-3</v>
      </c>
      <c r="D9049">
        <f>LOG10(3.262004)</f>
        <v>0.51348448925387769</v>
      </c>
    </row>
    <row r="9050" spans="1:4">
      <c r="A9050">
        <v>1.0077830000000001</v>
      </c>
      <c r="B9050">
        <v>3.118433</v>
      </c>
      <c r="C9050">
        <f>LOG10(1.007783)</f>
        <v>3.3670280935116999E-3</v>
      </c>
      <c r="D9050">
        <f>LOG10(3.118433)</f>
        <v>0.49393641760540608</v>
      </c>
    </row>
    <row r="9051" spans="1:4">
      <c r="A9051">
        <v>1.0089509999999999</v>
      </c>
      <c r="B9051">
        <v>3.1150229999999999</v>
      </c>
      <c r="C9051">
        <f>LOG10(1.008951)</f>
        <v>3.8700751106963849E-3</v>
      </c>
      <c r="D9051">
        <f>LOG10(3.115023)</f>
        <v>0.49346125765207677</v>
      </c>
    </row>
    <row r="9052" spans="1:4">
      <c r="A9052">
        <v>1.008446</v>
      </c>
      <c r="B9052">
        <v>3.0550760000000001</v>
      </c>
      <c r="C9052">
        <f>LOG10(1.008446)</f>
        <v>3.6526476852148651E-3</v>
      </c>
      <c r="D9052">
        <f>LOG10(3.055076)</f>
        <v>0.48502201849676535</v>
      </c>
    </row>
    <row r="9053" spans="1:4">
      <c r="A9053">
        <v>1.002685</v>
      </c>
      <c r="B9053">
        <v>3.0526580000000001</v>
      </c>
      <c r="C9053">
        <f>LOG10(1.002685)</f>
        <v>1.1645180171406474E-3</v>
      </c>
      <c r="D9053">
        <f>LOG10(3.052658)</f>
        <v>0.48467815148746074</v>
      </c>
    </row>
    <row r="9054" spans="1:4">
      <c r="A9054">
        <v>1.007547</v>
      </c>
      <c r="B9054">
        <v>2.9671310000000002</v>
      </c>
      <c r="C9054">
        <f>LOG10(1.007547)</f>
        <v>3.2653142320619934E-3</v>
      </c>
      <c r="D9054">
        <f>LOG10(2.967131)</f>
        <v>0.47233672101222307</v>
      </c>
    </row>
    <row r="9055" spans="1:4">
      <c r="A9055">
        <v>1.0118750000000001</v>
      </c>
      <c r="B9055">
        <v>2.8371019999999998</v>
      </c>
      <c r="C9055">
        <f>LOG10(1.011875)</f>
        <v>5.1268660974489906E-3</v>
      </c>
      <c r="D9055">
        <f>LOG10(2.837102)</f>
        <v>0.45287494990964822</v>
      </c>
    </row>
    <row r="9056" spans="1:4">
      <c r="A9056">
        <v>1.009344</v>
      </c>
      <c r="B9056">
        <v>2.8764980000000002</v>
      </c>
      <c r="C9056">
        <f>LOG10(1.009344)</f>
        <v>4.0392057219748373E-3</v>
      </c>
      <c r="D9056">
        <f>LOG10(2.876498)</f>
        <v>0.4588640764010572</v>
      </c>
    </row>
    <row r="9057" spans="1:4">
      <c r="A9057">
        <v>1.0114160000000001</v>
      </c>
      <c r="B9057">
        <v>2.9812280000000002</v>
      </c>
      <c r="C9057">
        <f>LOG10(1.011416)</f>
        <v>4.9298196314554593E-3</v>
      </c>
      <c r="D9057">
        <f>LOG10(2.981228)</f>
        <v>0.47439519151581</v>
      </c>
    </row>
    <row r="9058" spans="1:4">
      <c r="A9058">
        <v>1.0129440000000001</v>
      </c>
      <c r="B9058">
        <v>2.9824220000000001</v>
      </c>
      <c r="C9058">
        <f>LOG10(1.012944)</f>
        <v>5.5854363146278863E-3</v>
      </c>
      <c r="D9058">
        <f>LOG10(2.982422)</f>
        <v>0.47456909428284733</v>
      </c>
    </row>
    <row r="9059" spans="1:4">
      <c r="A9059">
        <v>1.0131060000000001</v>
      </c>
      <c r="B9059">
        <v>1.650347</v>
      </c>
      <c r="C9059">
        <f>LOG10(1.013106)</f>
        <v>5.6548874201961209E-3</v>
      </c>
      <c r="D9059">
        <f>LOG10(1.650347)</f>
        <v>0.21757526805699051</v>
      </c>
    </row>
    <row r="9060" spans="1:4">
      <c r="A9060">
        <v>1.0137560000000001</v>
      </c>
      <c r="B9060">
        <v>2.0796299999999999</v>
      </c>
      <c r="C9060">
        <f>LOG10(1.013756)</f>
        <v>5.933437635173208E-3</v>
      </c>
      <c r="D9060">
        <f>LOG10(2.07963)</f>
        <v>0.31798607378389321</v>
      </c>
    </row>
    <row r="9061" spans="1:4">
      <c r="A9061">
        <v>1.008761</v>
      </c>
      <c r="B9061">
        <v>2.8692150000000001</v>
      </c>
      <c r="C9061">
        <f>LOG10(1.008761)</f>
        <v>3.788283505347875E-3</v>
      </c>
      <c r="D9061">
        <f>LOG10(2.869215)</f>
        <v>0.45776309262213383</v>
      </c>
    </row>
    <row r="9062" spans="1:4">
      <c r="A9062">
        <v>1.0113669999999999</v>
      </c>
      <c r="B9062">
        <v>2.8899270000000001</v>
      </c>
      <c r="C9062">
        <f>LOG10(1.011367)</f>
        <v>4.9087788874730316E-3</v>
      </c>
      <c r="D9062">
        <f>LOG10(2.889927)</f>
        <v>0.46088687254976823</v>
      </c>
    </row>
    <row r="9063" spans="1:4">
      <c r="A9063">
        <v>1.0142340000000001</v>
      </c>
      <c r="B9063">
        <v>2.9338160000000002</v>
      </c>
      <c r="C9063">
        <f>LOG10(1.014234)</f>
        <v>6.1381652385578654E-3</v>
      </c>
      <c r="D9063">
        <f>LOG10(2.933816)</f>
        <v>0.46743287273477602</v>
      </c>
    </row>
    <row r="9064" spans="1:4">
      <c r="A9064">
        <v>1.0102070000000001</v>
      </c>
      <c r="B9064">
        <v>2.9202509999999999</v>
      </c>
      <c r="C9064">
        <f>LOG10(1.010207)</f>
        <v>4.4103735317461302E-3</v>
      </c>
      <c r="D9064">
        <f>LOG10(2.920251)</f>
        <v>0.465420181321749</v>
      </c>
    </row>
    <row r="9065" spans="1:4">
      <c r="A9065">
        <v>1.010866</v>
      </c>
      <c r="B9065">
        <v>2.9575100000000001</v>
      </c>
      <c r="C9065">
        <f>LOG10(1.010866)</f>
        <v>4.6935895004092797E-3</v>
      </c>
      <c r="D9065">
        <f>LOG10(2.95751)</f>
        <v>0.47092622174881899</v>
      </c>
    </row>
    <row r="9066" spans="1:4">
      <c r="A9066">
        <v>1.015107</v>
      </c>
      <c r="B9066">
        <v>2.844382</v>
      </c>
      <c r="C9066">
        <f>LOG10(1.015107)</f>
        <v>6.5118226042639163E-3</v>
      </c>
      <c r="D9066">
        <f>LOG10(2.844382)</f>
        <v>0.45398792164682322</v>
      </c>
    </row>
    <row r="9067" spans="1:4">
      <c r="A9067">
        <v>1.010259</v>
      </c>
      <c r="B9067">
        <v>2.9076559999999998</v>
      </c>
      <c r="C9067">
        <f>LOG10(1.010259)</f>
        <v>4.4327280906092141E-3</v>
      </c>
      <c r="D9067">
        <f>LOG10(2.907656)</f>
        <v>0.46354302456014296</v>
      </c>
    </row>
    <row r="9068" spans="1:4">
      <c r="A9068">
        <v>1.008591</v>
      </c>
      <c r="B9068">
        <v>2.8214670000000002</v>
      </c>
      <c r="C9068">
        <f>LOG10(1.008591)</f>
        <v>3.7150884832611833E-3</v>
      </c>
      <c r="D9068">
        <f>LOG10(2.821467)</f>
        <v>0.4504749751087308</v>
      </c>
    </row>
    <row r="9069" spans="1:4">
      <c r="A9069">
        <v>1.005136</v>
      </c>
      <c r="B9069">
        <v>2.9140730000000001</v>
      </c>
      <c r="C9069">
        <f>LOG10(1.005136)</f>
        <v>2.2248279789214599E-3</v>
      </c>
      <c r="D9069">
        <f>LOG10(2.914073)</f>
        <v>0.4645004270153289</v>
      </c>
    </row>
    <row r="9070" spans="1:4">
      <c r="A9070">
        <v>1.010812</v>
      </c>
      <c r="B9070">
        <v>3.0392480000000002</v>
      </c>
      <c r="C9070">
        <f>LOG10(1.010812)</f>
        <v>4.670389067869229E-3</v>
      </c>
      <c r="D9070">
        <f>LOG10(3.039248)</f>
        <v>0.48276613957881553</v>
      </c>
    </row>
    <row r="9071" spans="1:4">
      <c r="A9071">
        <v>1.0081310000000001</v>
      </c>
      <c r="B9071">
        <v>2.8868749999999999</v>
      </c>
      <c r="C9071">
        <f>LOG10(1.008131)</f>
        <v>3.5169694910153647E-3</v>
      </c>
      <c r="D9071">
        <f>LOG10(2.886875)</f>
        <v>0.46042797959062193</v>
      </c>
    </row>
    <row r="9072" spans="1:4">
      <c r="A9072">
        <v>1.005322</v>
      </c>
      <c r="B9072">
        <v>2.8941560000000002</v>
      </c>
      <c r="C9072">
        <f>LOG10(1.005322)</f>
        <v>2.3051865577771056E-3</v>
      </c>
      <c r="D9072">
        <f>LOG10(2.894156)</f>
        <v>0.46152193663554975</v>
      </c>
    </row>
    <row r="9073" spans="1:4">
      <c r="A9073">
        <v>1.00336</v>
      </c>
      <c r="B9073">
        <v>2.953859</v>
      </c>
      <c r="C9073">
        <f>LOG10(1.00336)</f>
        <v>1.4567834312746275E-3</v>
      </c>
      <c r="D9073">
        <f>LOG10(2.953859)</f>
        <v>0.47038976078519323</v>
      </c>
    </row>
    <row r="9074" spans="1:4">
      <c r="A9074">
        <v>1.011998</v>
      </c>
      <c r="B9074">
        <v>2.8020499999999999</v>
      </c>
      <c r="C9074">
        <f>LOG10(1.011998)</f>
        <v>5.1796542134422497E-3</v>
      </c>
      <c r="D9074">
        <f>LOG10(2.80205)</f>
        <v>0.44747588060370097</v>
      </c>
    </row>
    <row r="9075" spans="1:4">
      <c r="A9075">
        <v>1.003932</v>
      </c>
      <c r="B9075">
        <v>2.9347599999999998</v>
      </c>
      <c r="C9075">
        <f>LOG10(1.003932)</f>
        <v>1.7042974455512786E-3</v>
      </c>
      <c r="D9075">
        <f>LOG10(2.93476)</f>
        <v>0.46757259112453614</v>
      </c>
    </row>
    <row r="9076" spans="1:4">
      <c r="A9076">
        <v>1.002089</v>
      </c>
      <c r="B9076">
        <v>2.9252259999999999</v>
      </c>
      <c r="C9076">
        <f>LOG10(1.002089)</f>
        <v>9.0629487693641181E-4</v>
      </c>
      <c r="D9076">
        <f>LOG10(2.925226)</f>
        <v>0.46615942486650908</v>
      </c>
    </row>
    <row r="9077" spans="1:4">
      <c r="A9077">
        <v>1.004351</v>
      </c>
      <c r="B9077">
        <v>3.0004949999999999</v>
      </c>
      <c r="C9077">
        <f>LOG10(1.004351)</f>
        <v>1.8855163181481706E-3</v>
      </c>
      <c r="D9077">
        <f>LOG10(3.000495)</f>
        <v>0.47719290739799303</v>
      </c>
    </row>
    <row r="9078" spans="1:4">
      <c r="A9078">
        <v>1.008094</v>
      </c>
      <c r="B9078">
        <v>3.0586899999999999</v>
      </c>
      <c r="C9078">
        <f>LOG10(1.008094)</f>
        <v>3.5010299050740614E-3</v>
      </c>
      <c r="D9078">
        <f>LOG10(3.05869)</f>
        <v>0.48553546321820629</v>
      </c>
    </row>
    <row r="9079" spans="1:4">
      <c r="A9079">
        <v>1.005644</v>
      </c>
      <c r="B9079">
        <v>2.9304860000000001</v>
      </c>
      <c r="C9079">
        <f>LOG10(1.005644)</f>
        <v>2.444266805148732E-3</v>
      </c>
      <c r="D9079">
        <f>LOG10(2.930486)</f>
        <v>0.46693965093952128</v>
      </c>
    </row>
    <row r="9080" spans="1:4">
      <c r="A9080">
        <v>1.001949</v>
      </c>
      <c r="B9080">
        <v>2.9312399999999998</v>
      </c>
      <c r="C9080">
        <f>LOG10(1.001949)</f>
        <v>8.4561615970113306E-4</v>
      </c>
      <c r="D9080">
        <f>LOG10(2.93124)</f>
        <v>0.46705137845498718</v>
      </c>
    </row>
    <row r="9081" spans="1:4">
      <c r="A9081">
        <v>1.0049459999999999</v>
      </c>
      <c r="B9081">
        <v>2.9167450000000001</v>
      </c>
      <c r="C9081">
        <f>LOG10(1.004946)</f>
        <v>2.1427259036753475E-3</v>
      </c>
      <c r="D9081">
        <f>LOG10(2.916745)</f>
        <v>0.46489846205496654</v>
      </c>
    </row>
    <row r="9082" spans="1:4">
      <c r="A9082">
        <v>1.024151</v>
      </c>
      <c r="B9082">
        <v>2.8968440000000002</v>
      </c>
      <c r="C9082">
        <f>LOG10(1.024151)</f>
        <v>1.0363993389920924E-2</v>
      </c>
      <c r="D9082">
        <f>LOG10(2.896844)</f>
        <v>0.46192510833342382</v>
      </c>
    </row>
    <row r="9083" spans="1:4">
      <c r="A9083">
        <v>1.0312920000000001</v>
      </c>
      <c r="B9083">
        <v>3.0425749999999998</v>
      </c>
      <c r="C9083">
        <f>LOG10(1.031292)</f>
        <v>1.3381648827615285E-2</v>
      </c>
      <c r="D9083">
        <f>LOG10(3.042575)</f>
        <v>0.48324129246814551</v>
      </c>
    </row>
    <row r="9084" spans="1:4">
      <c r="A9084">
        <v>1.0346280000000001</v>
      </c>
      <c r="B9084">
        <v>2.894914</v>
      </c>
      <c r="C9084">
        <f>LOG10(1.034628)</f>
        <v>1.4784227485925059E-2</v>
      </c>
      <c r="D9084">
        <f>LOG10(2.894914)</f>
        <v>0.46163566655042859</v>
      </c>
    </row>
    <row r="9085" spans="1:4">
      <c r="A9085">
        <v>1.02396</v>
      </c>
      <c r="B9085">
        <v>2.9452379999999998</v>
      </c>
      <c r="C9085">
        <f>LOG10(1.02396)</f>
        <v>1.0282991680263575E-2</v>
      </c>
      <c r="D9085">
        <f>LOG10(2.945238)</f>
        <v>0.46912039518774434</v>
      </c>
    </row>
    <row r="9086" spans="1:4">
      <c r="A9086">
        <v>1.0396780000000001</v>
      </c>
      <c r="B9086">
        <v>2.9710359999999998</v>
      </c>
      <c r="C9086">
        <f>LOG10(1.039678)</f>
        <v>1.6898854225331217E-2</v>
      </c>
      <c r="D9086">
        <f>LOG10(2.971036)</f>
        <v>0.47290791417546679</v>
      </c>
    </row>
    <row r="9087" spans="1:4">
      <c r="A9087">
        <v>1.0093829999999999</v>
      </c>
      <c r="B9087">
        <v>2.853205</v>
      </c>
      <c r="C9087">
        <f>LOG10(1.009383)</f>
        <v>4.0559860838526845E-3</v>
      </c>
      <c r="D9087">
        <f>LOG10(2.853205)</f>
        <v>0.45533297641359266</v>
      </c>
    </row>
    <row r="9088" spans="1:4">
      <c r="A9088">
        <v>1.0073890000000001</v>
      </c>
      <c r="B9088">
        <v>2.948556</v>
      </c>
      <c r="C9088">
        <f>LOG10(1.007389)</f>
        <v>3.1972043483919385E-3</v>
      </c>
      <c r="D9088">
        <f>LOG10(2.948556)</f>
        <v>0.46960938046384521</v>
      </c>
    </row>
    <row r="9089" spans="1:4">
      <c r="A9089">
        <v>1.0100100000000001</v>
      </c>
      <c r="B9089">
        <v>2.9605299999999999</v>
      </c>
      <c r="C9089">
        <f>LOG10(1.01001)</f>
        <v>4.3256737067212669E-3</v>
      </c>
      <c r="D9089">
        <f>LOG10(2.96053)</f>
        <v>0.47136946628559007</v>
      </c>
    </row>
    <row r="9090" spans="1:4">
      <c r="A9090">
        <v>1.011007</v>
      </c>
      <c r="B9090">
        <v>2.9461189999999999</v>
      </c>
      <c r="C9090">
        <f>LOG10(1.011007)</f>
        <v>4.7541625651345166E-3</v>
      </c>
      <c r="D9090">
        <f>LOG10(2.946119)</f>
        <v>0.46925028493688326</v>
      </c>
    </row>
    <row r="9091" spans="1:4">
      <c r="A9091">
        <v>1.0115730000000001</v>
      </c>
      <c r="B9091">
        <v>2.8863639999999999</v>
      </c>
      <c r="C9091">
        <f>LOG10(1.011573)</f>
        <v>4.9972290279432161E-3</v>
      </c>
      <c r="D9091">
        <f>LOG10(2.886364)</f>
        <v>0.46035109918403139</v>
      </c>
    </row>
    <row r="9092" spans="1:4">
      <c r="A9092">
        <v>1.014886</v>
      </c>
      <c r="B9092">
        <v>3.006605</v>
      </c>
      <c r="C9092">
        <f>LOG10(1.014886)</f>
        <v>6.4172616073739615E-3</v>
      </c>
      <c r="D9092">
        <f>LOG10(3.006605)</f>
        <v>0.47807637536073883</v>
      </c>
    </row>
    <row r="9093" spans="1:4">
      <c r="A9093">
        <v>1.012581</v>
      </c>
      <c r="B9093">
        <v>2.9272300000000002</v>
      </c>
      <c r="C9093">
        <f>LOG10(1.012581)</f>
        <v>5.4297740555901766E-3</v>
      </c>
      <c r="D9093">
        <f>LOG10(2.92723)</f>
        <v>0.46645684741039495</v>
      </c>
    </row>
    <row r="9094" spans="1:4">
      <c r="A9094">
        <v>1.0108029999999999</v>
      </c>
      <c r="B9094">
        <v>2.9546220000000001</v>
      </c>
      <c r="C9094">
        <f>LOG10(1.010803)</f>
        <v>4.6665222086134167E-3</v>
      </c>
      <c r="D9094">
        <f>LOG10(2.954622)</f>
        <v>0.47050192724270884</v>
      </c>
    </row>
    <row r="9095" spans="1:4">
      <c r="A9095">
        <v>1.012257</v>
      </c>
      <c r="B9095">
        <v>2.8054640000000002</v>
      </c>
      <c r="C9095">
        <f>LOG10(1.012257)</f>
        <v>5.2907887013666985E-3</v>
      </c>
      <c r="D9095">
        <f>LOG10(2.805464)</f>
        <v>0.44800470016417376</v>
      </c>
    </row>
    <row r="9096" spans="1:4">
      <c r="A9096">
        <v>1.005773</v>
      </c>
      <c r="B9096">
        <v>2.783741</v>
      </c>
      <c r="C9096">
        <f>LOG10(1.005773)</f>
        <v>2.4999727957437713E-3</v>
      </c>
      <c r="D9096">
        <f>LOG10(2.783741)</f>
        <v>0.44462882594450842</v>
      </c>
    </row>
    <row r="9097" spans="1:4">
      <c r="A9097">
        <v>1.017209</v>
      </c>
      <c r="B9097">
        <v>2.7228439999999998</v>
      </c>
      <c r="C9097">
        <f>LOG10(1.017209)</f>
        <v>7.4101940450060511E-3</v>
      </c>
      <c r="D9097">
        <f>LOG10(2.722844)</f>
        <v>0.43502276000322576</v>
      </c>
    </row>
    <row r="9098" spans="1:4">
      <c r="A9098">
        <v>1.0107189999999999</v>
      </c>
      <c r="B9098">
        <v>2.874015</v>
      </c>
      <c r="C9098">
        <f>LOG10(1.010719)</f>
        <v>4.6304298618560155E-3</v>
      </c>
      <c r="D9098">
        <f>LOG10(2.874015)</f>
        <v>0.45848903046495304</v>
      </c>
    </row>
    <row r="9099" spans="1:4">
      <c r="A9099">
        <v>1.0165709999999999</v>
      </c>
      <c r="B9099">
        <v>2.804665</v>
      </c>
      <c r="C9099">
        <f>LOG10(1.016571)</f>
        <v>7.1377163054832347E-3</v>
      </c>
      <c r="D9099">
        <f>LOG10(2.804665)</f>
        <v>0.44788099488274907</v>
      </c>
    </row>
    <row r="9100" spans="1:4">
      <c r="A9100">
        <v>1.0139739999999999</v>
      </c>
      <c r="B9100">
        <v>2.8008630000000001</v>
      </c>
      <c r="C9100">
        <f>LOG10(1.013974)</f>
        <v>6.0268190986023616E-3</v>
      </c>
      <c r="D9100">
        <f>LOG10(2.800863)</f>
        <v>0.44729186648185704</v>
      </c>
    </row>
    <row r="9101" spans="1:4">
      <c r="A9101">
        <v>1.0130490000000001</v>
      </c>
      <c r="B9101">
        <v>2.8186640000000001</v>
      </c>
      <c r="C9101">
        <f>LOG10(1.013049)</f>
        <v>5.6304521864899097E-3</v>
      </c>
      <c r="D9101">
        <f>LOG10(2.818664)</f>
        <v>0.45004330870488496</v>
      </c>
    </row>
    <row r="9102" spans="1:4">
      <c r="A9102">
        <v>1.007109</v>
      </c>
      <c r="B9102">
        <v>2.8245499999999999</v>
      </c>
      <c r="C9102">
        <f>LOG10(1.007109)</f>
        <v>3.0764770448989485E-3</v>
      </c>
      <c r="D9102">
        <f>LOG10(2.82455)</f>
        <v>0.45094926699300375</v>
      </c>
    </row>
    <row r="9103" spans="1:4">
      <c r="A9103">
        <v>1.0088170000000001</v>
      </c>
      <c r="B9103">
        <v>2.7883499999999999</v>
      </c>
      <c r="C9103">
        <f>LOG10(1.008817)</f>
        <v>3.8123921058509061E-3</v>
      </c>
      <c r="D9103">
        <f>LOG10(2.78835)</f>
        <v>0.44534728647345473</v>
      </c>
    </row>
    <row r="9104" spans="1:4">
      <c r="A9104">
        <v>1.006829</v>
      </c>
      <c r="B9104">
        <v>2.8686950000000002</v>
      </c>
      <c r="C9104">
        <f>LOG10(1.006829)</f>
        <v>2.9557161717077714E-3</v>
      </c>
      <c r="D9104">
        <f>LOG10(2.868695)</f>
        <v>0.45768437645851051</v>
      </c>
    </row>
    <row r="9105" spans="1:4">
      <c r="A9105">
        <v>1.0201709999999999</v>
      </c>
      <c r="B9105">
        <v>2.9357479999999998</v>
      </c>
      <c r="C9105">
        <f>LOG10(1.020171)</f>
        <v>8.6729738521142529E-3</v>
      </c>
      <c r="D9105">
        <f>LOG10(2.935748)</f>
        <v>0.46771877368733022</v>
      </c>
    </row>
    <row r="9106" spans="1:4">
      <c r="A9106">
        <v>1.0157659999999999</v>
      </c>
      <c r="B9106">
        <v>3.1262620000000001</v>
      </c>
      <c r="C9106">
        <f>LOG10(1.015766)</f>
        <v>6.7936719110588926E-3</v>
      </c>
      <c r="D9106">
        <f>LOG10(3.126262)</f>
        <v>0.49502537175936046</v>
      </c>
    </row>
    <row r="9107" spans="1:4">
      <c r="A9107">
        <v>1.0186949999999999</v>
      </c>
      <c r="B9107">
        <v>3.0878209999999999</v>
      </c>
      <c r="C9107">
        <f>LOG10(1.018695)</f>
        <v>8.0441745418404452E-3</v>
      </c>
      <c r="D9107">
        <f>LOG10(3.087821)</f>
        <v>0.48965211648058282</v>
      </c>
    </row>
    <row r="9108" spans="1:4">
      <c r="A9108">
        <v>1.0121739999999999</v>
      </c>
      <c r="B9108">
        <v>2.8978839999999999</v>
      </c>
      <c r="C9108">
        <f>LOG10(1.012174)</f>
        <v>5.255177270778854E-3</v>
      </c>
      <c r="D9108">
        <f>LOG10(2.897884)</f>
        <v>0.46208099701914945</v>
      </c>
    </row>
    <row r="9109" spans="1:4">
      <c r="A9109">
        <v>1.0078240000000001</v>
      </c>
      <c r="B9109">
        <v>3.029477</v>
      </c>
      <c r="C9109">
        <f>LOG10(1.007824)</f>
        <v>3.384696293473767E-3</v>
      </c>
      <c r="D9109">
        <f>LOG10(3.029477)</f>
        <v>0.48136765965116507</v>
      </c>
    </row>
    <row r="9110" spans="1:4">
      <c r="A9110">
        <v>1.0102370000000001</v>
      </c>
      <c r="B9110">
        <v>3.028921</v>
      </c>
      <c r="C9110">
        <f>LOG10(1.010237)</f>
        <v>4.4232705330567767E-3</v>
      </c>
      <c r="D9110">
        <f>LOG10(3.028921)</f>
        <v>0.481287946257421</v>
      </c>
    </row>
    <row r="9111" spans="1:4">
      <c r="A9111">
        <v>1.0070650000000001</v>
      </c>
      <c r="B9111">
        <v>2.9693290000000001</v>
      </c>
      <c r="C9111">
        <f>LOG10(1.007065)</f>
        <v>3.057502559867612E-3</v>
      </c>
      <c r="D9111">
        <f>LOG10(2.969329)</f>
        <v>0.47265831984885093</v>
      </c>
    </row>
    <row r="9112" spans="1:4">
      <c r="A9112">
        <v>1.008553</v>
      </c>
      <c r="B9112">
        <v>3.0147910000000002</v>
      </c>
      <c r="C9112">
        <f>LOG10(1.008553)</f>
        <v>3.698725555959743E-3</v>
      </c>
      <c r="D9112">
        <f>LOG10(3.014791)</f>
        <v>0.47925721011037598</v>
      </c>
    </row>
    <row r="9113" spans="1:4">
      <c r="A9113">
        <v>1.0044120000000001</v>
      </c>
      <c r="B9113">
        <v>3.078646</v>
      </c>
      <c r="C9113">
        <f>LOG10(1.004412)</f>
        <v>1.9118927133767566E-3</v>
      </c>
      <c r="D9113">
        <f>LOG10(3.078646)</f>
        <v>0.48835975415645783</v>
      </c>
    </row>
    <row r="9114" spans="1:4">
      <c r="A9114">
        <v>1.0066409999999999</v>
      </c>
      <c r="B9114">
        <v>2.9562710000000001</v>
      </c>
      <c r="C9114">
        <f>LOG10(1.006641)</f>
        <v>2.874615025095091E-3</v>
      </c>
      <c r="D9114">
        <f>LOG10(2.956271)</f>
        <v>0.47074424312264013</v>
      </c>
    </row>
    <row r="9115" spans="1:4">
      <c r="A9115">
        <v>1.0092829999999999</v>
      </c>
      <c r="B9115">
        <v>3.2167560000000002</v>
      </c>
      <c r="C9115">
        <f>LOG10(1.009283)</f>
        <v>4.0129582147293667E-3</v>
      </c>
      <c r="D9115">
        <f>LOG10(3.216756)</f>
        <v>0.50741811969200312</v>
      </c>
    </row>
    <row r="9116" spans="1:4">
      <c r="A9116">
        <v>1.018837</v>
      </c>
      <c r="B9116">
        <v>3.472394</v>
      </c>
      <c r="C9116">
        <f>LOG10(1.018837)</f>
        <v>8.1047083803569876E-3</v>
      </c>
      <c r="D9116">
        <f>LOG10(3.472394)</f>
        <v>0.54062899712593215</v>
      </c>
    </row>
    <row r="9117" spans="1:4">
      <c r="A9117">
        <v>1.01366</v>
      </c>
      <c r="B9117">
        <v>3.3041559999999999</v>
      </c>
      <c r="C9117">
        <f>LOG10(1.01366)</f>
        <v>5.8923091540978752E-3</v>
      </c>
      <c r="D9117">
        <f>LOG10(3.304156)</f>
        <v>0.51906054359380582</v>
      </c>
    </row>
    <row r="9118" spans="1:4">
      <c r="A9118">
        <v>1.0223230000000001</v>
      </c>
      <c r="B9118">
        <v>3.207319</v>
      </c>
      <c r="C9118">
        <f>LOG10(1.022323)</f>
        <v>9.5881315670358781E-3</v>
      </c>
      <c r="D9118">
        <f>LOG10(3.207319)</f>
        <v>0.50614215701291387</v>
      </c>
    </row>
    <row r="9119" spans="1:4">
      <c r="A9119">
        <v>1.0132330000000001</v>
      </c>
      <c r="B9119">
        <v>3.4416449999999998</v>
      </c>
      <c r="C9119">
        <f>LOG10(1.013233)</f>
        <v>5.7093258920154237E-3</v>
      </c>
      <c r="D9119">
        <f>LOG10(3.441645)</f>
        <v>0.53676607154289913</v>
      </c>
    </row>
    <row r="9120" spans="1:4">
      <c r="A9120">
        <v>1.029247</v>
      </c>
      <c r="B9120">
        <v>3.501382</v>
      </c>
      <c r="C9120">
        <f>LOG10(1.029247)</f>
        <v>1.2519609810554031E-2</v>
      </c>
      <c r="D9120">
        <f>LOG10(3.501382)</f>
        <v>0.54423949478157196</v>
      </c>
    </row>
    <row r="9121" spans="1:4">
      <c r="A9121">
        <v>1.017077</v>
      </c>
      <c r="B9121">
        <v>3.4631289999999999</v>
      </c>
      <c r="C9121">
        <f>LOG10(1.017077)</f>
        <v>7.3538333644609412E-3</v>
      </c>
      <c r="D9121">
        <f>LOG10(3.463129)</f>
        <v>0.53946866912518077</v>
      </c>
    </row>
    <row r="9122" spans="1:4">
      <c r="A9122">
        <v>1.037968</v>
      </c>
      <c r="B9122">
        <v>3.4029780000000001</v>
      </c>
      <c r="C9122">
        <f>LOG10(1.037968)</f>
        <v>1.6183964651510552E-2</v>
      </c>
      <c r="D9122">
        <f>LOG10(3.402978)</f>
        <v>0.53185914142331858</v>
      </c>
    </row>
    <row r="9123" spans="1:4">
      <c r="A9123">
        <v>1.016324</v>
      </c>
      <c r="B9123">
        <v>3.4993880000000002</v>
      </c>
      <c r="C9123">
        <f>LOG10(1.016324)</f>
        <v>7.0321813540391897E-3</v>
      </c>
      <c r="D9123">
        <f>LOG10(3.499388)</f>
        <v>0.54399209821795602</v>
      </c>
    </row>
    <row r="9124" spans="1:4">
      <c r="A9124">
        <v>1.0242420000000001</v>
      </c>
      <c r="B9124">
        <v>3.4205869999999998</v>
      </c>
      <c r="C9124">
        <f>LOG10(1.024242)</f>
        <v>1.040258051444168E-2</v>
      </c>
      <c r="D9124">
        <f>LOG10(3.420587)</f>
        <v>0.53410064084722908</v>
      </c>
    </row>
    <row r="9125" spans="1:4">
      <c r="A9125">
        <v>1.0200819999999999</v>
      </c>
      <c r="B9125">
        <v>3.4427490000000001</v>
      </c>
      <c r="C9125">
        <f>LOG10(1.020082)</f>
        <v>8.6350842287058732E-3</v>
      </c>
      <c r="D9125">
        <f>LOG10(3.442749)</f>
        <v>0.53690536081429496</v>
      </c>
    </row>
    <row r="9126" spans="1:4">
      <c r="A9126">
        <v>1.0258160000000001</v>
      </c>
      <c r="B9126">
        <v>3.3950079999999998</v>
      </c>
      <c r="C9126">
        <f>LOG10(1.025816)</f>
        <v>1.1069468620863126E-2</v>
      </c>
      <c r="D9126">
        <f>LOG10(3.395008)</f>
        <v>0.53084080198964612</v>
      </c>
    </row>
    <row r="9127" spans="1:4">
      <c r="A9127">
        <v>1.01491</v>
      </c>
      <c r="B9127">
        <v>3.3489469999999999</v>
      </c>
      <c r="C9127">
        <f>LOG10(1.01491)</f>
        <v>6.4275316715244222E-3</v>
      </c>
      <c r="D9127">
        <f>LOG10(3.348947)</f>
        <v>0.52490827450622191</v>
      </c>
    </row>
    <row r="9128" spans="1:4">
      <c r="A9128">
        <v>1.006375</v>
      </c>
      <c r="B9128">
        <v>3.5440450000000001</v>
      </c>
      <c r="C9128">
        <f>LOG10(1.006375)</f>
        <v>2.7598396503751782E-3</v>
      </c>
      <c r="D9128">
        <f>LOG10(3.544045)</f>
        <v>0.54949922764154002</v>
      </c>
    </row>
    <row r="9129" spans="1:4">
      <c r="A9129">
        <v>1.0080279999999999</v>
      </c>
      <c r="B9129">
        <v>3.446987</v>
      </c>
      <c r="C9129">
        <f>LOG10(1.008028)</f>
        <v>3.4725956775660963E-3</v>
      </c>
      <c r="D9129">
        <f>LOG10(3.446987)</f>
        <v>0.53743964550864065</v>
      </c>
    </row>
    <row r="9130" spans="1:4">
      <c r="A9130">
        <v>1.01827</v>
      </c>
      <c r="B9130">
        <v>3.4976259999999999</v>
      </c>
      <c r="C9130">
        <f>LOG10(1.01827)</f>
        <v>7.8629488875094598E-3</v>
      </c>
      <c r="D9130">
        <f>LOG10(3.497626)</f>
        <v>0.54377336865895021</v>
      </c>
    </row>
    <row r="9131" spans="1:4">
      <c r="A9131">
        <v>1.0133479999999999</v>
      </c>
      <c r="B9131">
        <v>3.451581</v>
      </c>
      <c r="C9131">
        <f>LOG10(1.013348)</f>
        <v>5.7586146847875093E-3</v>
      </c>
      <c r="D9131">
        <f>LOG10(3.451581)</f>
        <v>0.53801806965254795</v>
      </c>
    </row>
    <row r="9132" spans="1:4">
      <c r="A9132">
        <v>1.0077860000000001</v>
      </c>
      <c r="B9132">
        <v>3.571253</v>
      </c>
      <c r="C9132">
        <f>LOG10(1.007786)</f>
        <v>3.3683209130040618E-3</v>
      </c>
      <c r="D9132">
        <f>LOG10(3.571253)</f>
        <v>0.55282061821625228</v>
      </c>
    </row>
    <row r="9133" spans="1:4">
      <c r="A9133">
        <v>1.0196719999999999</v>
      </c>
      <c r="B9133">
        <v>3.3422260000000001</v>
      </c>
      <c r="C9133">
        <f>LOG10(1.019672)</f>
        <v>8.4604938222368597E-3</v>
      </c>
      <c r="D9133">
        <f>LOG10(3.342226)</f>
        <v>0.52403581337137151</v>
      </c>
    </row>
    <row r="9134" spans="1:4">
      <c r="A9134">
        <v>1.0129520000000001</v>
      </c>
      <c r="B9134">
        <v>3.422504</v>
      </c>
      <c r="C9134">
        <f>LOG10(1.012952)</f>
        <v>5.5888662595562017E-3</v>
      </c>
      <c r="D9134">
        <f>LOG10(3.422504)</f>
        <v>0.53434396438145859</v>
      </c>
    </row>
    <row r="9135" spans="1:4">
      <c r="A9135">
        <v>1.018227</v>
      </c>
      <c r="B9135">
        <v>3.482729</v>
      </c>
      <c r="C9135">
        <f>LOG10(1.018227)</f>
        <v>7.8446089020102194E-3</v>
      </c>
      <c r="D9135">
        <f>LOG10(3.482729)</f>
        <v>0.54191968221491038</v>
      </c>
    </row>
    <row r="9136" spans="1:4">
      <c r="A9136">
        <v>1.009374</v>
      </c>
      <c r="B9136">
        <v>3.6821389999999998</v>
      </c>
      <c r="C9136">
        <f>LOG10(1.009374)</f>
        <v>4.0521137501967541E-3</v>
      </c>
      <c r="D9136">
        <f>LOG10(3.682139)</f>
        <v>0.56610017900600529</v>
      </c>
    </row>
    <row r="9137" spans="1:4">
      <c r="A9137">
        <v>1.007544</v>
      </c>
      <c r="B9137">
        <v>3.3877130000000002</v>
      </c>
      <c r="C9137">
        <f>LOG10(1.007544)</f>
        <v>3.2640211058997505E-3</v>
      </c>
      <c r="D9137">
        <f>LOG10(3.387713)</f>
        <v>0.52990661069176126</v>
      </c>
    </row>
    <row r="9138" spans="1:4">
      <c r="A9138">
        <v>1.0191619999999999</v>
      </c>
      <c r="B9138">
        <v>3.4940989999999998</v>
      </c>
      <c r="C9138">
        <f>LOG10(1.019162)</f>
        <v>8.2432223912225436E-3</v>
      </c>
      <c r="D9138">
        <f>LOG10(3.494099)</f>
        <v>0.54333520589722739</v>
      </c>
    </row>
    <row r="9139" spans="1:4">
      <c r="A9139">
        <v>1.0218370000000001</v>
      </c>
      <c r="B9139">
        <v>3.2670759999999999</v>
      </c>
      <c r="C9139">
        <f>LOG10(1.021837)</f>
        <v>9.3816241290840038E-3</v>
      </c>
      <c r="D9139">
        <f>LOG10(3.267076)</f>
        <v>0.51415923732108104</v>
      </c>
    </row>
    <row r="9140" spans="1:4">
      <c r="A9140">
        <v>1.015053</v>
      </c>
      <c r="B9140">
        <v>3.2334139999999998</v>
      </c>
      <c r="C9140">
        <f>LOG10(1.015053)</f>
        <v>6.4887191030341554E-3</v>
      </c>
      <c r="D9140">
        <f>LOG10(3.233414)</f>
        <v>0.50966131438716078</v>
      </c>
    </row>
    <row r="9141" spans="1:4">
      <c r="A9141">
        <v>1.0191509999999999</v>
      </c>
      <c r="B9141">
        <v>3.841262</v>
      </c>
      <c r="C9141">
        <f>LOG10(1.019151)</f>
        <v>8.2385349469478175E-3</v>
      </c>
      <c r="D9141">
        <f>LOG10(3.841262)</f>
        <v>0.58447392999092795</v>
      </c>
    </row>
    <row r="9142" spans="1:4">
      <c r="A9142">
        <v>1.009682</v>
      </c>
      <c r="B9142">
        <v>3.6836959999999999</v>
      </c>
      <c r="C9142">
        <f>LOG10(1.009682)</f>
        <v>4.1846139893815639E-3</v>
      </c>
      <c r="D9142">
        <f>LOG10(3.683696)</f>
        <v>0.56628378249926692</v>
      </c>
    </row>
    <row r="9143" spans="1:4">
      <c r="A9143">
        <v>1.0122910000000001</v>
      </c>
      <c r="B9143">
        <v>3.6366740000000002</v>
      </c>
      <c r="C9143">
        <f>LOG10(1.012291)</f>
        <v>5.3053756732598205E-3</v>
      </c>
      <c r="D9143">
        <f>LOG10(3.636674)</f>
        <v>0.56070437162202214</v>
      </c>
    </row>
    <row r="9144" spans="1:4">
      <c r="A9144">
        <v>1.00461</v>
      </c>
      <c r="B9144">
        <v>3.3132069999999998</v>
      </c>
      <c r="C9144">
        <f>LOG10(1.00461)</f>
        <v>1.9974968607631188E-3</v>
      </c>
      <c r="D9144">
        <f>LOG10(3.313207)</f>
        <v>0.52024857024639592</v>
      </c>
    </row>
    <row r="9145" spans="1:4">
      <c r="A9145">
        <v>1.0080579999999999</v>
      </c>
      <c r="B9145">
        <v>3.1030540000000002</v>
      </c>
      <c r="C9145">
        <f>LOG10(1.008058)</f>
        <v>3.4855205572171112E-3</v>
      </c>
      <c r="D9145">
        <f>LOG10(3.103054)</f>
        <v>0.49178933333407365</v>
      </c>
    </row>
    <row r="9146" spans="1:4">
      <c r="A9146">
        <v>1.005396</v>
      </c>
      <c r="B9146">
        <v>3.4893169999999998</v>
      </c>
      <c r="C9146">
        <f>LOG10(1.005396)</f>
        <v>2.3371530410684575E-3</v>
      </c>
      <c r="D9146">
        <f>LOG10(3.489317)</f>
        <v>0.54274042634032649</v>
      </c>
    </row>
    <row r="9147" spans="1:4">
      <c r="A9147">
        <v>1.016659</v>
      </c>
      <c r="B9147">
        <v>3.3463219999999998</v>
      </c>
      <c r="C9147">
        <f>LOG10(1.016659)</f>
        <v>7.1753096072064903E-3</v>
      </c>
      <c r="D9147">
        <f>LOG10(3.346322)</f>
        <v>0.52456772864513412</v>
      </c>
    </row>
    <row r="9148" spans="1:4">
      <c r="A9148">
        <v>1.003147</v>
      </c>
      <c r="B9148">
        <v>3.6560589999999999</v>
      </c>
      <c r="C9148">
        <f>LOG10(1.003147)</f>
        <v>1.3645786943931979E-3</v>
      </c>
      <c r="D9148">
        <f>LOG10(3.656059)</f>
        <v>0.5630131955868708</v>
      </c>
    </row>
    <row r="9149" spans="1:4">
      <c r="A9149">
        <v>1.0055259999999999</v>
      </c>
      <c r="B9149">
        <v>3.5465209999999998</v>
      </c>
      <c r="C9149">
        <f>LOG10(1.005526)</f>
        <v>2.3933046796959703E-3</v>
      </c>
      <c r="D9149">
        <f>LOG10(3.546521)</f>
        <v>0.54980253577826699</v>
      </c>
    </row>
    <row r="9150" spans="1:4">
      <c r="A9150">
        <v>1.0123789999999999</v>
      </c>
      <c r="B9150">
        <v>3.6899060000000001</v>
      </c>
      <c r="C9150">
        <f>LOG10(1.012379)</f>
        <v>5.3431279138041994E-3</v>
      </c>
      <c r="D9150">
        <f>LOG10(3.689906)</f>
        <v>0.56701530268987765</v>
      </c>
    </row>
    <row r="9151" spans="1:4">
      <c r="A9151">
        <v>1.0079050000000001</v>
      </c>
      <c r="B9151">
        <v>3.3575810000000001</v>
      </c>
      <c r="C9151">
        <f>LOG10(1.007905)</f>
        <v>3.4195996490866466E-3</v>
      </c>
      <c r="D9151">
        <f>LOG10(3.357581)</f>
        <v>0.52602649860916895</v>
      </c>
    </row>
    <row r="9152" spans="1:4">
      <c r="A9152">
        <v>1.006073</v>
      </c>
      <c r="B9152">
        <v>3.4084289999999999</v>
      </c>
      <c r="C9152">
        <f>LOG10(1.006073)</f>
        <v>2.6294939872630531E-3</v>
      </c>
      <c r="D9152">
        <f>LOG10(3.408429)</f>
        <v>0.53255425176578808</v>
      </c>
    </row>
    <row r="9153" spans="1:4">
      <c r="A9153">
        <v>1.00726</v>
      </c>
      <c r="B9153">
        <v>3.4081070000000002</v>
      </c>
      <c r="C9153">
        <f>LOG10(1.00726)</f>
        <v>3.1415877241143548E-3</v>
      </c>
      <c r="D9153">
        <f>LOG10(3.408107)</f>
        <v>0.53251322130008627</v>
      </c>
    </row>
    <row r="9154" spans="1:4">
      <c r="A9154">
        <v>1.012521</v>
      </c>
      <c r="B9154">
        <v>3.3660990000000002</v>
      </c>
      <c r="C9154">
        <f>LOG10(1.012521)</f>
        <v>5.40403938254971E-3</v>
      </c>
      <c r="D9154">
        <f>LOG10(3.366099)</f>
        <v>0.52712688481907988</v>
      </c>
    </row>
    <row r="9155" spans="1:4">
      <c r="A9155">
        <v>1.003034</v>
      </c>
      <c r="B9155">
        <v>3.5865230000000001</v>
      </c>
      <c r="C9155">
        <f>LOG10(1.003034)</f>
        <v>1.3156546177450995E-3</v>
      </c>
      <c r="D9155">
        <f>LOG10(3.586523)</f>
        <v>0.5546736202658531</v>
      </c>
    </row>
    <row r="9156" spans="1:4">
      <c r="A9156">
        <v>1.009722</v>
      </c>
      <c r="B9156">
        <v>3.618296</v>
      </c>
      <c r="C9156">
        <f>LOG10(1.009722)</f>
        <v>4.2018188471301069E-3</v>
      </c>
      <c r="D9156">
        <f>LOG10(3.618296)</f>
        <v>0.55850409207281149</v>
      </c>
    </row>
    <row r="9157" spans="1:4">
      <c r="A9157">
        <v>1.0102</v>
      </c>
      <c r="B9157">
        <v>3.4086319999999999</v>
      </c>
      <c r="C9157">
        <f>LOG10(1.0102)</f>
        <v>4.4073641763307369E-3</v>
      </c>
      <c r="D9157">
        <f>LOG10(3.408632)</f>
        <v>0.5325801168064126</v>
      </c>
    </row>
    <row r="9158" spans="1:4">
      <c r="A9158">
        <v>1.015415</v>
      </c>
      <c r="B9158">
        <v>3.2354039999999999</v>
      </c>
      <c r="C9158">
        <f>LOG10(1.015415)</f>
        <v>6.6435746379302132E-3</v>
      </c>
      <c r="D9158">
        <f>LOG10(3.235404)</f>
        <v>0.50992851808534811</v>
      </c>
    </row>
    <row r="9159" spans="1:4">
      <c r="A9159">
        <v>1.0025109999999999</v>
      </c>
      <c r="B9159">
        <v>3.490402</v>
      </c>
      <c r="C9159">
        <f>LOG10(1.002511)</f>
        <v>1.0891465920621149E-3</v>
      </c>
      <c r="D9159">
        <f>LOG10(3.490402)</f>
        <v>0.54287544882953009</v>
      </c>
    </row>
    <row r="9160" spans="1:4">
      <c r="A9160">
        <v>1.005603</v>
      </c>
      <c r="B9160">
        <v>3.576892</v>
      </c>
      <c r="C9160">
        <f>LOG10(1.005603)</f>
        <v>2.4265603038980338E-3</v>
      </c>
      <c r="D9160">
        <f>LOG10(3.576892)</f>
        <v>0.55350582734154974</v>
      </c>
    </row>
    <row r="9161" spans="1:4">
      <c r="A9161">
        <v>1.0040359999999999</v>
      </c>
      <c r="B9161">
        <v>3.5061209999999998</v>
      </c>
      <c r="C9161">
        <f>LOG10(1.004036)</f>
        <v>1.7492848419224107E-3</v>
      </c>
      <c r="D9161">
        <f>LOG10(3.506121)</f>
        <v>0.54482689998525125</v>
      </c>
    </row>
    <row r="9162" spans="1:4">
      <c r="A9162">
        <v>1.0149980000000001</v>
      </c>
      <c r="B9162">
        <v>3.369812</v>
      </c>
      <c r="C9162">
        <f>LOG10(1.014998)</f>
        <v>6.4651864957149434E-3</v>
      </c>
      <c r="D9162">
        <f>LOG10(3.369812)</f>
        <v>0.52760567249149093</v>
      </c>
    </row>
    <row r="9163" spans="1:4">
      <c r="A9163">
        <v>1.0106850000000001</v>
      </c>
      <c r="B9163">
        <v>3.4152930000000001</v>
      </c>
      <c r="C9163">
        <f>LOG10(1.010685)</f>
        <v>4.6158202020492225E-3</v>
      </c>
      <c r="D9163">
        <f>LOG10(3.415293)</f>
        <v>0.53342796799549841</v>
      </c>
    </row>
    <row r="9164" spans="1:4">
      <c r="A9164">
        <v>1.0044679999999999</v>
      </c>
      <c r="B9164">
        <v>3.2862239999999998</v>
      </c>
      <c r="C9164">
        <f>LOG10(1.004468)</f>
        <v>1.936105698714666E-3</v>
      </c>
      <c r="D9164">
        <f>LOG10(3.286224)</f>
        <v>0.5166971630699313</v>
      </c>
    </row>
    <row r="9165" spans="1:4">
      <c r="A9165">
        <v>1.0122500000000001</v>
      </c>
      <c r="B9165">
        <v>3.3801990000000002</v>
      </c>
      <c r="C9165">
        <f>LOG10(1.01225)</f>
        <v>5.2877854404510512E-3</v>
      </c>
      <c r="D9165">
        <f>LOG10(3.380199)</f>
        <v>0.52894226893382112</v>
      </c>
    </row>
    <row r="9166" spans="1:4">
      <c r="A9166">
        <v>1.009158</v>
      </c>
      <c r="B9166">
        <v>3.5842139999999998</v>
      </c>
      <c r="C9166">
        <f>LOG10(1.009158)</f>
        <v>3.9591673827880057E-3</v>
      </c>
      <c r="D9166">
        <f>LOG10(3.584214)</f>
        <v>0.55439393186189323</v>
      </c>
    </row>
    <row r="9167" spans="1:4">
      <c r="A9167">
        <v>1.004545</v>
      </c>
      <c r="B9167">
        <v>3.6101510000000001</v>
      </c>
      <c r="C9167">
        <f>LOG10(1.004545)</f>
        <v>1.9693963495197833E-3</v>
      </c>
      <c r="D9167">
        <f>LOG10(3.610151)</f>
        <v>0.5575253673060151</v>
      </c>
    </row>
    <row r="9168" spans="1:4">
      <c r="A9168">
        <v>1.0093920000000001</v>
      </c>
      <c r="B9168">
        <v>3.3850630000000002</v>
      </c>
      <c r="C9168">
        <f>LOG10(1.009392)</f>
        <v>4.0598583829818289E-3</v>
      </c>
      <c r="D9168">
        <f>LOG10(3.385063)</f>
        <v>0.52956675582699841</v>
      </c>
    </row>
    <row r="9169" spans="1:4">
      <c r="A9169">
        <v>1.011773</v>
      </c>
      <c r="B9169">
        <v>3.3475250000000001</v>
      </c>
      <c r="C9169">
        <f>LOG10(1.011773)</f>
        <v>5.0830857194468218E-3</v>
      </c>
      <c r="D9169">
        <f>LOG10(3.347525)</f>
        <v>0.52472382909599735</v>
      </c>
    </row>
    <row r="9170" spans="1:4">
      <c r="A9170">
        <v>1.0059039999999999</v>
      </c>
      <c r="B9170">
        <v>3.4672770000000002</v>
      </c>
      <c r="C9170">
        <f>LOG10(1.005904)</f>
        <v>2.5565351337430561E-3</v>
      </c>
      <c r="D9170">
        <f>LOG10(3.467277)</f>
        <v>0.53998853873341024</v>
      </c>
    </row>
    <row r="9171" spans="1:4">
      <c r="A9171">
        <v>1.0008319999999999</v>
      </c>
      <c r="B9171">
        <v>3.4436689999999999</v>
      </c>
      <c r="C9171">
        <f>LOG10(1.000832)</f>
        <v>3.6118277773422987E-4</v>
      </c>
      <c r="D9171">
        <f>LOG10(3.443669)</f>
        <v>0.53702140109117857</v>
      </c>
    </row>
    <row r="9172" spans="1:4">
      <c r="A9172">
        <v>1.011347</v>
      </c>
      <c r="B9172">
        <v>3.3437899999999998</v>
      </c>
      <c r="C9172">
        <f>LOG10(1.011347)</f>
        <v>4.9001905357452949E-3</v>
      </c>
      <c r="D9172">
        <f>LOG10(3.34379)</f>
        <v>0.52423899463270429</v>
      </c>
    </row>
    <row r="9173" spans="1:4">
      <c r="A9173">
        <v>1.0191870000000001</v>
      </c>
      <c r="B9173">
        <v>3.4163060000000001</v>
      </c>
      <c r="C9173">
        <f>LOG10(1.019187)</f>
        <v>8.2538754855142442E-3</v>
      </c>
      <c r="D9173">
        <f>LOG10(3.416306)</f>
        <v>0.53355676370303107</v>
      </c>
    </row>
    <row r="9174" spans="1:4">
      <c r="A9174">
        <v>1.008383</v>
      </c>
      <c r="B9174">
        <v>3.4698180000000001</v>
      </c>
      <c r="C9174">
        <f>LOG10(1.008383)</f>
        <v>3.6255154371474573E-3</v>
      </c>
      <c r="D9174">
        <f>LOG10(3.469818)</f>
        <v>0.54030669563564959</v>
      </c>
    </row>
    <row r="9175" spans="1:4">
      <c r="A9175">
        <v>1.0036020000000001</v>
      </c>
      <c r="B9175">
        <v>3.181657</v>
      </c>
      <c r="C9175">
        <f>LOG10(1.003602)</f>
        <v>1.5615181149706684E-3</v>
      </c>
      <c r="D9175">
        <f>LOG10(3.181657)</f>
        <v>0.5026533585171884</v>
      </c>
    </row>
    <row r="9176" spans="1:4">
      <c r="A9176">
        <v>1.002515</v>
      </c>
      <c r="B9176">
        <v>3.323877</v>
      </c>
      <c r="C9176">
        <f>LOG10(1.002515)</f>
        <v>1.0908794154047201E-3</v>
      </c>
      <c r="D9176">
        <f>LOG10(3.323877)</f>
        <v>0.52164494435105291</v>
      </c>
    </row>
    <row r="9177" spans="1:4">
      <c r="A9177">
        <v>1.015957</v>
      </c>
      <c r="B9177">
        <v>3.4477410000000002</v>
      </c>
      <c r="C9177">
        <f>LOG10(1.015957)</f>
        <v>6.875326985385369E-3</v>
      </c>
      <c r="D9177">
        <f>LOG10(3.447741)</f>
        <v>0.53753463345904584</v>
      </c>
    </row>
    <row r="9178" spans="1:4">
      <c r="A9178">
        <v>1.0037400000000001</v>
      </c>
      <c r="B9178">
        <v>3.4423159999999999</v>
      </c>
      <c r="C9178">
        <f>LOG10(1.00374)</f>
        <v>1.6212315455640151E-3</v>
      </c>
      <c r="D9178">
        <f>LOG10(3.442316)</f>
        <v>0.53685073547352857</v>
      </c>
    </row>
    <row r="9179" spans="1:4">
      <c r="A9179">
        <v>1.006073</v>
      </c>
      <c r="B9179">
        <v>3.4221050000000002</v>
      </c>
      <c r="C9179">
        <f>LOG10(1.006073)</f>
        <v>2.6294939872630531E-3</v>
      </c>
      <c r="D9179">
        <f>LOG10(3.422105)</f>
        <v>0.53429333081028585</v>
      </c>
    </row>
    <row r="9180" spans="1:4">
      <c r="A9180">
        <v>1.007334</v>
      </c>
      <c r="B9180">
        <v>3.4000949999999999</v>
      </c>
      <c r="C9180">
        <f>LOG10(1.007334)</f>
        <v>3.1734927051430429E-3</v>
      </c>
      <c r="D9180">
        <f>LOG10(3.400095)</f>
        <v>0.53149105157148846</v>
      </c>
    </row>
    <row r="9181" spans="1:4">
      <c r="A9181">
        <v>1.007755</v>
      </c>
      <c r="B9181">
        <v>3.0898659999999998</v>
      </c>
      <c r="C9181">
        <f>LOG10(1.007755)</f>
        <v>3.3549615926626625E-3</v>
      </c>
      <c r="D9181">
        <f>LOG10(3.089866)</f>
        <v>0.48993964553407254</v>
      </c>
    </row>
    <row r="9182" spans="1:4">
      <c r="A9182">
        <v>1.0015039999999999</v>
      </c>
      <c r="B9182">
        <v>3.0453640000000002</v>
      </c>
      <c r="C9182">
        <f>LOG10(1.001504)</f>
        <v>6.5268820219458248E-4</v>
      </c>
      <c r="D9182">
        <f>LOG10(3.045364)</f>
        <v>0.48363920952834089</v>
      </c>
    </row>
    <row r="9183" spans="1:4">
      <c r="A9183">
        <v>1.009018</v>
      </c>
      <c r="B9183">
        <v>3.2579539999999998</v>
      </c>
      <c r="C9183">
        <f>LOG10(1.009018)</f>
        <v>3.8989137403266983E-3</v>
      </c>
      <c r="D9183">
        <f>LOG10(3.257954)</f>
        <v>0.51294494808568847</v>
      </c>
    </row>
    <row r="9184" spans="1:4">
      <c r="A9184">
        <v>1.0070049999999999</v>
      </c>
      <c r="B9184">
        <v>3.1888559999999999</v>
      </c>
      <c r="C9184">
        <f>LOG10(1.007005)</f>
        <v>3.0316269260296839E-3</v>
      </c>
      <c r="D9184">
        <f>LOG10(3.188856)</f>
        <v>0.50363490813684308</v>
      </c>
    </row>
    <row r="9185" spans="1:4">
      <c r="A9185">
        <v>1.0048779999999999</v>
      </c>
      <c r="B9185">
        <v>3.3832979999999999</v>
      </c>
      <c r="C9185">
        <f>LOG10(1.004878)</f>
        <v>2.1133382311421594E-3</v>
      </c>
      <c r="D9185">
        <f>LOG10(3.383298)</f>
        <v>0.52934025201671564</v>
      </c>
    </row>
    <row r="9186" spans="1:4">
      <c r="A9186">
        <v>1.0041979999999999</v>
      </c>
      <c r="B9186">
        <v>3.3364289999999999</v>
      </c>
      <c r="C9186">
        <f>LOG10(1.004198)</f>
        <v>1.8193520813187497E-3</v>
      </c>
      <c r="D9186">
        <f>LOG10(3.336429)</f>
        <v>0.52328188739560166</v>
      </c>
    </row>
    <row r="9187" spans="1:4">
      <c r="A9187">
        <v>1.00702</v>
      </c>
      <c r="B9187">
        <v>3.1565629999999998</v>
      </c>
      <c r="C9187">
        <f>LOG10(1.00702)</f>
        <v>3.0380959790242711E-3</v>
      </c>
      <c r="D9187">
        <f>LOG10(3.156563)</f>
        <v>0.49921446158015431</v>
      </c>
    </row>
    <row r="9188" spans="1:4">
      <c r="A9188">
        <v>1.0121519999999999</v>
      </c>
      <c r="B9188">
        <v>3.2351770000000002</v>
      </c>
      <c r="C9188">
        <f>LOG10(1.012152)</f>
        <v>5.2457376068094797E-3</v>
      </c>
      <c r="D9188">
        <f>LOG10(3.235177)</f>
        <v>0.50989804637115976</v>
      </c>
    </row>
    <row r="9189" spans="1:4">
      <c r="A9189">
        <v>1.008173</v>
      </c>
      <c r="B9189">
        <v>3.2745320000000002</v>
      </c>
      <c r="C9189">
        <f>LOG10(1.008173)</f>
        <v>3.5350623661398704E-3</v>
      </c>
      <c r="D9189">
        <f>LOG10(3.274532)</f>
        <v>0.51514923888010988</v>
      </c>
    </row>
    <row r="9190" spans="1:4">
      <c r="A9190">
        <v>1.011001</v>
      </c>
      <c r="B9190">
        <v>3.1898240000000002</v>
      </c>
      <c r="C9190">
        <f>LOG10(1.011001)</f>
        <v>4.7515851600091101E-3</v>
      </c>
      <c r="D9190">
        <f>LOG10(3.189824)</f>
        <v>0.50376672132129807</v>
      </c>
    </row>
    <row r="9191" spans="1:4">
      <c r="A9191">
        <v>1.003636</v>
      </c>
      <c r="B9191">
        <v>3.1046649999999998</v>
      </c>
      <c r="C9191">
        <f>LOG10(1.003636)</f>
        <v>1.5762308818533851E-3</v>
      </c>
      <c r="D9191">
        <f>LOG10(3.104665)</f>
        <v>0.492014745736295</v>
      </c>
    </row>
    <row r="9192" spans="1:4">
      <c r="A9192">
        <v>1.0053300000000001</v>
      </c>
      <c r="B9192">
        <v>3.1073740000000001</v>
      </c>
      <c r="C9192">
        <f>LOG10(1.00533)</f>
        <v>2.3086425072454848E-3</v>
      </c>
      <c r="D9192">
        <f>LOG10(3.107374)</f>
        <v>0.49239352759070898</v>
      </c>
    </row>
    <row r="9193" spans="1:4">
      <c r="A9193">
        <v>1.001436</v>
      </c>
      <c r="B9193">
        <v>3.0686369999999998</v>
      </c>
      <c r="C9193">
        <f>LOG10(1.001436)</f>
        <v>6.2319952576818057E-4</v>
      </c>
      <c r="D9193">
        <f>LOG10(3.068637)</f>
        <v>0.48694551722915463</v>
      </c>
    </row>
    <row r="9194" spans="1:4">
      <c r="A9194">
        <v>1.0083150000000001</v>
      </c>
      <c r="B9194">
        <v>3.124933</v>
      </c>
      <c r="C9194">
        <f>LOG10(1.008315)</f>
        <v>3.596227933732871E-3</v>
      </c>
      <c r="D9194">
        <f>LOG10(3.124933)</f>
        <v>0.49484071030658372</v>
      </c>
    </row>
    <row r="9195" spans="1:4">
      <c r="A9195">
        <v>1.0023740000000001</v>
      </c>
      <c r="B9195">
        <v>3.102976</v>
      </c>
      <c r="C9195">
        <f>LOG10(1.002374)</f>
        <v>1.0297932185636051E-3</v>
      </c>
      <c r="D9195">
        <f>LOG10(3.102976)</f>
        <v>0.49177841654198906</v>
      </c>
    </row>
    <row r="9196" spans="1:4">
      <c r="A9196">
        <v>1.0096940000000001</v>
      </c>
      <c r="B9196">
        <v>3.130665</v>
      </c>
      <c r="C9196">
        <f>LOG10(1.009694)</f>
        <v>4.1897755182726216E-3</v>
      </c>
      <c r="D9196">
        <f>LOG10(3.130665)</f>
        <v>0.4956365979793424</v>
      </c>
    </row>
    <row r="9197" spans="1:4">
      <c r="A9197">
        <v>1.030411</v>
      </c>
      <c r="B9197">
        <v>2.9742999999999999</v>
      </c>
      <c r="C9197">
        <f>LOG10(1.030411)</f>
        <v>1.3010486286895145E-2</v>
      </c>
      <c r="D9197">
        <f>LOG10(2.9743)</f>
        <v>0.47338477110377125</v>
      </c>
    </row>
    <row r="9198" spans="1:4">
      <c r="A9198">
        <v>1.0567310000000001</v>
      </c>
      <c r="B9198">
        <v>3.0032049999999999</v>
      </c>
      <c r="C9198">
        <f>LOG10(1.056731)</f>
        <v>2.3964447966079015E-2</v>
      </c>
      <c r="D9198">
        <f>LOG10(3.003205)</f>
        <v>0.47758497832954927</v>
      </c>
    </row>
    <row r="9199" spans="1:4">
      <c r="A9199">
        <v>1.0363180000000001</v>
      </c>
      <c r="B9199">
        <v>2.9598260000000001</v>
      </c>
      <c r="C9199">
        <f>LOG10(1.036318)</f>
        <v>1.549304156156079E-2</v>
      </c>
      <c r="D9199">
        <f>LOG10(2.959826)</f>
        <v>0.47126618083562699</v>
      </c>
    </row>
    <row r="9200" spans="1:4">
      <c r="A9200">
        <v>1.0343309999999999</v>
      </c>
      <c r="B9200">
        <v>3.0263740000000001</v>
      </c>
      <c r="C9200">
        <f>LOG10(1.034331)</f>
        <v>1.4659541146552121E-2</v>
      </c>
      <c r="D9200">
        <f>LOG10(3.026374)</f>
        <v>0.48092259721641067</v>
      </c>
    </row>
    <row r="9201" spans="1:4">
      <c r="A9201">
        <v>1.018564</v>
      </c>
      <c r="B9201">
        <v>3.0268549999999999</v>
      </c>
      <c r="C9201">
        <f>LOG10(1.018564)</f>
        <v>7.9883224609732743E-3</v>
      </c>
      <c r="D9201">
        <f>LOG10(3.026855)</f>
        <v>0.48099161679133012</v>
      </c>
    </row>
    <row r="9202" spans="1:4">
      <c r="A9202">
        <v>1.003533</v>
      </c>
      <c r="B9202">
        <v>3.1900439999999999</v>
      </c>
      <c r="C9202">
        <f>LOG10(1.003533)</f>
        <v>1.5316583205241851E-3</v>
      </c>
      <c r="D9202">
        <f>LOG10(3.190044)</f>
        <v>0.50379667328458522</v>
      </c>
    </row>
    <row r="9203" spans="1:4">
      <c r="A9203">
        <v>1.0526169999999999</v>
      </c>
      <c r="B9203">
        <v>3.0669300000000002</v>
      </c>
      <c r="C9203">
        <f>LOG10(1.052617)</f>
        <v>2.2270379690923728E-2</v>
      </c>
      <c r="D9203">
        <f>LOG10(3.06693)</f>
        <v>0.48670386370316882</v>
      </c>
    </row>
    <row r="9204" spans="1:4">
      <c r="A9204">
        <v>1.0014369999999999</v>
      </c>
      <c r="B9204">
        <v>3.077725</v>
      </c>
      <c r="C9204">
        <f>LOG10(1.001437)</f>
        <v>6.2363319728092007E-4</v>
      </c>
      <c r="D9204">
        <f>LOG10(3.077725)</f>
        <v>0.48822981227322276</v>
      </c>
    </row>
    <row r="9205" spans="1:4">
      <c r="A9205">
        <v>1.0067710000000001</v>
      </c>
      <c r="B9205">
        <v>2.9673069999999999</v>
      </c>
      <c r="C9205">
        <f>LOG10(1.006771)</f>
        <v>2.930697220617875E-3</v>
      </c>
      <c r="D9205">
        <f>LOG10(2.967307)</f>
        <v>0.47236248110234019</v>
      </c>
    </row>
    <row r="9206" spans="1:4">
      <c r="A9206">
        <v>1.003906</v>
      </c>
      <c r="B9206">
        <v>3.0358309999999999</v>
      </c>
      <c r="C9206">
        <f>LOG10(1.003906)</f>
        <v>1.6930498682764675E-3</v>
      </c>
      <c r="D9206">
        <f>LOG10(3.035831)</f>
        <v>0.48227759139659226</v>
      </c>
    </row>
    <row r="9207" spans="1:4">
      <c r="A9207">
        <v>1.00197</v>
      </c>
      <c r="B9207">
        <v>3.0581269999999998</v>
      </c>
      <c r="C9207">
        <f>LOG10(1.00197)</f>
        <v>8.5471850777041466E-4</v>
      </c>
      <c r="D9207">
        <f>LOG10(3.058127)</f>
        <v>0.48545551713055907</v>
      </c>
    </row>
    <row r="9208" spans="1:4">
      <c r="A9208">
        <v>1.0040709999999999</v>
      </c>
      <c r="B9208">
        <v>3.069585</v>
      </c>
      <c r="C9208">
        <f>LOG10(1.004071)</f>
        <v>1.7644237830925337E-3</v>
      </c>
      <c r="D9208">
        <f>LOG10(3.069585)</f>
        <v>0.48707966394855245</v>
      </c>
    </row>
    <row r="9209" spans="1:4">
      <c r="A9209">
        <v>1.004785</v>
      </c>
      <c r="B9209">
        <v>3.0803470000000002</v>
      </c>
      <c r="C9209">
        <f>LOG10(1.004785)</f>
        <v>2.0731430473269726E-3</v>
      </c>
      <c r="D9209">
        <f>LOG10(3.080347)</f>
        <v>0.48859964237600934</v>
      </c>
    </row>
    <row r="9210" spans="1:4">
      <c r="A9210">
        <v>1.0056400000000001</v>
      </c>
      <c r="B9210">
        <v>3.1453890000000002</v>
      </c>
      <c r="C9210">
        <f>LOG10(1.00564)</f>
        <v>2.4425393733911393E-3</v>
      </c>
      <c r="D9210">
        <f>LOG10(3.145389)</f>
        <v>0.49767436364657519</v>
      </c>
    </row>
    <row r="9211" spans="1:4">
      <c r="A9211">
        <v>1.0037739999999999</v>
      </c>
      <c r="B9211">
        <v>2.8351459999999999</v>
      </c>
      <c r="C9211">
        <f>LOG10(1.003774)</f>
        <v>1.6359422896844197E-3</v>
      </c>
      <c r="D9211">
        <f>LOG10(2.835146)</f>
        <v>0.45257542843587839</v>
      </c>
    </row>
    <row r="9212" spans="1:4">
      <c r="A9212">
        <v>1.0048379999999999</v>
      </c>
      <c r="B9212">
        <v>2.8917109999999999</v>
      </c>
      <c r="C9212">
        <f>LOG10(1.004838)</f>
        <v>2.0960504359726516E-3</v>
      </c>
      <c r="D9212">
        <f>LOG10(2.891711)</f>
        <v>0.46115488703988489</v>
      </c>
    </row>
    <row r="9213" spans="1:4">
      <c r="A9213">
        <v>1.003752</v>
      </c>
      <c r="B9213">
        <v>3.0685500000000001</v>
      </c>
      <c r="C9213">
        <f>LOG10(1.003752)</f>
        <v>1.6264236297993278E-3</v>
      </c>
      <c r="D9213">
        <f>LOG10(3.06855)</f>
        <v>0.48693320421997693</v>
      </c>
    </row>
    <row r="9214" spans="1:4">
      <c r="A9214">
        <v>1.008799</v>
      </c>
      <c r="B9214">
        <v>3.0708630000000001</v>
      </c>
      <c r="C9214">
        <f>LOG10(1.008799)</f>
        <v>3.8046430587829823E-3</v>
      </c>
      <c r="D9214">
        <f>LOG10(3.070863)</f>
        <v>0.4872604417536528</v>
      </c>
    </row>
    <row r="9215" spans="1:4">
      <c r="A9215">
        <v>1.0026649999999999</v>
      </c>
      <c r="B9215">
        <v>3.1661890000000001</v>
      </c>
      <c r="C9215">
        <f>LOG10(1.002665)</f>
        <v>1.1558553002698668E-3</v>
      </c>
      <c r="D9215">
        <f>LOG10(3.166189)</f>
        <v>0.50053683573390884</v>
      </c>
    </row>
    <row r="9216" spans="1:4">
      <c r="A9216">
        <v>1.0075190000000001</v>
      </c>
      <c r="B9216">
        <v>3.0761409999999998</v>
      </c>
      <c r="C9216">
        <f>LOG10(1.007519)</f>
        <v>3.2532449048101441E-3</v>
      </c>
      <c r="D9216">
        <f>LOG10(3.076141)</f>
        <v>0.48800623819002775</v>
      </c>
    </row>
    <row r="9217" spans="1:4">
      <c r="A9217">
        <v>1.0039419999999999</v>
      </c>
      <c r="B9217">
        <v>3.1768550000000002</v>
      </c>
      <c r="C9217">
        <f>LOG10(1.003942)</f>
        <v>1.708623359248055E-3</v>
      </c>
      <c r="D9217">
        <f>LOG10(3.176855)</f>
        <v>0.50199739293952594</v>
      </c>
    </row>
    <row r="9218" spans="1:4">
      <c r="A9218">
        <v>1.011547</v>
      </c>
      <c r="B9218">
        <v>3.0256379999999998</v>
      </c>
      <c r="C9218">
        <f>LOG10(1.011547)</f>
        <v>4.9860664112619107E-3</v>
      </c>
      <c r="D9218">
        <f>LOG10(3.025638)</f>
        <v>0.48081696598492712</v>
      </c>
    </row>
    <row r="9219" spans="1:4">
      <c r="A9219">
        <v>1.0046790000000001</v>
      </c>
      <c r="B9219">
        <v>2.9440309999999998</v>
      </c>
      <c r="C9219">
        <f>LOG10(1.004679)</f>
        <v>2.0273246448829206E-3</v>
      </c>
      <c r="D9219">
        <f>LOG10(2.944031)</f>
        <v>0.46894237871507294</v>
      </c>
    </row>
    <row r="9220" spans="1:4">
      <c r="A9220">
        <v>1.003617</v>
      </c>
      <c r="B9220">
        <v>2.9759859999999998</v>
      </c>
      <c r="C9220">
        <f>LOG10(1.003617)</f>
        <v>1.568009102978072E-3</v>
      </c>
      <c r="D9220">
        <f>LOG10(2.975986)</f>
        <v>0.47363088381703727</v>
      </c>
    </row>
    <row r="9221" spans="1:4">
      <c r="A9221">
        <v>1.004391</v>
      </c>
      <c r="B9221">
        <v>3.063615</v>
      </c>
      <c r="C9221">
        <f>LOG10(1.004391)</f>
        <v>1.9028124958339497E-3</v>
      </c>
      <c r="D9221">
        <f>LOG10(3.063615)</f>
        <v>0.48623418723954998</v>
      </c>
    </row>
    <row r="9222" spans="1:4">
      <c r="A9222">
        <v>1.005746</v>
      </c>
      <c r="B9222">
        <v>2.9943740000000001</v>
      </c>
      <c r="C9222">
        <f>LOG10(1.005746)</f>
        <v>2.4883139936026115E-3</v>
      </c>
      <c r="D9222">
        <f>LOG10(2.994374)</f>
        <v>0.47630604316542513</v>
      </c>
    </row>
    <row r="9223" spans="1:4">
      <c r="A9223">
        <v>1.0014719999999999</v>
      </c>
      <c r="B9223">
        <v>3.04636</v>
      </c>
      <c r="C9223">
        <f>LOG10(1.001472)</f>
        <v>6.3881142741335664E-4</v>
      </c>
      <c r="D9223">
        <f>LOG10(3.04636)</f>
        <v>0.48378122427090964</v>
      </c>
    </row>
    <row r="9224" spans="1:4">
      <c r="A9224">
        <v>1.0050140000000001</v>
      </c>
      <c r="B9224">
        <v>3.0683549999999999</v>
      </c>
      <c r="C9224">
        <f>LOG10(1.005014)</f>
        <v>2.1721115877494247E-3</v>
      </c>
      <c r="D9224">
        <f>LOG10(3.068355)</f>
        <v>0.48690560482777528</v>
      </c>
    </row>
    <row r="9225" spans="1:4">
      <c r="A9225">
        <v>1.005844</v>
      </c>
      <c r="B9225">
        <v>3.071043</v>
      </c>
      <c r="C9225">
        <f>LOG10(1.005844)</f>
        <v>2.5306296337282439E-3</v>
      </c>
      <c r="D9225">
        <f>LOG10(3.071043)</f>
        <v>0.48728589737175082</v>
      </c>
    </row>
    <row r="9226" spans="1:4">
      <c r="A9226">
        <v>1.015007</v>
      </c>
      <c r="B9226">
        <v>2.9978760000000002</v>
      </c>
      <c r="C9226">
        <f>LOG10(1.015007)</f>
        <v>6.4690373732616711E-3</v>
      </c>
      <c r="D9226">
        <f>LOG10(2.997876)</f>
        <v>0.47681366532697678</v>
      </c>
    </row>
    <row r="9227" spans="1:4">
      <c r="A9227">
        <v>1.0093099999999999</v>
      </c>
      <c r="B9227">
        <v>2.962164</v>
      </c>
      <c r="C9227">
        <f>LOG10(1.00931)</f>
        <v>4.0245761595177291E-3</v>
      </c>
      <c r="D9227">
        <f>LOG10(2.962164)</f>
        <v>0.4716090995340525</v>
      </c>
    </row>
    <row r="9228" spans="1:4">
      <c r="A9228">
        <v>1.0026949999999999</v>
      </c>
      <c r="B9228">
        <v>3.0345719999999998</v>
      </c>
      <c r="C9228">
        <f>LOG10(1.002695)</f>
        <v>1.1688493107797587E-3</v>
      </c>
      <c r="D9228">
        <f>LOG10(3.034572)</f>
        <v>0.48209744626930634</v>
      </c>
    </row>
    <row r="9229" spans="1:4">
      <c r="A9229">
        <v>1.008121</v>
      </c>
      <c r="B9229">
        <v>3.0866669999999998</v>
      </c>
      <c r="C9229">
        <f>LOG10(1.008121)</f>
        <v>3.5126615525046066E-3</v>
      </c>
      <c r="D9229">
        <f>LOG10(3.086667)</f>
        <v>0.48948977886232137</v>
      </c>
    </row>
    <row r="9230" spans="1:4">
      <c r="A9230">
        <v>1.003333</v>
      </c>
      <c r="B9230">
        <v>2.929986</v>
      </c>
      <c r="C9230">
        <f>LOG10(1.003333)</f>
        <v>1.4450965902759346E-3</v>
      </c>
      <c r="D9230">
        <f>LOG10(2.929986)</f>
        <v>0.46686554522193452</v>
      </c>
    </row>
    <row r="9231" spans="1:4">
      <c r="A9231">
        <v>1.004054</v>
      </c>
      <c r="B9231">
        <v>3.10297</v>
      </c>
      <c r="C9231">
        <f>LOG10(1.004054)</f>
        <v>1.7570706490072524E-3</v>
      </c>
      <c r="D9231">
        <f>LOG10(3.10297)</f>
        <v>0.49177757677738543</v>
      </c>
    </row>
    <row r="9232" spans="1:4">
      <c r="A9232">
        <v>1.003844</v>
      </c>
      <c r="B9232">
        <v>3.1586690000000002</v>
      </c>
      <c r="C9232">
        <f>LOG10(1.003844)</f>
        <v>1.666227546885295E-3</v>
      </c>
      <c r="D9232">
        <f>LOG10(3.158669)</f>
        <v>0.49950411814789181</v>
      </c>
    </row>
    <row r="9233" spans="1:4">
      <c r="A9233">
        <v>1.009539</v>
      </c>
      <c r="B9233">
        <v>3.0724629999999999</v>
      </c>
      <c r="C9233">
        <f>LOG10(1.009539)</f>
        <v>4.1231010484840671E-3</v>
      </c>
      <c r="D9233">
        <f>LOG10(3.072463)</f>
        <v>0.48748666161786208</v>
      </c>
    </row>
    <row r="9234" spans="1:4">
      <c r="A9234">
        <v>1.0026040000000001</v>
      </c>
      <c r="B9234">
        <v>3.0555180000000002</v>
      </c>
      <c r="C9234">
        <f>LOG10(1.002604)</f>
        <v>1.1294329465565125E-3</v>
      </c>
      <c r="D9234">
        <f>LOG10(3.055518)</f>
        <v>0.48508484648413813</v>
      </c>
    </row>
    <row r="9235" spans="1:4">
      <c r="A9235">
        <v>1.0051859999999999</v>
      </c>
      <c r="B9235">
        <v>2.9770460000000001</v>
      </c>
      <c r="C9235">
        <f>LOG10(1.005186)</f>
        <v>2.2464312087518944E-3</v>
      </c>
      <c r="D9235">
        <f>LOG10(2.977046)</f>
        <v>0.47378554522510052</v>
      </c>
    </row>
    <row r="9236" spans="1:4">
      <c r="A9236">
        <v>1.0036620000000001</v>
      </c>
      <c r="B9236">
        <v>3.1326000000000001</v>
      </c>
      <c r="C9236">
        <f>LOG10(1.003662)</f>
        <v>1.5874814849328994E-3</v>
      </c>
      <c r="D9236">
        <f>LOG10(3.1326)</f>
        <v>0.49590494359435922</v>
      </c>
    </row>
    <row r="9237" spans="1:4">
      <c r="A9237">
        <v>1.0057309999999999</v>
      </c>
      <c r="B9237">
        <v>3.0970040000000001</v>
      </c>
      <c r="C9237">
        <f>LOG10(1.005731)</f>
        <v>2.4818367460589289E-3</v>
      </c>
      <c r="D9237">
        <f>LOG10(3.097004)</f>
        <v>0.4909417662792297</v>
      </c>
    </row>
    <row r="9238" spans="1:4">
      <c r="A9238">
        <v>1.0047250000000001</v>
      </c>
      <c r="B9238">
        <v>3.1291150000000001</v>
      </c>
      <c r="C9238">
        <f>LOG10(1.004725)</f>
        <v>2.0472086962444536E-3</v>
      </c>
      <c r="D9238">
        <f>LOG10(3.129115)</f>
        <v>0.49542152445896065</v>
      </c>
    </row>
    <row r="9239" spans="1:4">
      <c r="A9239">
        <v>1.0092479999999999</v>
      </c>
      <c r="B9239">
        <v>3.2015630000000002</v>
      </c>
      <c r="C9239">
        <f>LOG10(1.009248)</f>
        <v>3.9978974533458264E-3</v>
      </c>
      <c r="D9239">
        <f>LOG10(3.201563)</f>
        <v>0.50536205224269748</v>
      </c>
    </row>
    <row r="9240" spans="1:4">
      <c r="A9240">
        <v>1.0089969999999999</v>
      </c>
      <c r="B9240">
        <v>2.9978940000000001</v>
      </c>
      <c r="C9240">
        <f>LOG10(1.008997)</f>
        <v>3.8898749729039403E-3</v>
      </c>
      <c r="D9240">
        <f>LOG10(2.997894)</f>
        <v>0.47681627293222989</v>
      </c>
    </row>
    <row r="9241" spans="1:4">
      <c r="A9241">
        <v>1.0074989999999999</v>
      </c>
      <c r="B9241">
        <v>3.0459559999999999</v>
      </c>
      <c r="C9241">
        <f>LOG10(1.007499)</f>
        <v>3.2446237514125991E-3</v>
      </c>
      <c r="D9241">
        <f>LOG10(3.045956)</f>
        <v>0.48372362549535497</v>
      </c>
    </row>
    <row r="9242" spans="1:4">
      <c r="A9242">
        <v>1.0033639999999999</v>
      </c>
      <c r="B9242">
        <v>3.1710400000000001</v>
      </c>
      <c r="C9242">
        <f>LOG10(1.003364)</f>
        <v>1.4585147883796094E-3</v>
      </c>
      <c r="D9242">
        <f>LOG10(3.17104)</f>
        <v>0.50120172032091104</v>
      </c>
    </row>
    <row r="9243" spans="1:4">
      <c r="A9243">
        <v>1.0057640000000001</v>
      </c>
      <c r="B9243">
        <v>2.996518</v>
      </c>
      <c r="C9243">
        <f>LOG10(1.005764)</f>
        <v>2.4960865631394264E-3</v>
      </c>
      <c r="D9243">
        <f>LOG10(2.996518)</f>
        <v>0.47661689083517184</v>
      </c>
    </row>
    <row r="9244" spans="1:4">
      <c r="A9244">
        <v>1.009706</v>
      </c>
      <c r="B9244">
        <v>3.0362149999999999</v>
      </c>
      <c r="C9244">
        <f>LOG10(1.009706)</f>
        <v>4.1949369858202664E-3</v>
      </c>
      <c r="D9244">
        <f>LOG10(3.036215)</f>
        <v>0.48233252150788364</v>
      </c>
    </row>
    <row r="9245" spans="1:4">
      <c r="A9245">
        <v>1.013307</v>
      </c>
      <c r="B9245">
        <v>3.0957210000000002</v>
      </c>
      <c r="C9245">
        <f>LOG10(1.013307)</f>
        <v>5.7410428003173411E-3</v>
      </c>
      <c r="D9245">
        <f>LOG10(3.095721)</f>
        <v>0.4907618132445789</v>
      </c>
    </row>
    <row r="9246" spans="1:4">
      <c r="A9246">
        <v>1.005366</v>
      </c>
      <c r="B9246">
        <v>3.266642</v>
      </c>
      <c r="C9246">
        <f>LOG10(1.005366)</f>
        <v>2.3241939395357517E-3</v>
      </c>
      <c r="D9246">
        <f>LOG10(3.266642)</f>
        <v>0.51410154159395505</v>
      </c>
    </row>
    <row r="9247" spans="1:4">
      <c r="A9247">
        <v>1.0095860000000001</v>
      </c>
      <c r="B9247">
        <v>3.7703099999999998</v>
      </c>
      <c r="C9247">
        <f>LOG10(1.009586)</f>
        <v>4.1433195497192028E-3</v>
      </c>
      <c r="D9247">
        <f>LOG10(3.77031)</f>
        <v>0.57637705995498512</v>
      </c>
    </row>
    <row r="9248" spans="1:4">
      <c r="A9248">
        <v>1.0950759999999999</v>
      </c>
      <c r="B9248">
        <v>3.8030330000000001</v>
      </c>
      <c r="C9248">
        <f>LOG10(1.095076)</f>
        <v>3.9444260943489393E-2</v>
      </c>
      <c r="D9248">
        <f>LOG10(3.803033)</f>
        <v>0.58013009392478843</v>
      </c>
    </row>
    <row r="9249" spans="1:4">
      <c r="A9249">
        <v>1.01027</v>
      </c>
      <c r="B9249">
        <v>2.8753259999999998</v>
      </c>
      <c r="C9249">
        <f>LOG10(1.01027)</f>
        <v>4.4374567921531913E-3</v>
      </c>
      <c r="D9249">
        <f>LOG10(2.875326)</f>
        <v>0.45868709145164466</v>
      </c>
    </row>
    <row r="9250" spans="1:4">
      <c r="A9250">
        <v>1.0049269999999999</v>
      </c>
      <c r="B9250">
        <v>2.970844</v>
      </c>
      <c r="C9250">
        <f>LOG10(1.004927)</f>
        <v>2.134514842422817E-3</v>
      </c>
      <c r="D9250">
        <f>LOG10(2.970844)</f>
        <v>0.47287984745565609</v>
      </c>
    </row>
    <row r="9251" spans="1:4">
      <c r="A9251">
        <v>1.003898</v>
      </c>
      <c r="B9251">
        <v>2.872662</v>
      </c>
      <c r="C9251">
        <f>LOG10(1.003898)</f>
        <v>1.6895890166642106E-3</v>
      </c>
      <c r="D9251">
        <f>LOG10(2.872662)</f>
        <v>0.45828452951775439</v>
      </c>
    </row>
    <row r="9252" spans="1:4">
      <c r="A9252">
        <v>1.011188</v>
      </c>
      <c r="B9252">
        <v>2.8825340000000002</v>
      </c>
      <c r="C9252">
        <f>LOG10(1.011188)</f>
        <v>4.83190709663064E-3</v>
      </c>
      <c r="D9252">
        <f>LOG10(2.882534)</f>
        <v>0.45977443857742201</v>
      </c>
    </row>
    <row r="9253" spans="1:4">
      <c r="A9253">
        <v>1.005863</v>
      </c>
      <c r="B9253">
        <v>2.9698180000000001</v>
      </c>
      <c r="C9253">
        <f>LOG10(1.005863)</f>
        <v>2.5388332092552996E-3</v>
      </c>
      <c r="D9253">
        <f>LOG10(2.969818)</f>
        <v>0.47272983516986605</v>
      </c>
    </row>
    <row r="9254" spans="1:4">
      <c r="A9254">
        <v>1.0059800000000001</v>
      </c>
      <c r="B9254">
        <v>3.060324</v>
      </c>
      <c r="C9254">
        <f>LOG10(1.00598)</f>
        <v>2.5893465489542993E-3</v>
      </c>
      <c r="D9254">
        <f>LOG10(3.060324)</f>
        <v>0.48576740816891162</v>
      </c>
    </row>
    <row r="9255" spans="1:4">
      <c r="A9255">
        <v>1.0056179999999999</v>
      </c>
      <c r="B9255">
        <v>3.0421580000000001</v>
      </c>
      <c r="C9255">
        <f>LOG10(1.005618)</f>
        <v>2.4330383759036617E-3</v>
      </c>
      <c r="D9255">
        <f>LOG10(3.042158)</f>
        <v>0.48318176617529518</v>
      </c>
    </row>
    <row r="9256" spans="1:4">
      <c r="A9256">
        <v>1.0121899999999999</v>
      </c>
      <c r="B9256">
        <v>3.2126510000000001</v>
      </c>
      <c r="C9256">
        <f>LOG10(1.01219)</f>
        <v>5.2620423520691783E-3</v>
      </c>
      <c r="D9256">
        <f>LOG10(3.212651)</f>
        <v>0.50686354939011957</v>
      </c>
    </row>
    <row r="9257" spans="1:4">
      <c r="A9257">
        <v>1.0077689999999999</v>
      </c>
      <c r="B9257">
        <v>3.0718190000000001</v>
      </c>
      <c r="C9257">
        <f>LOG10(1.007769)</f>
        <v>3.3609948849943096E-3</v>
      </c>
      <c r="D9257">
        <f>LOG10(3.071819)</f>
        <v>0.48739562229142169</v>
      </c>
    </row>
    <row r="9258" spans="1:4">
      <c r="A9258">
        <v>1.0085470000000001</v>
      </c>
      <c r="B9258">
        <v>3.1611250000000002</v>
      </c>
      <c r="C9258">
        <f>LOG10(1.008547)</f>
        <v>3.6961418795020506E-3</v>
      </c>
      <c r="D9258">
        <f>LOG10(3.161125)</f>
        <v>0.49984166943556052</v>
      </c>
    </row>
    <row r="9259" spans="1:4">
      <c r="A9259">
        <v>1.004731</v>
      </c>
      <c r="B9259">
        <v>2.987317</v>
      </c>
      <c r="C9259">
        <f>LOG10(1.004731)</f>
        <v>2.0498022010451617E-3</v>
      </c>
      <c r="D9259">
        <f>LOG10(2.987317)</f>
        <v>0.47528131033294901</v>
      </c>
    </row>
    <row r="9260" spans="1:4">
      <c r="A9260">
        <v>1.0071969999999999</v>
      </c>
      <c r="B9260">
        <v>3.3720859999999999</v>
      </c>
      <c r="C9260">
        <f>LOG10(1.007197)</f>
        <v>3.1144235281360955E-3</v>
      </c>
      <c r="D9260">
        <f>LOG10(3.372086)</f>
        <v>0.52789864212387028</v>
      </c>
    </row>
    <row r="9261" spans="1:4">
      <c r="A9261">
        <v>1.0045949999999999</v>
      </c>
      <c r="B9261">
        <v>3.1042869999999998</v>
      </c>
      <c r="C9261">
        <f>LOG10(1.004595)</f>
        <v>1.9910122887769727E-3</v>
      </c>
      <c r="D9261">
        <f>LOG10(3.104287)</f>
        <v>0.49196186617969279</v>
      </c>
    </row>
    <row r="9262" spans="1:4">
      <c r="A9262">
        <v>1.0038</v>
      </c>
      <c r="B9262">
        <v>3.1434440000000001</v>
      </c>
      <c r="C9262">
        <f>LOG10(1.0038)</f>
        <v>1.6471913460381594E-3</v>
      </c>
      <c r="D9262">
        <f>LOG10(3.143444)</f>
        <v>0.49740572786176912</v>
      </c>
    </row>
    <row r="9263" spans="1:4">
      <c r="A9263">
        <v>1.009423</v>
      </c>
      <c r="B9263">
        <v>3.0532360000000001</v>
      </c>
      <c r="C9263">
        <f>LOG10(1.009423)</f>
        <v>4.0731960379328889E-3</v>
      </c>
      <c r="D9263">
        <f>LOG10(3.053236)</f>
        <v>0.48476037440560832</v>
      </c>
    </row>
    <row r="9264" spans="1:4">
      <c r="A9264">
        <v>1.0221199999999999</v>
      </c>
      <c r="B9264">
        <v>3.1897980000000001</v>
      </c>
      <c r="C9264">
        <f>LOG10(1.02212)</f>
        <v>9.50188628642285E-3</v>
      </c>
      <c r="D9264">
        <f>LOG10(3.189798)</f>
        <v>0.50376318140732523</v>
      </c>
    </row>
    <row r="9265" spans="1:4">
      <c r="A9265">
        <v>1.0080720000000001</v>
      </c>
      <c r="B9265">
        <v>3.0484019999999998</v>
      </c>
      <c r="C9265">
        <f>LOG10(1.008072)</f>
        <v>3.4915520360868486E-3</v>
      </c>
      <c r="D9265">
        <f>LOG10(3.048402)</f>
        <v>0.48407223788726728</v>
      </c>
    </row>
    <row r="9266" spans="1:4">
      <c r="A9266">
        <v>1.0068999999999999</v>
      </c>
      <c r="B9266">
        <v>3.1553059999999999</v>
      </c>
      <c r="C9266">
        <f>LOG10(1.0069)</f>
        <v>2.9863408567849378E-3</v>
      </c>
      <c r="D9266">
        <f>LOG10(3.155306)</f>
        <v>0.49904148328451187</v>
      </c>
    </row>
    <row r="9267" spans="1:4">
      <c r="A9267">
        <v>1.0066329999999999</v>
      </c>
      <c r="B9267">
        <v>3.163046</v>
      </c>
      <c r="C9267">
        <f>LOG10(1.006633)</f>
        <v>2.8711635765041412E-3</v>
      </c>
      <c r="D9267">
        <f>LOG10(3.163046)</f>
        <v>0.50010550788186281</v>
      </c>
    </row>
    <row r="9268" spans="1:4">
      <c r="A9268">
        <v>1.0094479999999999</v>
      </c>
      <c r="B9268">
        <v>3.198766</v>
      </c>
      <c r="C9268">
        <f>LOG10(1.009448)</f>
        <v>4.083951912922535E-3</v>
      </c>
      <c r="D9268">
        <f>LOG10(3.198766)</f>
        <v>0.50498247121078133</v>
      </c>
    </row>
    <row r="9269" spans="1:4">
      <c r="A9269">
        <v>1.008087</v>
      </c>
      <c r="B9269">
        <v>3.0837089999999998</v>
      </c>
      <c r="C9269">
        <f>LOG10(1.008087)</f>
        <v>3.4980142419234073E-3</v>
      </c>
      <c r="D9269">
        <f>LOG10(3.083709)</f>
        <v>0.4890733882968587</v>
      </c>
    </row>
    <row r="9270" spans="1:4">
      <c r="A9270">
        <v>1.002939</v>
      </c>
      <c r="B9270">
        <v>3.1810390000000002</v>
      </c>
      <c r="C9270">
        <f>LOG10(1.002939)</f>
        <v>1.2745194919865427E-3</v>
      </c>
      <c r="D9270">
        <f>LOG10(3.181039)</f>
        <v>0.50256899365340735</v>
      </c>
    </row>
    <row r="9271" spans="1:4">
      <c r="A9271">
        <v>1.0090300000000001</v>
      </c>
      <c r="B9271">
        <v>3.2127539999999999</v>
      </c>
      <c r="C9271">
        <f>LOG10(1.00903)</f>
        <v>3.9040786658219827E-3</v>
      </c>
      <c r="D9271">
        <f>LOG10(3.212754)</f>
        <v>0.50687747297365704</v>
      </c>
    </row>
    <row r="9272" spans="1:4">
      <c r="A9272">
        <v>1.009544</v>
      </c>
      <c r="B9272">
        <v>3.191773</v>
      </c>
      <c r="C9272">
        <f>LOG10(1.009544)</f>
        <v>4.1252519976124934E-3</v>
      </c>
      <c r="D9272">
        <f>LOG10(3.191773)</f>
        <v>0.50403199660318954</v>
      </c>
    </row>
    <row r="9273" spans="1:4">
      <c r="A9273">
        <v>1.010392</v>
      </c>
      <c r="B9273">
        <v>3.1634600000000002</v>
      </c>
      <c r="C9273">
        <f>LOG10(1.010392)</f>
        <v>4.489898939188725E-3</v>
      </c>
      <c r="D9273">
        <f>LOG10(3.16346)</f>
        <v>0.50016234744409971</v>
      </c>
    </row>
    <row r="9274" spans="1:4">
      <c r="A9274">
        <v>1.00298</v>
      </c>
      <c r="B9274">
        <v>2.5172949999999998</v>
      </c>
      <c r="C9274">
        <f>LOG10(1.00298)</f>
        <v>1.2922730241685446E-3</v>
      </c>
      <c r="D9274">
        <f>LOG10(2.517295)</f>
        <v>0.40093411319035949</v>
      </c>
    </row>
    <row r="9275" spans="1:4">
      <c r="A9275">
        <v>1.0057339999999999</v>
      </c>
      <c r="B9275">
        <v>3.0961479999999999</v>
      </c>
      <c r="C9275">
        <f>LOG10(1.005734)</f>
        <v>2.483132203296017E-3</v>
      </c>
      <c r="D9275">
        <f>LOG10(3.096148)</f>
        <v>0.49082171236197508</v>
      </c>
    </row>
    <row r="9276" spans="1:4">
      <c r="A9276">
        <v>1.0033780000000001</v>
      </c>
      <c r="B9276">
        <v>3.127103</v>
      </c>
      <c r="C9276">
        <f>LOG10(1.003378)</f>
        <v>1.4645744838928567E-3</v>
      </c>
      <c r="D9276">
        <f>LOG10(3.127103)</f>
        <v>0.49514218619814104</v>
      </c>
    </row>
    <row r="9277" spans="1:4">
      <c r="A9277">
        <v>1.002777</v>
      </c>
      <c r="B9277">
        <v>3.308093</v>
      </c>
      <c r="C9277">
        <f>LOG10(1.002777)</f>
        <v>1.2043642893344055E-3</v>
      </c>
      <c r="D9277">
        <f>LOG10(3.308093)</f>
        <v>0.51957771031795796</v>
      </c>
    </row>
    <row r="9278" spans="1:4">
      <c r="A9278">
        <v>1.0091110000000001</v>
      </c>
      <c r="B9278">
        <v>3.3420839999999998</v>
      </c>
      <c r="C9278">
        <f>LOG10(1.009111)</f>
        <v>3.9389403063644938E-3</v>
      </c>
      <c r="D9278">
        <f>LOG10(3.342084)</f>
        <v>0.52401736125995246</v>
      </c>
    </row>
    <row r="9279" spans="1:4">
      <c r="A9279">
        <v>1.009592</v>
      </c>
      <c r="B9279">
        <v>3.605162</v>
      </c>
      <c r="C9279">
        <f>LOG10(1.009592)</f>
        <v>4.1459005672336621E-3</v>
      </c>
      <c r="D9279">
        <f>LOG10(3.605162)</f>
        <v>0.5569247847628841</v>
      </c>
    </row>
    <row r="9280" spans="1:4">
      <c r="A9280">
        <v>1.0053879999999999</v>
      </c>
      <c r="B9280">
        <v>3.5070079999999999</v>
      </c>
      <c r="C9280">
        <f>LOG10(1.005388)</f>
        <v>2.3336973184694631E-3</v>
      </c>
      <c r="D9280">
        <f>LOG10(3.507008)</f>
        <v>0.54493675657209062</v>
      </c>
    </row>
    <row r="9281" spans="1:4">
      <c r="A9281">
        <v>1.0101439999999999</v>
      </c>
      <c r="B9281">
        <v>3.3016380000000001</v>
      </c>
      <c r="C9281">
        <f>LOG10(1.010144)</f>
        <v>4.3832885822805805E-3</v>
      </c>
      <c r="D9281">
        <f>LOG10(3.301638)</f>
        <v>0.51872945438381945</v>
      </c>
    </row>
    <row r="9282" spans="1:4">
      <c r="A9282">
        <v>1.010535</v>
      </c>
      <c r="B9282">
        <v>3.259792</v>
      </c>
      <c r="C9282">
        <f>LOG10(1.010535)</f>
        <v>4.5513599528877033E-3</v>
      </c>
      <c r="D9282">
        <f>LOG10(3.259792)</f>
        <v>0.51318988959733913</v>
      </c>
    </row>
    <row r="9283" spans="1:4">
      <c r="A9283">
        <v>1.0101629999999999</v>
      </c>
      <c r="B9283">
        <v>3.287261</v>
      </c>
      <c r="C9283">
        <f>LOG10(1.010163)</f>
        <v>4.391457237001275E-3</v>
      </c>
      <c r="D9283">
        <f>LOG10(3.287261)</f>
        <v>0.51683418730638109</v>
      </c>
    </row>
    <row r="9284" spans="1:4">
      <c r="A9284">
        <v>1.012672</v>
      </c>
      <c r="B9284">
        <v>3.289971</v>
      </c>
      <c r="C9284">
        <f>LOG10(1.012672)</f>
        <v>5.4688020662928593E-3</v>
      </c>
      <c r="D9284">
        <f>LOG10(3.289971)</f>
        <v>0.51719206980545052</v>
      </c>
    </row>
    <row r="9285" spans="1:4">
      <c r="A9285">
        <v>1.0066710000000001</v>
      </c>
      <c r="B9285">
        <v>3.3115130000000002</v>
      </c>
      <c r="C9285">
        <f>LOG10(1.006671)</f>
        <v>2.887557713022394E-3</v>
      </c>
      <c r="D9285">
        <f>LOG10(3.311513)</f>
        <v>0.52002646429523758</v>
      </c>
    </row>
    <row r="9286" spans="1:4">
      <c r="A9286">
        <v>1.0187850000000001</v>
      </c>
      <c r="B9286">
        <v>3.3016610000000002</v>
      </c>
      <c r="C9286">
        <f>LOG10(1.018785)</f>
        <v>8.0825420383525866E-3</v>
      </c>
      <c r="D9286">
        <f>LOG10(3.301661)</f>
        <v>0.51873247977251802</v>
      </c>
    </row>
    <row r="9287" spans="1:4">
      <c r="A9287">
        <v>1.00051</v>
      </c>
      <c r="B9287">
        <v>3.595599</v>
      </c>
      <c r="C9287">
        <f>LOG10(1.00051)</f>
        <v>2.2143372496914832E-4</v>
      </c>
      <c r="D9287">
        <f>LOG10(3.595599)</f>
        <v>0.55577125097051883</v>
      </c>
    </row>
    <row r="9288" spans="1:4">
      <c r="A9288">
        <v>1.0140560000000001</v>
      </c>
      <c r="B9288">
        <v>3.1458819999999998</v>
      </c>
      <c r="C9288">
        <f>LOG10(1.014056)</f>
        <v>6.0619390401570068E-3</v>
      </c>
      <c r="D9288">
        <f>LOG10(3.145882)</f>
        <v>0.49774242848753225</v>
      </c>
    </row>
    <row r="9289" spans="1:4">
      <c r="A9289">
        <v>1.0200640000000001</v>
      </c>
      <c r="B9289">
        <v>3.6979359999999999</v>
      </c>
      <c r="C9289">
        <f>LOG10(1.020064)</f>
        <v>8.6274207569010143E-3</v>
      </c>
      <c r="D9289">
        <f>LOG10(3.697936)</f>
        <v>0.56795939057454348</v>
      </c>
    </row>
    <row r="9290" spans="1:4">
      <c r="A9290">
        <v>1.0152380000000001</v>
      </c>
      <c r="B9290">
        <v>3.462663</v>
      </c>
      <c r="C9290">
        <f>LOG10(1.015238)</f>
        <v>6.5678648800429765E-3</v>
      </c>
      <c r="D9290">
        <f>LOG10(3.462663)</f>
        <v>0.53941022635679503</v>
      </c>
    </row>
    <row r="9291" spans="1:4">
      <c r="A9291">
        <v>1.003174</v>
      </c>
      <c r="B9291">
        <v>3.6853820000000002</v>
      </c>
      <c r="C9291">
        <f>LOG10(1.003174)</f>
        <v>1.376267702295817E-3</v>
      </c>
      <c r="D9291">
        <f>LOG10(3.685382)</f>
        <v>0.56648251034806041</v>
      </c>
    </row>
    <row r="9292" spans="1:4">
      <c r="A9292">
        <v>1.0145679999999999</v>
      </c>
      <c r="B9292">
        <v>3.740729</v>
      </c>
      <c r="C9292">
        <f>LOG10(1.014568)</f>
        <v>6.2811603245899895E-3</v>
      </c>
      <c r="D9292">
        <f>LOG10(3.740729)</f>
        <v>0.57295624653883537</v>
      </c>
    </row>
    <row r="9293" spans="1:4">
      <c r="A9293">
        <v>1.0135080000000001</v>
      </c>
      <c r="B9293">
        <v>3.3929119999999999</v>
      </c>
      <c r="C9293">
        <f>LOG10(1.013508)</f>
        <v>5.8271810923161416E-3</v>
      </c>
      <c r="D9293">
        <f>LOG10(3.392912)</f>
        <v>0.53057259574590721</v>
      </c>
    </row>
    <row r="9294" spans="1:4">
      <c r="A9294">
        <v>1.0158290000000001</v>
      </c>
      <c r="B9294">
        <v>3.4998</v>
      </c>
      <c r="C9294">
        <f>LOG10(1.015829)</f>
        <v>6.8206069570387641E-3</v>
      </c>
      <c r="D9294">
        <f>LOG10(3.4998)</f>
        <v>0.54404322681365913</v>
      </c>
    </row>
    <row r="9295" spans="1:4">
      <c r="A9295">
        <v>1.0018959999999999</v>
      </c>
      <c r="B9295">
        <v>3.5223119999999999</v>
      </c>
      <c r="C9295">
        <f>LOG10(1.001896)</f>
        <v>8.226427185953841E-4</v>
      </c>
      <c r="D9295">
        <f>LOG10(3.522312)</f>
        <v>0.54682782235159033</v>
      </c>
    </row>
    <row r="9296" spans="1:4">
      <c r="A9296">
        <v>1.011144</v>
      </c>
      <c r="B9296">
        <v>3.4024770000000002</v>
      </c>
      <c r="C9296">
        <f>LOG10(1.011144)</f>
        <v>4.8130091538529669E-3</v>
      </c>
      <c r="D9296">
        <f>LOG10(3.402477)</f>
        <v>0.53179519814962817</v>
      </c>
    </row>
    <row r="9297" spans="1:4">
      <c r="A9297">
        <v>1.0194650000000001</v>
      </c>
      <c r="B9297">
        <v>3.5188259999999998</v>
      </c>
      <c r="C9297">
        <f>LOG10(1.019465)</f>
        <v>8.3723202879792697E-3</v>
      </c>
      <c r="D9297">
        <f>LOG10(3.518826)</f>
        <v>0.54639779223781837</v>
      </c>
    </row>
    <row r="9298" spans="1:4">
      <c r="A9298">
        <v>1.0102690000000001</v>
      </c>
      <c r="B9298">
        <v>3.738092</v>
      </c>
      <c r="C9298">
        <f>LOG10(1.010269)</f>
        <v>4.4370269123222474E-3</v>
      </c>
      <c r="D9298">
        <f>LOG10(3.738092)</f>
        <v>0.57264998580703319</v>
      </c>
    </row>
    <row r="9299" spans="1:4">
      <c r="A9299">
        <v>1.0124709999999999</v>
      </c>
      <c r="B9299">
        <v>3.7896359999999998</v>
      </c>
      <c r="C9299">
        <f>LOG10(1.012471)</f>
        <v>5.3825926567358587E-3</v>
      </c>
      <c r="D9299">
        <f>LOG10(3.789636)</f>
        <v>0.57859749736036026</v>
      </c>
    </row>
    <row r="9300" spans="1:4">
      <c r="A9300">
        <v>1.0065470000000001</v>
      </c>
      <c r="B9300">
        <v>3.3756569999999999</v>
      </c>
      <c r="C9300">
        <f>LOG10(1.006547)</f>
        <v>2.8340587717014753E-3</v>
      </c>
      <c r="D9300">
        <f>LOG10(3.375657)</f>
        <v>0.52835831159843649</v>
      </c>
    </row>
    <row r="9301" spans="1:4">
      <c r="A9301">
        <v>1.0061659999999999</v>
      </c>
      <c r="B9301">
        <v>3.2982469999999999</v>
      </c>
      <c r="C9301">
        <f>LOG10(1.006166)</f>
        <v>2.6696377145695172E-3</v>
      </c>
      <c r="D9301">
        <f>LOG10(3.298247)</f>
        <v>0.51828317608723562</v>
      </c>
    </row>
    <row r="9302" spans="1:4">
      <c r="A9302">
        <v>1.001878</v>
      </c>
      <c r="B9302">
        <v>3.8367089999999999</v>
      </c>
      <c r="C9302">
        <f>LOG10(1.001878)</f>
        <v>8.1484014138417731E-4</v>
      </c>
      <c r="D9302">
        <f>LOG10(3.836709)</f>
        <v>0.58395886083844517</v>
      </c>
    </row>
    <row r="9303" spans="1:4">
      <c r="A9303">
        <v>1.006902</v>
      </c>
      <c r="B9303">
        <v>3.5928520000000002</v>
      </c>
      <c r="C9303">
        <f>LOG10(1.006902)</f>
        <v>2.9872034926983313E-3</v>
      </c>
      <c r="D9303">
        <f>LOG10(3.592852)</f>
        <v>0.55543932772311533</v>
      </c>
    </row>
    <row r="9304" spans="1:4">
      <c r="A9304">
        <v>1.0105310000000001</v>
      </c>
      <c r="B9304">
        <v>3.6847539999999999</v>
      </c>
      <c r="C9304">
        <f>LOG10(1.010531)</f>
        <v>4.5496408819344844E-3</v>
      </c>
      <c r="D9304">
        <f>LOG10(3.684754)</f>
        <v>0.56640849897695533</v>
      </c>
    </row>
    <row r="9305" spans="1:4">
      <c r="A9305">
        <v>1.0107870000000001</v>
      </c>
      <c r="B9305">
        <v>3.3493580000000001</v>
      </c>
      <c r="C9305">
        <f>LOG10(1.010787)</f>
        <v>4.6596477071462472E-3</v>
      </c>
      <c r="D9305">
        <f>LOG10(3.349358)</f>
        <v>0.52496157008839872</v>
      </c>
    </row>
    <row r="9306" spans="1:4">
      <c r="A9306">
        <v>1.003007</v>
      </c>
      <c r="B9306">
        <v>3.4478719999999998</v>
      </c>
      <c r="C9306">
        <f>LOG10(1.003007)</f>
        <v>1.3039639783094196E-3</v>
      </c>
      <c r="D9306">
        <f>LOG10(3.447872)</f>
        <v>0.53755113455246162</v>
      </c>
    </row>
    <row r="9307" spans="1:4">
      <c r="A9307">
        <v>1.0050140000000001</v>
      </c>
      <c r="B9307">
        <v>3.4531239999999999</v>
      </c>
      <c r="C9307">
        <f>LOG10(1.005014)</f>
        <v>2.1721115877494247E-3</v>
      </c>
      <c r="D9307">
        <f>LOG10(3.453124)</f>
        <v>0.53821217393266751</v>
      </c>
    </row>
    <row r="9308" spans="1:4">
      <c r="A9308">
        <v>1.0177149999999999</v>
      </c>
      <c r="B9308">
        <v>3.4700880000000001</v>
      </c>
      <c r="C9308">
        <f>LOG10(1.017715)</f>
        <v>7.6261755876800442E-3</v>
      </c>
      <c r="D9308">
        <f>LOG10(3.470088)</f>
        <v>0.5403404884594063</v>
      </c>
    </row>
    <row r="9309" spans="1:4">
      <c r="A9309">
        <v>1.011107</v>
      </c>
      <c r="B9309">
        <v>3.6640100000000002</v>
      </c>
      <c r="C9309">
        <f>LOG10(1.011107)</f>
        <v>4.7971170654502494E-3</v>
      </c>
      <c r="D9309">
        <f>LOG10(3.66401)</f>
        <v>0.56395665029572883</v>
      </c>
    </row>
    <row r="9310" spans="1:4">
      <c r="A9310">
        <v>1.0047379999999999</v>
      </c>
      <c r="B9310">
        <v>3.6497570000000001</v>
      </c>
      <c r="C9310">
        <f>LOG10(1.004738)</f>
        <v>2.0528279370712241E-3</v>
      </c>
      <c r="D9310">
        <f>LOG10(3.649757)</f>
        <v>0.56226395019011177</v>
      </c>
    </row>
    <row r="9311" spans="1:4">
      <c r="A9311">
        <v>1.0067520000000001</v>
      </c>
      <c r="B9311">
        <v>3.5098910000000001</v>
      </c>
      <c r="C9311">
        <f>LOG10(1.006752)</f>
        <v>2.9225010439102805E-3</v>
      </c>
      <c r="D9311">
        <f>LOG10(3.509891)</f>
        <v>0.54529362961865468</v>
      </c>
    </row>
    <row r="9312" spans="1:4">
      <c r="A9312">
        <v>1.015048</v>
      </c>
      <c r="B9312">
        <v>3.4604509999999999</v>
      </c>
      <c r="C9312">
        <f>LOG10(1.015048)</f>
        <v>6.4865798277867317E-3</v>
      </c>
      <c r="D9312">
        <f>LOG10(3.460451)</f>
        <v>0.53913270400871283</v>
      </c>
    </row>
    <row r="9313" spans="1:4">
      <c r="A9313">
        <v>1.0023260000000001</v>
      </c>
      <c r="B9313">
        <v>3.5237829999999999</v>
      </c>
      <c r="C9313">
        <f>LOG10(1.002326)</f>
        <v>1.0089959569929354E-3</v>
      </c>
      <c r="D9313">
        <f>LOG10(3.523783)</f>
        <v>0.54700915603845113</v>
      </c>
    </row>
    <row r="9314" spans="1:4">
      <c r="A9314">
        <v>1.004329</v>
      </c>
      <c r="B9314">
        <v>3.4569019999999999</v>
      </c>
      <c r="C9314">
        <f>LOG10(1.004329)</f>
        <v>1.8760031267963983E-3</v>
      </c>
      <c r="D9314">
        <f>LOG10(3.456902)</f>
        <v>0.53868706786682063</v>
      </c>
    </row>
    <row r="9315" spans="1:4">
      <c r="A9315">
        <v>1.0075289999999999</v>
      </c>
      <c r="B9315">
        <v>3.3531930000000001</v>
      </c>
      <c r="C9315">
        <f>LOG10(1.007529)</f>
        <v>3.2575554173329226E-3</v>
      </c>
      <c r="D9315">
        <f>LOG10(3.353193)</f>
        <v>0.52545855087074589</v>
      </c>
    </row>
    <row r="9316" spans="1:4">
      <c r="A9316">
        <v>1.013414</v>
      </c>
      <c r="B9316">
        <v>3.3642370000000001</v>
      </c>
      <c r="C9316">
        <f>LOG10(1.013414)</f>
        <v>5.7868996396226594E-3</v>
      </c>
      <c r="D9316">
        <f>LOG10(3.364237)</f>
        <v>0.52688658289479695</v>
      </c>
    </row>
    <row r="9317" spans="1:4">
      <c r="A9317">
        <v>1.0092179999999999</v>
      </c>
      <c r="B9317">
        <v>3.1978789999999999</v>
      </c>
      <c r="C9317">
        <f>LOG10(1.009218)</f>
        <v>3.9849878135916304E-3</v>
      </c>
      <c r="D9317">
        <f>LOG10(3.197879)</f>
        <v>0.50486202706922989</v>
      </c>
    </row>
    <row r="9318" spans="1:4">
      <c r="A9318">
        <v>1.005682</v>
      </c>
      <c r="B9318">
        <v>3.2718829999999999</v>
      </c>
      <c r="C9318">
        <f>LOG10(1.005682)</f>
        <v>2.4606770641661955E-3</v>
      </c>
      <c r="D9318">
        <f>LOG10(3.271883)</f>
        <v>0.51479776524290433</v>
      </c>
    </row>
    <row r="9319" spans="1:4">
      <c r="A9319">
        <v>1.0093840000000001</v>
      </c>
      <c r="B9319">
        <v>3.4493900000000002</v>
      </c>
      <c r="C9319">
        <f>LOG10(1.009384)</f>
        <v>4.0564163410165511E-3</v>
      </c>
      <c r="D9319">
        <f>LOG10(3.44939)</f>
        <v>0.53774229998424417</v>
      </c>
    </row>
    <row r="9320" spans="1:4">
      <c r="A9320">
        <v>1.0094650000000001</v>
      </c>
      <c r="B9320">
        <v>3.3907189999999998</v>
      </c>
      <c r="C9320">
        <f>LOG10(1.009465)</f>
        <v>4.0912657557603373E-3</v>
      </c>
      <c r="D9320">
        <f>LOG10(3.390719)</f>
        <v>0.5302917998618174</v>
      </c>
    </row>
    <row r="9321" spans="1:4">
      <c r="A9321">
        <v>1.0021770000000001</v>
      </c>
      <c r="B9321">
        <v>3.3998849999999998</v>
      </c>
      <c r="C9321">
        <f>LOG10(1.002177)</f>
        <v>9.4443144606653996E-4</v>
      </c>
      <c r="D9321">
        <f>LOG10(3.399885)</f>
        <v>0.53146422742164423</v>
      </c>
    </row>
    <row r="9322" spans="1:4">
      <c r="A9322">
        <v>1.002232</v>
      </c>
      <c r="B9322">
        <v>3.4448479999999999</v>
      </c>
      <c r="C9322">
        <f>LOG10(1.002232)</f>
        <v>9.6826510128424992E-4</v>
      </c>
      <c r="D9322">
        <f>LOG10(3.444848)</f>
        <v>0.5371700639163306</v>
      </c>
    </row>
    <row r="9323" spans="1:4">
      <c r="A9323">
        <v>1.012802</v>
      </c>
      <c r="B9323">
        <v>3.2368649999999999</v>
      </c>
      <c r="C9323">
        <f>LOG10(1.012802)</f>
        <v>5.524550283969247E-3</v>
      </c>
      <c r="D9323">
        <f>LOG10(3.236865)</f>
        <v>0.51012458665074234</v>
      </c>
    </row>
    <row r="9324" spans="1:4">
      <c r="A9324">
        <v>1.004051</v>
      </c>
      <c r="B9324">
        <v>3.028645</v>
      </c>
      <c r="C9324">
        <f>LOG10(1.004051)</f>
        <v>1.75577302418614E-3</v>
      </c>
      <c r="D9324">
        <f>LOG10(3.028645)</f>
        <v>0.48124837086456912</v>
      </c>
    </row>
    <row r="9325" spans="1:4">
      <c r="A9325">
        <v>1.0013590000000001</v>
      </c>
      <c r="B9325">
        <v>3.0409160000000002</v>
      </c>
      <c r="C9325">
        <f>LOG10(1.001359)</f>
        <v>5.8980551876998476E-4</v>
      </c>
      <c r="D9325">
        <f>LOG10(3.040916)</f>
        <v>0.48300442368233226</v>
      </c>
    </row>
    <row r="9326" spans="1:4">
      <c r="A9326">
        <v>1.0051319999999999</v>
      </c>
      <c r="B9326">
        <v>3.248786</v>
      </c>
      <c r="C9326">
        <f>LOG10(1.005132)</f>
        <v>2.2230996741106931E-3</v>
      </c>
      <c r="D9326">
        <f>LOG10(3.248786)</f>
        <v>0.5117211049799345</v>
      </c>
    </row>
    <row r="9327" spans="1:4">
      <c r="A9327">
        <v>1.012375</v>
      </c>
      <c r="B9327">
        <v>3.2195309999999999</v>
      </c>
      <c r="C9327">
        <f>LOG10(1.012375)</f>
        <v>5.3414119740628095E-3</v>
      </c>
      <c r="D9327">
        <f>LOG10(3.219531)</f>
        <v>0.50779261115329366</v>
      </c>
    </row>
    <row r="9328" spans="1:4">
      <c r="A9328">
        <v>1.0073240000000001</v>
      </c>
      <c r="B9328">
        <v>3.4306540000000001</v>
      </c>
      <c r="C9328">
        <f>LOG10(1.007324)</f>
        <v>3.1691813581858916E-3</v>
      </c>
      <c r="D9328">
        <f>LOG10(3.430654)</f>
        <v>0.53537691931876519</v>
      </c>
    </row>
    <row r="9329" spans="1:4">
      <c r="A9329">
        <v>1.0101249999999999</v>
      </c>
      <c r="B9329">
        <v>3.2291180000000002</v>
      </c>
      <c r="C9329">
        <f>LOG10(1.010125)</f>
        <v>4.3751197739125844E-3</v>
      </c>
      <c r="D9329">
        <f>LOG10(3.229118)</f>
        <v>0.50908391550725496</v>
      </c>
    </row>
    <row r="9330" spans="1:4">
      <c r="A9330">
        <v>1.0154319999999999</v>
      </c>
      <c r="B9330">
        <v>3.2028850000000002</v>
      </c>
      <c r="C9330">
        <f>LOG10(1.015432)</f>
        <v>6.6508455019514802E-3</v>
      </c>
      <c r="D9330">
        <f>LOG10(3.202885)</f>
        <v>0.50554134554423746</v>
      </c>
    </row>
    <row r="9331" spans="1:4">
      <c r="A9331">
        <v>1.0196799999999999</v>
      </c>
      <c r="B9331">
        <v>3.1606749999999999</v>
      </c>
      <c r="C9331">
        <f>LOG10(1.01968)</f>
        <v>8.4639011357906229E-3</v>
      </c>
      <c r="D9331">
        <f>LOG10(3.160675)</f>
        <v>0.49977984131154946</v>
      </c>
    </row>
    <row r="9332" spans="1:4">
      <c r="A9332">
        <v>1.012408</v>
      </c>
      <c r="B9332">
        <v>3.2264789999999999</v>
      </c>
      <c r="C9332">
        <f>LOG10(1.012408)</f>
        <v>5.3555682741740357E-3</v>
      </c>
      <c r="D9332">
        <f>LOG10(3.226479)</f>
        <v>0.5087288427845974</v>
      </c>
    </row>
    <row r="9333" spans="1:4">
      <c r="A9333">
        <v>1.0164169999999999</v>
      </c>
      <c r="B9333">
        <v>3.2116530000000001</v>
      </c>
      <c r="C9333">
        <f>LOG10(1.016417)</f>
        <v>7.0719201961692386E-3</v>
      </c>
      <c r="D9333">
        <f>LOG10(3.211653)</f>
        <v>0.5067286162062522</v>
      </c>
    </row>
    <row r="9334" spans="1:4">
      <c r="A9334">
        <v>1.0041260000000001</v>
      </c>
      <c r="B9334">
        <v>3.1495289999999998</v>
      </c>
      <c r="C9334">
        <f>LOG10(1.004126)</f>
        <v>1.7882124816223205E-3</v>
      </c>
      <c r="D9334">
        <f>LOG10(3.149529)</f>
        <v>0.49824561156888603</v>
      </c>
    </row>
    <row r="9335" spans="1:4">
      <c r="A9335">
        <v>1.01329</v>
      </c>
      <c r="B9335">
        <v>3.058729</v>
      </c>
      <c r="C9335">
        <f>LOG10(1.01329)</f>
        <v>5.7337566884830696E-3</v>
      </c>
      <c r="D9335">
        <f>LOG10(3.058729)</f>
        <v>0.4855410006792808</v>
      </c>
    </row>
    <row r="9336" spans="1:4">
      <c r="A9336">
        <v>1.005072</v>
      </c>
      <c r="B9336">
        <v>3.1067619999999998</v>
      </c>
      <c r="C9336">
        <f>LOG10(1.005072)</f>
        <v>2.1971742765670497E-3</v>
      </c>
      <c r="D9336">
        <f>LOG10(3.106762)</f>
        <v>0.49230798449226881</v>
      </c>
    </row>
    <row r="9337" spans="1:4">
      <c r="A9337">
        <v>1.0080150000000001</v>
      </c>
      <c r="B9337">
        <v>3.1252</v>
      </c>
      <c r="C9337">
        <f>LOG10(1.008015)</f>
        <v>3.4669947769258402E-3</v>
      </c>
      <c r="D9337">
        <f>LOG10(3.1252)</f>
        <v>0.49487781563753869</v>
      </c>
    </row>
    <row r="9338" spans="1:4">
      <c r="A9338">
        <v>1.011466</v>
      </c>
      <c r="B9338">
        <v>3.0887959999999999</v>
      </c>
      <c r="C9338">
        <f>LOG10(1.011466)</f>
        <v>4.9512887276257096E-3</v>
      </c>
      <c r="D9338">
        <f>LOG10(3.088796)</f>
        <v>0.48978922620371207</v>
      </c>
    </row>
    <row r="9339" spans="1:4">
      <c r="A9339">
        <v>1.014637</v>
      </c>
      <c r="B9339">
        <v>3.0043419999999998</v>
      </c>
      <c r="C9339">
        <f>LOG10(1.014637)</f>
        <v>6.3106953585199427E-3</v>
      </c>
      <c r="D9339">
        <f>LOG10(3.004342)</f>
        <v>0.47774936916388477</v>
      </c>
    </row>
    <row r="9340" spans="1:4">
      <c r="A9340">
        <v>1.007077</v>
      </c>
      <c r="B9340">
        <v>2.8550390000000001</v>
      </c>
      <c r="C9340">
        <f>LOG10(1.007077)</f>
        <v>3.0626775016372168E-3</v>
      </c>
      <c r="D9340">
        <f>LOG10(2.855039)</f>
        <v>0.45561204511045189</v>
      </c>
    </row>
    <row r="9341" spans="1:4">
      <c r="A9341">
        <v>1.0018400000000001</v>
      </c>
      <c r="B9341">
        <v>2.9416030000000002</v>
      </c>
      <c r="C9341">
        <f>LOG10(1.00184)</f>
        <v>7.9836757357344299E-4</v>
      </c>
      <c r="D9341">
        <f>LOG10(2.941603)</f>
        <v>0.46858405977717171</v>
      </c>
    </row>
    <row r="9342" spans="1:4">
      <c r="A9342">
        <v>1.007039</v>
      </c>
      <c r="B9342">
        <v>2.905996</v>
      </c>
      <c r="C9342">
        <f>LOG10(1.007039)</f>
        <v>3.0462899744895509E-3</v>
      </c>
      <c r="D9342">
        <f>LOG10(2.905996)</f>
        <v>0.46329501217152674</v>
      </c>
    </row>
    <row r="9343" spans="1:4">
      <c r="A9343">
        <v>1.0076560000000001</v>
      </c>
      <c r="B9343">
        <v>2.9743210000000002</v>
      </c>
      <c r="C9343">
        <f>LOG10(1.007656)</f>
        <v>3.3122952047716192E-3</v>
      </c>
      <c r="D9343">
        <f>LOG10(2.974321)</f>
        <v>0.47338783742254331</v>
      </c>
    </row>
    <row r="9344" spans="1:4">
      <c r="A9344">
        <v>1.002475</v>
      </c>
      <c r="B9344">
        <v>2.8867069999999999</v>
      </c>
      <c r="C9344">
        <f>LOG10(1.002475)</f>
        <v>1.0735508708449445E-3</v>
      </c>
      <c r="D9344">
        <f>LOG10(2.886707)</f>
        <v>0.46040270534216393</v>
      </c>
    </row>
    <row r="9345" spans="1:4">
      <c r="A9345">
        <v>1.00989</v>
      </c>
      <c r="B9345">
        <v>2.9970059999999998</v>
      </c>
      <c r="C9345">
        <f>LOG10(1.00989)</f>
        <v>4.2740718077265106E-3</v>
      </c>
      <c r="D9345">
        <f>LOG10(2.997006)</f>
        <v>0.47668761240319663</v>
      </c>
    </row>
    <row r="9346" spans="1:4">
      <c r="A9346">
        <v>1.003935</v>
      </c>
      <c r="B9346">
        <v>2.9078529999999998</v>
      </c>
      <c r="C9346">
        <f>LOG10(1.003935)</f>
        <v>1.705595224184724E-3</v>
      </c>
      <c r="D9346">
        <f>LOG10(2.907853)</f>
        <v>0.46357244795643304</v>
      </c>
    </row>
    <row r="9347" spans="1:4">
      <c r="A9347">
        <v>1.0082580000000001</v>
      </c>
      <c r="B9347">
        <v>2.9035519999999999</v>
      </c>
      <c r="C9347">
        <f>LOG10(1.008258)</f>
        <v>3.5716765929432576E-3</v>
      </c>
      <c r="D9347">
        <f>LOG10(2.903552)</f>
        <v>0.46292960826182944</v>
      </c>
    </row>
    <row r="9348" spans="1:4">
      <c r="A9348">
        <v>1.008996</v>
      </c>
      <c r="B9348">
        <v>2.8344740000000002</v>
      </c>
      <c r="C9348">
        <f>LOG10(1.008996)</f>
        <v>3.889444550715293E-3</v>
      </c>
      <c r="D9348">
        <f>LOG10(2.834474)</f>
        <v>0.45247247765850512</v>
      </c>
    </row>
    <row r="9349" spans="1:4">
      <c r="A9349">
        <v>1.0067159999999999</v>
      </c>
      <c r="B9349">
        <v>2.9088599999999998</v>
      </c>
      <c r="C9349">
        <f>LOG10(1.006716)</f>
        <v>2.9069710217293995E-3</v>
      </c>
      <c r="D9349">
        <f>LOG10(2.90886)</f>
        <v>0.46372281966899498</v>
      </c>
    </row>
    <row r="9350" spans="1:4">
      <c r="A9350">
        <v>1.0055529999999999</v>
      </c>
      <c r="B9350">
        <v>2.9331939999999999</v>
      </c>
      <c r="C9350">
        <f>LOG10(1.005553)</f>
        <v>2.4049660326434098E-3</v>
      </c>
      <c r="D9350">
        <f>LOG10(2.933194)</f>
        <v>0.46734078795266176</v>
      </c>
    </row>
    <row r="9351" spans="1:4">
      <c r="A9351">
        <v>1.00911</v>
      </c>
      <c r="B9351">
        <v>2.927244</v>
      </c>
      <c r="C9351">
        <f>LOG10(1.00911)</f>
        <v>3.9385099328008806E-3</v>
      </c>
      <c r="D9351">
        <f>LOG10(2.927244)</f>
        <v>0.46645892449631127</v>
      </c>
    </row>
    <row r="9352" spans="1:4">
      <c r="A9352">
        <v>1.006958</v>
      </c>
      <c r="B9352">
        <v>3.003028</v>
      </c>
      <c r="C9352">
        <f>LOG10(1.006958)</f>
        <v>3.0113566026393149E-3</v>
      </c>
      <c r="D9352">
        <f>LOG10(3.003028)</f>
        <v>0.47755938154590166</v>
      </c>
    </row>
    <row r="9353" spans="1:4">
      <c r="A9353">
        <v>1.0058910000000001</v>
      </c>
      <c r="B9353">
        <v>3.0600719999999999</v>
      </c>
      <c r="C9353">
        <f>LOG10(1.005891)</f>
        <v>2.5509224065370117E-3</v>
      </c>
      <c r="D9353">
        <f>LOG10(3.060072)</f>
        <v>0.48573164505505378</v>
      </c>
    </row>
    <row r="9354" spans="1:4">
      <c r="A9354">
        <v>1.005441</v>
      </c>
      <c r="B9354">
        <v>2.6709930000000002</v>
      </c>
      <c r="C9354">
        <f>LOG10(1.005441)</f>
        <v>2.3565909683484314E-3</v>
      </c>
      <c r="D9354">
        <f>LOG10(2.670993)</f>
        <v>0.42667274984639836</v>
      </c>
    </row>
    <row r="9355" spans="1:4">
      <c r="A9355">
        <v>1.0105500000000001</v>
      </c>
      <c r="B9355">
        <v>2.8972730000000002</v>
      </c>
      <c r="C9355">
        <f>LOG10(1.01055)</f>
        <v>4.5578064083596015E-3</v>
      </c>
      <c r="D9355">
        <f>LOG10(2.897273)</f>
        <v>0.46198941919669323</v>
      </c>
    </row>
    <row r="9356" spans="1:4">
      <c r="A9356">
        <v>1.0054270000000001</v>
      </c>
      <c r="B9356">
        <v>2.9160300000000001</v>
      </c>
      <c r="C9356">
        <f>LOG10(1.005427)</f>
        <v>2.3505437064230083E-3</v>
      </c>
      <c r="D9356">
        <f>LOG10(2.91603)</f>
        <v>0.46479198767317875</v>
      </c>
    </row>
    <row r="9357" spans="1:4">
      <c r="A9357">
        <v>1.008289</v>
      </c>
      <c r="B9357">
        <v>2.9174790000000002</v>
      </c>
      <c r="C9357">
        <f>LOG10(1.008289)</f>
        <v>3.5850292486859846E-3</v>
      </c>
      <c r="D9357">
        <f>LOG10(2.917479)</f>
        <v>0.46500773867903816</v>
      </c>
    </row>
    <row r="9358" spans="1:4">
      <c r="A9358">
        <v>1.0094810000000001</v>
      </c>
      <c r="B9358">
        <v>2.829653</v>
      </c>
      <c r="C9358">
        <f>LOG10(1.009481)</f>
        <v>4.0981492600349482E-3</v>
      </c>
      <c r="D9358">
        <f>LOG10(2.829653)</f>
        <v>0.45173318131050388</v>
      </c>
    </row>
    <row r="9359" spans="1:4">
      <c r="A9359">
        <v>1.0124500000000001</v>
      </c>
      <c r="B9359">
        <v>2.9046050000000001</v>
      </c>
      <c r="C9359">
        <f>LOG10(1.01245)</f>
        <v>5.3735847160604243E-3</v>
      </c>
      <c r="D9359">
        <f>LOG10(2.904605)</f>
        <v>0.46308708062163467</v>
      </c>
    </row>
    <row r="9360" spans="1:4">
      <c r="A9360">
        <v>1.012613</v>
      </c>
      <c r="B9360">
        <v>2.8544010000000002</v>
      </c>
      <c r="C9360">
        <f>LOG10(1.012613)</f>
        <v>5.4434985910392E-3</v>
      </c>
      <c r="D9360">
        <f>LOG10(2.854401)</f>
        <v>0.45551498484513425</v>
      </c>
    </row>
    <row r="9361" spans="1:4">
      <c r="A9361">
        <v>1.0090969999999999</v>
      </c>
      <c r="B9361">
        <v>2.9031539999999998</v>
      </c>
      <c r="C9361">
        <f>LOG10(1.009097)</f>
        <v>3.9329150376639218E-3</v>
      </c>
      <c r="D9361">
        <f>LOG10(2.903154)</f>
        <v>0.46287007392202706</v>
      </c>
    </row>
    <row r="9362" spans="1:4">
      <c r="A9362">
        <v>1.01257</v>
      </c>
      <c r="B9362">
        <v>2.9026200000000002</v>
      </c>
      <c r="C9362">
        <f>LOG10(1.01257)</f>
        <v>5.4250561463567663E-3</v>
      </c>
      <c r="D9362">
        <f>LOG10(2.90262)</f>
        <v>0.46279018336686933</v>
      </c>
    </row>
    <row r="9363" spans="1:4">
      <c r="A9363">
        <v>1.0281450000000001</v>
      </c>
      <c r="B9363">
        <v>2.8211349999999999</v>
      </c>
      <c r="C9363">
        <f>LOG10(1.028145)</f>
        <v>1.2054367829612519E-2</v>
      </c>
      <c r="D9363">
        <f>LOG10(2.821135)</f>
        <v>0.45042386898139514</v>
      </c>
    </row>
    <row r="9364" spans="1:4">
      <c r="A9364">
        <v>1.024918</v>
      </c>
      <c r="B9364">
        <v>2.985026</v>
      </c>
      <c r="C9364">
        <f>LOG10(1.024918)</f>
        <v>1.0689120443404376E-2</v>
      </c>
      <c r="D9364">
        <f>LOG10(2.985026)</f>
        <v>0.47494811824842087</v>
      </c>
    </row>
    <row r="9365" spans="1:4">
      <c r="A9365">
        <v>1.0188600000000001</v>
      </c>
      <c r="B9365">
        <v>2.933659</v>
      </c>
      <c r="C9365">
        <f>LOG10(1.01886)</f>
        <v>8.11451236307301E-3</v>
      </c>
      <c r="D9365">
        <f>LOG10(2.933659)</f>
        <v>0.46740963131195779</v>
      </c>
    </row>
    <row r="9366" spans="1:4">
      <c r="A9366">
        <v>1.0176940000000001</v>
      </c>
      <c r="B9366">
        <v>2.938472</v>
      </c>
      <c r="C9366">
        <f>LOG10(1.017694)</f>
        <v>7.6172140628757252E-3</v>
      </c>
      <c r="D9366">
        <f>LOG10(2.938472)</f>
        <v>0.46812155678142692</v>
      </c>
    </row>
    <row r="9367" spans="1:4">
      <c r="A9367">
        <v>1.0281400000000001</v>
      </c>
      <c r="B9367">
        <v>2.9482650000000001</v>
      </c>
      <c r="C9367">
        <f>LOG10(1.02814)</f>
        <v>1.2052255795133316E-2</v>
      </c>
      <c r="D9367">
        <f>LOG10(2.948265)</f>
        <v>0.46956651679396738</v>
      </c>
    </row>
    <row r="9368" spans="1:4">
      <c r="A9368">
        <v>1.008858</v>
      </c>
      <c r="B9368">
        <v>2.8818830000000002</v>
      </c>
      <c r="C9368">
        <f>LOG10(1.008858)</f>
        <v>3.8300421969314474E-3</v>
      </c>
      <c r="D9368">
        <f>LOG10(2.881883)</f>
        <v>0.45967634515048189</v>
      </c>
    </row>
    <row r="9369" spans="1:4">
      <c r="A9369">
        <v>1.0080359999999999</v>
      </c>
      <c r="B9369">
        <v>2.7716159999999999</v>
      </c>
      <c r="C9369">
        <f>LOG10(1.008036)</f>
        <v>3.4760423497503601E-3</v>
      </c>
      <c r="D9369">
        <f>LOG10(2.771616)</f>
        <v>0.44273305976616778</v>
      </c>
    </row>
    <row r="9370" spans="1:4">
      <c r="A9370">
        <v>1.010718</v>
      </c>
      <c r="B9370">
        <v>2.9769939999999999</v>
      </c>
      <c r="C9370">
        <f>LOG10(1.010718)</f>
        <v>4.6300001729942131E-3</v>
      </c>
      <c r="D9370">
        <f>LOG10(2.976994)</f>
        <v>0.47377795934624867</v>
      </c>
    </row>
    <row r="9371" spans="1:4">
      <c r="A9371">
        <v>1.010116</v>
      </c>
      <c r="B9371">
        <v>2.830422</v>
      </c>
      <c r="C9371">
        <f>LOG10(1.010116)</f>
        <v>4.3712502847406262E-3</v>
      </c>
      <c r="D9371">
        <f>LOG10(2.830422)</f>
        <v>0.45185119121625195</v>
      </c>
    </row>
    <row r="9372" spans="1:4">
      <c r="A9372">
        <v>1.008478</v>
      </c>
      <c r="B9372">
        <v>2.8614730000000002</v>
      </c>
      <c r="C9372">
        <f>LOG10(1.008478)</f>
        <v>3.6664284954209848E-3</v>
      </c>
      <c r="D9372">
        <f>LOG10(2.861473)</f>
        <v>0.4565896523914173</v>
      </c>
    </row>
    <row r="9373" spans="1:4">
      <c r="A9373">
        <v>1.0036179999999999</v>
      </c>
      <c r="B9373">
        <v>2.9088609999999999</v>
      </c>
      <c r="C9373">
        <f>LOG10(1.003618)</f>
        <v>1.5684418320624767E-3</v>
      </c>
      <c r="D9373">
        <f>LOG10(2.908861)</f>
        <v>0.46372296896954823</v>
      </c>
    </row>
    <row r="9374" spans="1:4">
      <c r="A9374">
        <v>1.0032700000000001</v>
      </c>
      <c r="B9374">
        <v>2.9689670000000001</v>
      </c>
      <c r="C9374">
        <f>LOG10(1.00327)</f>
        <v>1.4178260715247296E-3</v>
      </c>
      <c r="D9374">
        <f>LOG10(2.968967)</f>
        <v>0.47260537044968193</v>
      </c>
    </row>
    <row r="9375" spans="1:4">
      <c r="A9375">
        <v>1.0072270000000001</v>
      </c>
      <c r="B9375">
        <v>2.9015360000000001</v>
      </c>
      <c r="C9375">
        <f>LOG10(1.007227)</f>
        <v>3.1273590714558197E-3</v>
      </c>
      <c r="D9375">
        <f>LOG10(2.901536)</f>
        <v>0.46262796332183376</v>
      </c>
    </row>
    <row r="9376" spans="1:4">
      <c r="A9376">
        <v>1.008891</v>
      </c>
      <c r="B9376">
        <v>2.910304</v>
      </c>
      <c r="C9376">
        <f>LOG10(1.008891)</f>
        <v>3.8442478467957896E-3</v>
      </c>
      <c r="D9376">
        <f>LOG10(2.910304)</f>
        <v>0.46393835621161189</v>
      </c>
    </row>
    <row r="9377" spans="1:4">
      <c r="A9377">
        <v>1.0037480000000001</v>
      </c>
      <c r="B9377">
        <v>2.8939919999999999</v>
      </c>
      <c r="C9377">
        <f>LOG10(1.003748)</f>
        <v>1.6246929419511894E-3</v>
      </c>
      <c r="D9377">
        <f>LOG10(2.893992)</f>
        <v>0.46149732624374518</v>
      </c>
    </row>
    <row r="9378" spans="1:4">
      <c r="A9378">
        <v>1.0080880000000001</v>
      </c>
      <c r="B9378">
        <v>2.835906</v>
      </c>
      <c r="C9378">
        <f>LOG10(1.008088)</f>
        <v>3.4984450522270406E-3</v>
      </c>
      <c r="D9378">
        <f>LOG10(2.835906)</f>
        <v>0.45269183146241471</v>
      </c>
    </row>
    <row r="9379" spans="1:4">
      <c r="A9379">
        <v>1.0067999999999999</v>
      </c>
      <c r="B9379">
        <v>2.9524249999999999</v>
      </c>
      <c r="C9379">
        <f>LOG10(1.0068)</f>
        <v>2.9432068763250671E-3</v>
      </c>
      <c r="D9379">
        <f>LOG10(2.952425)</f>
        <v>0.47017887410948089</v>
      </c>
    </row>
    <row r="9380" spans="1:4">
      <c r="A9380">
        <v>1.0101789999999999</v>
      </c>
      <c r="B9380">
        <v>3.0440109999999998</v>
      </c>
      <c r="C9380">
        <f>LOG10(1.010179)</f>
        <v>4.398335984966327E-3</v>
      </c>
      <c r="D9380">
        <f>LOG10(3.044011)</f>
        <v>0.48344621749100208</v>
      </c>
    </row>
    <row r="9381" spans="1:4">
      <c r="A9381">
        <v>1.005663</v>
      </c>
      <c r="B9381">
        <v>2.918361</v>
      </c>
      <c r="C9381">
        <f>LOG10(1.005663)</f>
        <v>2.4524720121672562E-3</v>
      </c>
      <c r="D9381">
        <f>LOG10(2.918361)</f>
        <v>0.46513901292094856</v>
      </c>
    </row>
    <row r="9382" spans="1:4">
      <c r="A9382">
        <v>1.010243</v>
      </c>
      <c r="B9382">
        <v>3.010303</v>
      </c>
      <c r="C9382">
        <f>LOG10(1.010243)</f>
        <v>4.4258498873601159E-3</v>
      </c>
      <c r="D9382">
        <f>LOG10(3.010303)</f>
        <v>0.47861021140951832</v>
      </c>
    </row>
    <row r="9383" spans="1:4">
      <c r="A9383">
        <v>1.0107029999999999</v>
      </c>
      <c r="B9383">
        <v>2.790727</v>
      </c>
      <c r="C9383">
        <f>LOG10(1.010703)</f>
        <v>4.6235547890502342E-3</v>
      </c>
      <c r="D9383">
        <f>LOG10(2.790727)</f>
        <v>0.44571735415524061</v>
      </c>
    </row>
    <row r="9384" spans="1:4">
      <c r="A9384">
        <v>1.0101420000000001</v>
      </c>
      <c r="B9384">
        <v>2.856649</v>
      </c>
      <c r="C9384">
        <f>LOG10(1.010142)</f>
        <v>4.3824287149511676E-3</v>
      </c>
      <c r="D9384">
        <f>LOG10(2.856649)</f>
        <v>0.45585688136004499</v>
      </c>
    </row>
    <row r="9385" spans="1:4">
      <c r="A9385">
        <v>1.004823</v>
      </c>
      <c r="B9385">
        <v>2.979571</v>
      </c>
      <c r="C9385">
        <f>LOG10(1.004823)</f>
        <v>2.0895673353615377E-3</v>
      </c>
      <c r="D9385">
        <f>LOG10(2.979571)</f>
        <v>0.47415373865855037</v>
      </c>
    </row>
    <row r="9386" spans="1:4">
      <c r="A9386">
        <v>1.005611</v>
      </c>
      <c r="B9386">
        <v>2.7641439999999999</v>
      </c>
      <c r="C9386">
        <f>LOG10(1.005611)</f>
        <v>2.4300152876593319E-3</v>
      </c>
      <c r="D9386">
        <f>LOG10(2.764144)</f>
        <v>0.44156066416394624</v>
      </c>
    </row>
    <row r="9387" spans="1:4">
      <c r="A9387">
        <v>1.0210189999999999</v>
      </c>
      <c r="B9387">
        <v>2.9122629999999998</v>
      </c>
      <c r="C9387">
        <f>LOG10(1.021019)</f>
        <v>9.0338238874775843E-3</v>
      </c>
      <c r="D9387">
        <f>LOG10(2.912263)</f>
        <v>0.4642305925816359</v>
      </c>
    </row>
    <row r="9388" spans="1:4">
      <c r="A9388">
        <v>1.0063139999999999</v>
      </c>
      <c r="B9388">
        <v>2.8978869999999999</v>
      </c>
      <c r="C9388">
        <f>LOG10(1.006314)</f>
        <v>2.7335147055831629E-3</v>
      </c>
      <c r="D9388">
        <f>LOG10(2.897887)</f>
        <v>0.46208144661712208</v>
      </c>
    </row>
    <row r="9389" spans="1:4">
      <c r="A9389">
        <v>1.0022439999999999</v>
      </c>
      <c r="B9389">
        <v>3.0975169999999999</v>
      </c>
      <c r="C9389">
        <f>LOG10(1.002244)</f>
        <v>9.734649976989321E-4</v>
      </c>
      <c r="D9389">
        <f>LOG10(3.097517)</f>
        <v>0.49101369857866839</v>
      </c>
    </row>
    <row r="9390" spans="1:4">
      <c r="A9390">
        <v>1.022052</v>
      </c>
      <c r="B9390">
        <v>3.6098170000000001</v>
      </c>
      <c r="C9390">
        <f>LOG10(1.022052)</f>
        <v>9.4729924117583925E-3</v>
      </c>
      <c r="D9390">
        <f>LOG10(3.609817)</f>
        <v>0.55748518586558227</v>
      </c>
    </row>
    <row r="9391" spans="1:4">
      <c r="A9391">
        <v>1.0643419999999999</v>
      </c>
      <c r="B9391">
        <v>3.406657</v>
      </c>
      <c r="C9391">
        <f>LOG10(1.064342)</f>
        <v>2.7081200183877871E-2</v>
      </c>
      <c r="D9391">
        <f>LOG10(3.406657)</f>
        <v>0.53232840873481968</v>
      </c>
    </row>
    <row r="9392" spans="1:4">
      <c r="A9392">
        <v>1.003261</v>
      </c>
      <c r="B9392">
        <v>2.8079339999999999</v>
      </c>
      <c r="C9392">
        <f>LOG10(1.003261)</f>
        <v>1.4139301433409939E-3</v>
      </c>
      <c r="D9392">
        <f>LOG10(2.807934)</f>
        <v>0.44838689556151856</v>
      </c>
    </row>
    <row r="9393" spans="1:4">
      <c r="A9393">
        <v>1.007514</v>
      </c>
      <c r="B9393">
        <v>2.8016030000000001</v>
      </c>
      <c r="C9393">
        <f>LOG10(1.007514)</f>
        <v>3.2510896325048913E-3</v>
      </c>
      <c r="D9393">
        <f>LOG10(2.801603)</f>
        <v>0.44740659378889552</v>
      </c>
    </row>
    <row r="9394" spans="1:4">
      <c r="A9394">
        <v>1.007123</v>
      </c>
      <c r="B9394">
        <v>2.7983099999999999</v>
      </c>
      <c r="C9394">
        <f>LOG10(1.007123)</f>
        <v>3.0825142071987484E-3</v>
      </c>
      <c r="D9394">
        <f>LOG10(2.79831)</f>
        <v>0.44689582446310333</v>
      </c>
    </row>
    <row r="9395" spans="1:4">
      <c r="A9395">
        <v>1.0144299999999999</v>
      </c>
      <c r="B9395">
        <v>2.9520710000000001</v>
      </c>
      <c r="C9395">
        <f>LOG10(1.01443)</f>
        <v>6.2220842302862494E-3</v>
      </c>
      <c r="D9395">
        <f>LOG10(2.952071)</f>
        <v>0.4701267984550041</v>
      </c>
    </row>
    <row r="9396" spans="1:4">
      <c r="A9396">
        <v>1.0049539999999999</v>
      </c>
      <c r="B9396">
        <v>2.906415</v>
      </c>
      <c r="C9396">
        <f>LOG10(1.004954)</f>
        <v>2.1461831461801963E-3</v>
      </c>
      <c r="D9396">
        <f>LOG10(2.906415)</f>
        <v>0.46335762625309551</v>
      </c>
    </row>
    <row r="9397" spans="1:4">
      <c r="A9397">
        <v>1.001482</v>
      </c>
      <c r="B9397">
        <v>3.041156</v>
      </c>
      <c r="C9397">
        <f>LOG10(1.001482)</f>
        <v>6.431479671632431E-4</v>
      </c>
      <c r="D9397">
        <f>LOG10(3.041156)</f>
        <v>0.48303869840835023</v>
      </c>
    </row>
    <row r="9398" spans="1:4">
      <c r="A9398">
        <v>1.0048250000000001</v>
      </c>
      <c r="B9398">
        <v>2.9799380000000002</v>
      </c>
      <c r="C9398">
        <f>LOG10(1.004825)</f>
        <v>2.0904317543680817E-3</v>
      </c>
      <c r="D9398">
        <f>LOG10(2.979938)</f>
        <v>0.47420722832525281</v>
      </c>
    </row>
    <row r="9399" spans="1:4">
      <c r="A9399">
        <v>1.0166139999999999</v>
      </c>
      <c r="B9399">
        <v>3.1950639999999999</v>
      </c>
      <c r="C9399">
        <f>LOG10(1.016614)</f>
        <v>7.1560861662923895E-3</v>
      </c>
      <c r="D9399">
        <f>LOG10(3.195064)</f>
        <v>0.50447956188986876</v>
      </c>
    </row>
    <row r="9400" spans="1:4">
      <c r="A9400">
        <v>1.0064390000000001</v>
      </c>
      <c r="B9400">
        <v>3.008527</v>
      </c>
      <c r="C9400">
        <f>LOG10(1.006439)</f>
        <v>2.7874575493476647E-3</v>
      </c>
      <c r="D9400">
        <f>LOG10(3.008527)</f>
        <v>0.47835391341730199</v>
      </c>
    </row>
    <row r="9401" spans="1:4">
      <c r="A9401">
        <v>1.00369</v>
      </c>
      <c r="B9401">
        <v>2.98935</v>
      </c>
      <c r="C9401">
        <f>LOG10(1.00369)</f>
        <v>1.5995971930837804E-3</v>
      </c>
      <c r="D9401">
        <f>LOG10(2.98935)</f>
        <v>0.47557676621689315</v>
      </c>
    </row>
    <row r="9402" spans="1:4">
      <c r="A9402">
        <v>1.0113220000000001</v>
      </c>
      <c r="B9402">
        <v>3.2165240000000002</v>
      </c>
      <c r="C9402">
        <f>LOG10(1.011322)</f>
        <v>4.8894548572451461E-3</v>
      </c>
      <c r="D9402">
        <f>LOG10(3.216524)</f>
        <v>0.50738679622408467</v>
      </c>
    </row>
    <row r="9403" spans="1:4">
      <c r="A9403">
        <v>1.0183599999999999</v>
      </c>
      <c r="B9403">
        <v>3.0304489999999999</v>
      </c>
      <c r="C9403">
        <f>LOG10(1.01836)</f>
        <v>7.9013323969311031E-3</v>
      </c>
      <c r="D9403">
        <f>LOG10(3.030449)</f>
        <v>0.48150697958346461</v>
      </c>
    </row>
    <row r="9404" spans="1:4">
      <c r="A9404">
        <v>1.0212159999999999</v>
      </c>
      <c r="B9404">
        <v>3.2259139999999999</v>
      </c>
      <c r="C9404">
        <f>LOG10(1.021216)</f>
        <v>9.1176105361250818E-3</v>
      </c>
      <c r="D9404">
        <f>LOG10(3.225914)</f>
        <v>0.50865278530238811</v>
      </c>
    </row>
    <row r="9405" spans="1:4">
      <c r="A9405">
        <v>1.0073160000000001</v>
      </c>
      <c r="B9405">
        <v>3.0252110000000001</v>
      </c>
      <c r="C9405">
        <f>LOG10(1.007316)</f>
        <v>3.1657322498039992E-3</v>
      </c>
      <c r="D9405">
        <f>LOG10(3.025211)</f>
        <v>0.48075567086945475</v>
      </c>
    </row>
    <row r="9406" spans="1:4">
      <c r="A9406">
        <v>1.016859</v>
      </c>
      <c r="B9406">
        <v>3.373872</v>
      </c>
      <c r="C9406">
        <f>LOG10(1.016859)</f>
        <v>7.2607368290562154E-3</v>
      </c>
      <c r="D9406">
        <f>LOG10(3.373872)</f>
        <v>0.52812860203847456</v>
      </c>
    </row>
    <row r="9407" spans="1:4">
      <c r="A9407">
        <v>1.015698</v>
      </c>
      <c r="B9407">
        <v>3.1310899999999999</v>
      </c>
      <c r="C9407">
        <f>LOG10(1.015698)</f>
        <v>6.7645972882445747E-3</v>
      </c>
      <c r="D9407">
        <f>LOG10(3.13109)</f>
        <v>0.49569555114984881</v>
      </c>
    </row>
    <row r="9408" spans="1:4">
      <c r="A9408">
        <v>1.0116799999999999</v>
      </c>
      <c r="B9408">
        <v>3.195287</v>
      </c>
      <c r="C9408">
        <f>LOG10(1.01168)</f>
        <v>5.0431644691430154E-3</v>
      </c>
      <c r="D9408">
        <f>LOG10(3.195287)</f>
        <v>0.50450987248454615</v>
      </c>
    </row>
    <row r="9409" spans="1:4">
      <c r="A9409">
        <v>1.002108</v>
      </c>
      <c r="B9409">
        <v>3.0930049999999998</v>
      </c>
      <c r="C9409">
        <f>LOG10(1.002108)</f>
        <v>9.1452919238185467E-4</v>
      </c>
      <c r="D9409">
        <f>LOG10(3.093005)</f>
        <v>0.49038062206287969</v>
      </c>
    </row>
    <row r="9410" spans="1:4">
      <c r="A9410">
        <v>1.009023</v>
      </c>
      <c r="B9410">
        <v>3.4682040000000001</v>
      </c>
      <c r="C9410">
        <f>LOG10(1.009023)</f>
        <v>3.9010658000812179E-3</v>
      </c>
      <c r="D9410">
        <f>LOG10(3.468204)</f>
        <v>0.54010463478705717</v>
      </c>
    </row>
    <row r="9411" spans="1:4">
      <c r="A9411">
        <v>1.0075909999999999</v>
      </c>
      <c r="B9411">
        <v>3.213006</v>
      </c>
      <c r="C9411">
        <f>LOG10(1.007591)</f>
        <v>3.2842796400953398E-3</v>
      </c>
      <c r="D9411">
        <f>LOG10(3.213006)</f>
        <v>0.50691153655819665</v>
      </c>
    </row>
    <row r="9412" spans="1:4">
      <c r="A9412">
        <v>1.006094</v>
      </c>
      <c r="B9412">
        <v>3.328125</v>
      </c>
      <c r="C9412">
        <f>LOG10(1.006094)</f>
        <v>2.6385590242309792E-3</v>
      </c>
      <c r="D9412">
        <f>LOG10(3.328125)</f>
        <v>0.52219962945485054</v>
      </c>
    </row>
    <row r="9413" spans="1:4">
      <c r="A9413">
        <v>1.0067729999999999</v>
      </c>
      <c r="B9413">
        <v>3.2752979999999998</v>
      </c>
      <c r="C9413">
        <f>LOG10(1.006773)</f>
        <v>2.9315599670626858E-3</v>
      </c>
      <c r="D9413">
        <f>LOG10(3.275298)</f>
        <v>0.51525082001264444</v>
      </c>
    </row>
    <row r="9414" spans="1:4">
      <c r="A9414">
        <v>1.0092620000000001</v>
      </c>
      <c r="B9414">
        <v>3.1778439999999999</v>
      </c>
      <c r="C9414">
        <f>LOG10(1.009262)</f>
        <v>4.0039218205739514E-3</v>
      </c>
      <c r="D9414">
        <f>LOG10(3.177844)</f>
        <v>0.50213257392797872</v>
      </c>
    </row>
    <row r="9415" spans="1:4">
      <c r="A9415">
        <v>1.0095209999999999</v>
      </c>
      <c r="B9415">
        <v>3.2655310000000002</v>
      </c>
      <c r="C9415">
        <f>LOG10(1.009521)</f>
        <v>4.1153575434128981E-3</v>
      </c>
      <c r="D9415">
        <f>LOG10(3.265531)</f>
        <v>0.51395381091565029</v>
      </c>
    </row>
    <row r="9416" spans="1:4">
      <c r="A9416">
        <v>1.0050730000000001</v>
      </c>
      <c r="B9416">
        <v>3.2549769999999998</v>
      </c>
      <c r="C9416">
        <f>LOG10(1.005073)</f>
        <v>2.1976063792083656E-3</v>
      </c>
      <c r="D9416">
        <f>LOG10(3.254977)</f>
        <v>0.51254792414587758</v>
      </c>
    </row>
    <row r="9417" spans="1:4">
      <c r="A9417">
        <v>1.013501</v>
      </c>
      <c r="B9417">
        <v>2.5723820000000002</v>
      </c>
      <c r="C9417">
        <f>LOG10(1.013501)</f>
        <v>5.8241815384183796E-3</v>
      </c>
      <c r="D9417">
        <f>LOG10(2.572382)</f>
        <v>0.41033546198675863</v>
      </c>
    </row>
    <row r="9418" spans="1:4">
      <c r="A9418">
        <v>1.02637</v>
      </c>
      <c r="B9418">
        <v>3.284335</v>
      </c>
      <c r="C9418">
        <f>LOG10(1.02637)</f>
        <v>1.1303949461117404E-2</v>
      </c>
      <c r="D9418">
        <f>LOG10(3.284335)</f>
        <v>0.51644744845693791</v>
      </c>
    </row>
    <row r="9419" spans="1:4">
      <c r="A9419">
        <v>1.0209710000000001</v>
      </c>
      <c r="B9419">
        <v>3.0923440000000002</v>
      </c>
      <c r="C9419">
        <f>LOG10(1.020971)</f>
        <v>9.0134064171323615E-3</v>
      </c>
      <c r="D9419">
        <f>LOG10(3.092344)</f>
        <v>0.49028779992668958</v>
      </c>
    </row>
    <row r="9420" spans="1:4">
      <c r="A9420">
        <v>1.0220860000000001</v>
      </c>
      <c r="B9420">
        <v>3.3996719999999998</v>
      </c>
      <c r="C9420">
        <f>LOG10(1.022086)</f>
        <v>9.4874395893815387E-3</v>
      </c>
      <c r="D9420">
        <f>LOG10(3.399672)</f>
        <v>0.53143701837709156</v>
      </c>
    </row>
    <row r="9421" spans="1:4">
      <c r="A9421">
        <v>1.0051079999999999</v>
      </c>
      <c r="B9421">
        <v>3.4105370000000002</v>
      </c>
      <c r="C9421">
        <f>LOG10(1.005108)</f>
        <v>2.2127297008078198E-3</v>
      </c>
      <c r="D9421">
        <f>LOG10(3.410537)</f>
        <v>0.53282276543692697</v>
      </c>
    </row>
    <row r="9422" spans="1:4">
      <c r="A9422">
        <v>1.0125850000000001</v>
      </c>
      <c r="B9422">
        <v>3.571485</v>
      </c>
      <c r="C9422">
        <f>LOG10(1.012585)</f>
        <v>5.4314896462406862E-3</v>
      </c>
      <c r="D9422">
        <f>LOG10(3.571485)</f>
        <v>0.55284883045638678</v>
      </c>
    </row>
    <row r="9423" spans="1:4">
      <c r="A9423">
        <v>1.0043</v>
      </c>
      <c r="B9423">
        <v>3.5474269999999999</v>
      </c>
      <c r="C9423">
        <f>LOG10(1.0043)</f>
        <v>1.8634626925239726E-3</v>
      </c>
      <c r="D9423">
        <f>LOG10(3.547427)</f>
        <v>0.54991346718141332</v>
      </c>
    </row>
    <row r="9424" spans="1:4">
      <c r="A9424">
        <v>1.009865</v>
      </c>
      <c r="B9424">
        <v>3.175735</v>
      </c>
      <c r="C9424">
        <f>LOG10(1.009865)</f>
        <v>4.2633206403343161E-3</v>
      </c>
      <c r="D9424">
        <f>LOG10(3.175735)</f>
        <v>0.50184425545551647</v>
      </c>
    </row>
    <row r="9425" spans="1:4">
      <c r="A9425">
        <v>1.017031</v>
      </c>
      <c r="B9425">
        <v>3.3284919999999998</v>
      </c>
      <c r="C9425">
        <f>LOG10(1.017031)</f>
        <v>7.3341908025409729E-3</v>
      </c>
      <c r="D9425">
        <f>LOG10(3.328492)</f>
        <v>0.52224751746613918</v>
      </c>
    </row>
    <row r="9426" spans="1:4">
      <c r="A9426">
        <v>1.004192</v>
      </c>
      <c r="B9426">
        <v>3.2525580000000001</v>
      </c>
      <c r="C9426">
        <f>LOG10(1.004192)</f>
        <v>1.8167571999546661E-3</v>
      </c>
      <c r="D9426">
        <f>LOG10(3.252558)</f>
        <v>0.51222504969338156</v>
      </c>
    </row>
    <row r="9427" spans="1:4">
      <c r="A9427">
        <v>1.005633</v>
      </c>
      <c r="B9427">
        <v>3.3356170000000001</v>
      </c>
      <c r="C9427">
        <f>LOG10(1.005633)</f>
        <v>2.4395163512818839E-3</v>
      </c>
      <c r="D9427">
        <f>LOG10(3.335617)</f>
        <v>0.52317617855575071</v>
      </c>
    </row>
    <row r="9428" spans="1:4">
      <c r="A9428">
        <v>1.010065</v>
      </c>
      <c r="B9428">
        <v>3.331178</v>
      </c>
      <c r="C9428">
        <f>LOG10(1.010065)</f>
        <v>4.3493225281863558E-3</v>
      </c>
      <c r="D9428">
        <f>LOG10(3.331178)</f>
        <v>0.52259783964175577</v>
      </c>
    </row>
    <row r="9429" spans="1:4">
      <c r="A9429">
        <v>1.0178389999999999</v>
      </c>
      <c r="B9429">
        <v>3.3204600000000002</v>
      </c>
      <c r="C9429">
        <f>LOG10(1.017839)</f>
        <v>7.6790874886393133E-3</v>
      </c>
      <c r="D9429">
        <f>LOG10(3.32046)</f>
        <v>0.5211982528676169</v>
      </c>
    </row>
    <row r="9430" spans="1:4">
      <c r="A9430">
        <v>1.013253</v>
      </c>
      <c r="B9430">
        <v>3.6094189999999999</v>
      </c>
      <c r="C9430">
        <f>LOG10(1.013253)</f>
        <v>5.7178982578134675E-3</v>
      </c>
      <c r="D9430">
        <f>LOG10(3.609419)</f>
        <v>0.5574373001325289</v>
      </c>
    </row>
    <row r="9431" spans="1:4">
      <c r="A9431">
        <v>1.0061389999999999</v>
      </c>
      <c r="B9431">
        <v>3.3817949999999999</v>
      </c>
      <c r="C9431">
        <f>LOG10(1.006139)</f>
        <v>2.6579834663197823E-3</v>
      </c>
      <c r="D9431">
        <f>LOG10(3.381795)</f>
        <v>0.52914727769484293</v>
      </c>
    </row>
    <row r="9432" spans="1:4">
      <c r="A9432">
        <v>1.0135559999999999</v>
      </c>
      <c r="B9432">
        <v>3.5987420000000001</v>
      </c>
      <c r="C9432">
        <f>LOG10(1.013556)</f>
        <v>5.847748903825967E-3</v>
      </c>
      <c r="D9432">
        <f>LOG10(3.598742)</f>
        <v>0.55615071245099656</v>
      </c>
    </row>
    <row r="9433" spans="1:4">
      <c r="A9433">
        <v>1.001628</v>
      </c>
      <c r="B9433">
        <v>3.3261229999999999</v>
      </c>
      <c r="C9433">
        <f>LOG10(1.001628)</f>
        <v>7.0645651683864626E-4</v>
      </c>
      <c r="D9433">
        <f>LOG10(3.326123)</f>
        <v>0.52193830538667518</v>
      </c>
    </row>
    <row r="9434" spans="1:4">
      <c r="A9434">
        <v>1.0147630000000001</v>
      </c>
      <c r="B9434">
        <v>3.4146879999999999</v>
      </c>
      <c r="C9434">
        <f>LOG10(1.014763)</f>
        <v>6.3646237164485461E-3</v>
      </c>
      <c r="D9434">
        <f>LOG10(3.414688)</f>
        <v>0.53335102834889059</v>
      </c>
    </row>
    <row r="9435" spans="1:4">
      <c r="A9435">
        <v>1.01779</v>
      </c>
      <c r="B9435">
        <v>3.3698830000000002</v>
      </c>
      <c r="C9435">
        <f>LOG10(1.01779)</f>
        <v>7.6581795239587603E-3</v>
      </c>
      <c r="D9435">
        <f>LOG10(3.369883)</f>
        <v>0.52761482272995619</v>
      </c>
    </row>
    <row r="9436" spans="1:4">
      <c r="A9436">
        <v>1.0124690000000001</v>
      </c>
      <c r="B9436">
        <v>3.4751479999999999</v>
      </c>
      <c r="C9436">
        <f>LOG10(1.012469)</f>
        <v>5.3817347656736686E-3</v>
      </c>
      <c r="D9436">
        <f>LOG10(3.475148)</f>
        <v>0.54097330510300012</v>
      </c>
    </row>
    <row r="9437" spans="1:4">
      <c r="A9437">
        <v>1.007082</v>
      </c>
      <c r="B9437">
        <v>3.2309220000000001</v>
      </c>
      <c r="C9437">
        <f>LOG10(1.007082)</f>
        <v>3.0648337091754843E-3</v>
      </c>
      <c r="D9437">
        <f>LOG10(3.230922)</f>
        <v>0.50932647353033822</v>
      </c>
    </row>
    <row r="9438" spans="1:4">
      <c r="A9438">
        <v>1.0078009999999999</v>
      </c>
      <c r="B9438">
        <v>3.4260640000000002</v>
      </c>
      <c r="C9438">
        <f>LOG10(1.007801)</f>
        <v>3.3747849527390027E-3</v>
      </c>
      <c r="D9438">
        <f>LOG10(3.426064)</f>
        <v>0.53479547146873041</v>
      </c>
    </row>
    <row r="9439" spans="1:4">
      <c r="A9439">
        <v>1.0066900000000001</v>
      </c>
      <c r="B9439">
        <v>3.294292</v>
      </c>
      <c r="C9439">
        <f>LOG10(1.00669)</f>
        <v>2.8957545492146147E-3</v>
      </c>
      <c r="D9439">
        <f>LOG10(3.294292)</f>
        <v>0.51776209160613085</v>
      </c>
    </row>
    <row r="9440" spans="1:4">
      <c r="A9440">
        <v>1.006443</v>
      </c>
      <c r="B9440">
        <v>3.3518309999999998</v>
      </c>
      <c r="C9440">
        <f>LOG10(1.006443)</f>
        <v>2.7891836097203729E-3</v>
      </c>
      <c r="D9440">
        <f>LOG10(3.351831)</f>
        <v>0.52528211329423968</v>
      </c>
    </row>
    <row r="9441" spans="1:4">
      <c r="A9441">
        <v>1.014553</v>
      </c>
      <c r="B9441">
        <v>3.6108709999999999</v>
      </c>
      <c r="C9441">
        <f>LOG10(1.014553)</f>
        <v>6.2747393992448634E-3</v>
      </c>
      <c r="D9441">
        <f>LOG10(3.610871)</f>
        <v>0.55761197333712986</v>
      </c>
    </row>
    <row r="9442" spans="1:4">
      <c r="A9442">
        <v>1.010705</v>
      </c>
      <c r="B9442">
        <v>3.6736930000000001</v>
      </c>
      <c r="C9442">
        <f>LOG10(1.010705)</f>
        <v>4.624414179102942E-3</v>
      </c>
      <c r="D9442">
        <f>LOG10(3.673693)</f>
        <v>0.56510286074041405</v>
      </c>
    </row>
    <row r="9443" spans="1:4">
      <c r="A9443">
        <v>1.0066820000000001</v>
      </c>
      <c r="B9443">
        <v>3.3753299999999999</v>
      </c>
      <c r="C9443">
        <f>LOG10(1.006682)</f>
        <v>2.8923032686214135E-3</v>
      </c>
      <c r="D9443">
        <f>LOG10(3.37533)</f>
        <v>0.52831623944048578</v>
      </c>
    </row>
    <row r="9444" spans="1:4">
      <c r="A9444">
        <v>1.008845</v>
      </c>
      <c r="B9444">
        <v>3.311893</v>
      </c>
      <c r="C9444">
        <f>LOG10(1.008845)</f>
        <v>3.8244459042512681E-3</v>
      </c>
      <c r="D9444">
        <f>LOG10(3.311893)</f>
        <v>0.52007629723717241</v>
      </c>
    </row>
    <row r="9445" spans="1:4">
      <c r="A9445">
        <v>1.016256</v>
      </c>
      <c r="B9445">
        <v>3.4731939999999999</v>
      </c>
      <c r="C9445">
        <f>LOG10(1.016256)</f>
        <v>7.0031226948174914E-3</v>
      </c>
      <c r="D9445">
        <f>LOG10(3.473194)</f>
        <v>0.54072904210039907</v>
      </c>
    </row>
    <row r="9446" spans="1:4">
      <c r="A9446">
        <v>1.017755</v>
      </c>
      <c r="B9446">
        <v>3.5682390000000002</v>
      </c>
      <c r="C9446">
        <f>LOG10(1.017755)</f>
        <v>7.6432446471880527E-3</v>
      </c>
      <c r="D9446">
        <f>LOG10(3.568239)</f>
        <v>0.55245393564381806</v>
      </c>
    </row>
    <row r="9447" spans="1:4">
      <c r="A9447">
        <v>1.012256</v>
      </c>
      <c r="B9447">
        <v>3.7983730000000002</v>
      </c>
      <c r="C9447">
        <f>LOG10(1.012256)</f>
        <v>5.2903596653645912E-3</v>
      </c>
      <c r="D9447">
        <f>LOG10(3.798373)</f>
        <v>0.57959761018712175</v>
      </c>
    </row>
    <row r="9448" spans="1:4">
      <c r="A9448">
        <v>1.006524</v>
      </c>
      <c r="B9448">
        <v>3.1410130000000001</v>
      </c>
      <c r="C9448">
        <f>LOG10(1.006524)</f>
        <v>2.8241348563658956E-3</v>
      </c>
      <c r="D9448">
        <f>LOG10(3.141013)</f>
        <v>0.49706973385682418</v>
      </c>
    </row>
    <row r="9449" spans="1:4">
      <c r="A9449">
        <v>1.00952</v>
      </c>
      <c r="B9449">
        <v>3.3267419999999999</v>
      </c>
      <c r="C9449">
        <f>LOG10(1.00952)</f>
        <v>4.1149273446384627E-3</v>
      </c>
      <c r="D9449">
        <f>LOG10(3.326742)</f>
        <v>0.52201912118109572</v>
      </c>
    </row>
    <row r="9450" spans="1:4">
      <c r="A9450">
        <v>1.0096769999999999</v>
      </c>
      <c r="B9450">
        <v>3.333307</v>
      </c>
      <c r="C9450">
        <f>LOG10(1.009677)</f>
        <v>4.1824633342384867E-3</v>
      </c>
      <c r="D9450">
        <f>LOG10(3.333307)</f>
        <v>0.52287531434037826</v>
      </c>
    </row>
    <row r="9451" spans="1:4">
      <c r="A9451">
        <v>1.005304</v>
      </c>
      <c r="B9451">
        <v>3.2494369999999999</v>
      </c>
      <c r="C9451">
        <f>LOG10(1.005304)</f>
        <v>2.2974105709207739E-3</v>
      </c>
      <c r="D9451">
        <f>LOG10(3.249437)</f>
        <v>0.51180812129459918</v>
      </c>
    </row>
    <row r="9452" spans="1:4">
      <c r="A9452">
        <v>1.003538</v>
      </c>
      <c r="B9452">
        <v>3.21834</v>
      </c>
      <c r="C9452">
        <f>LOG10(1.003538)</f>
        <v>1.5338221427402751E-3</v>
      </c>
      <c r="D9452">
        <f>LOG10(3.21834)</f>
        <v>0.50763192302088234</v>
      </c>
    </row>
    <row r="9453" spans="1:4">
      <c r="A9453">
        <v>1.005169</v>
      </c>
      <c r="B9453">
        <v>3.3636439999999999</v>
      </c>
      <c r="C9453">
        <f>LOG10(1.005169)</f>
        <v>2.2390862311807663E-3</v>
      </c>
      <c r="D9453">
        <f>LOG10(3.363644)</f>
        <v>0.52681002487350159</v>
      </c>
    </row>
    <row r="9454" spans="1:4">
      <c r="A9454">
        <v>1.0060960000000001</v>
      </c>
      <c r="B9454">
        <v>3.3722750000000001</v>
      </c>
      <c r="C9454">
        <f>LOG10(1.006096)</f>
        <v>2.6394223512168323E-3</v>
      </c>
      <c r="D9454">
        <f>LOG10(3.372275)</f>
        <v>0.52792298294936923</v>
      </c>
    </row>
    <row r="9455" spans="1:4">
      <c r="A9455">
        <v>1.004373</v>
      </c>
      <c r="B9455">
        <v>3.0739749999999999</v>
      </c>
      <c r="C9455">
        <f>LOG10(1.004373)</f>
        <v>1.8950293011186922E-3</v>
      </c>
      <c r="D9455">
        <f>LOG10(3.073975)</f>
        <v>0.48770033115130024</v>
      </c>
    </row>
    <row r="9456" spans="1:4">
      <c r="A9456">
        <v>1.0056419999999999</v>
      </c>
      <c r="B9456">
        <v>3.4421080000000002</v>
      </c>
      <c r="C9456">
        <f>LOG10(1.005642)</f>
        <v>2.443403090128758E-3</v>
      </c>
      <c r="D9456">
        <f>LOG10(3.442108)</f>
        <v>0.53682449268189825</v>
      </c>
    </row>
    <row r="9457" spans="1:4">
      <c r="A9457">
        <v>1.0050559999999999</v>
      </c>
      <c r="B9457">
        <v>3.292637</v>
      </c>
      <c r="C9457">
        <f>LOG10(1.005056)</f>
        <v>2.1902605758369414E-3</v>
      </c>
      <c r="D9457">
        <f>LOG10(3.292637)</f>
        <v>0.51754385412925052</v>
      </c>
    </row>
    <row r="9458" spans="1:4">
      <c r="A9458">
        <v>1.006054</v>
      </c>
      <c r="B9458">
        <v>3.209276</v>
      </c>
      <c r="C9458">
        <f>LOG10(1.006054)</f>
        <v>2.621292124103915E-3</v>
      </c>
      <c r="D9458">
        <f>LOG10(3.209276)</f>
        <v>0.50640706833346238</v>
      </c>
    </row>
    <row r="9459" spans="1:4">
      <c r="A9459">
        <v>1.0046759999999999</v>
      </c>
      <c r="B9459">
        <v>3.4914520000000002</v>
      </c>
      <c r="C9459">
        <f>LOG10(1.004676)</f>
        <v>2.0260278273013617E-3</v>
      </c>
      <c r="D9459">
        <f>LOG10(3.491452)</f>
        <v>0.54300607579750637</v>
      </c>
    </row>
    <row r="9460" spans="1:4">
      <c r="A9460">
        <v>1.006572</v>
      </c>
      <c r="B9460">
        <v>3.288945</v>
      </c>
      <c r="C9460">
        <f>LOG10(1.006572)</f>
        <v>2.8448453789990213E-3</v>
      </c>
      <c r="D9460">
        <f>LOG10(3.288945)</f>
        <v>0.51705661097240108</v>
      </c>
    </row>
    <row r="9461" spans="1:4">
      <c r="A9461">
        <v>1.0058940000000001</v>
      </c>
      <c r="B9461">
        <v>3.1150980000000001</v>
      </c>
      <c r="C9461">
        <f>LOG10(1.005894)</f>
        <v>2.5522176577151444E-3</v>
      </c>
      <c r="D9461">
        <f>LOG10(3.115098)</f>
        <v>0.49347171397744971</v>
      </c>
    </row>
    <row r="9462" spans="1:4">
      <c r="A9462">
        <v>1.0085759999999999</v>
      </c>
      <c r="B9462">
        <v>3.3225069999999999</v>
      </c>
      <c r="C9462">
        <f>LOG10(1.008576)</f>
        <v>3.708629506658144E-3</v>
      </c>
      <c r="D9462">
        <f>LOG10(3.322507)</f>
        <v>0.52146590460594211</v>
      </c>
    </row>
    <row r="9463" spans="1:4">
      <c r="A9463">
        <v>1.0047200000000001</v>
      </c>
      <c r="B9463">
        <v>3.242985</v>
      </c>
      <c r="C9463">
        <f>LOG10(1.00472)</f>
        <v>2.0450474304128086E-3</v>
      </c>
      <c r="D9463">
        <f>LOG10(3.242985)</f>
        <v>0.51094493990569112</v>
      </c>
    </row>
    <row r="9464" spans="1:4">
      <c r="A9464">
        <v>1.003965</v>
      </c>
      <c r="B9464">
        <v>3.319426</v>
      </c>
      <c r="C9464">
        <f>LOG10(1.003965)</f>
        <v>1.718572797229254E-3</v>
      </c>
      <c r="D9464">
        <f>LOG10(3.319426)</f>
        <v>0.52106299135923617</v>
      </c>
    </row>
    <row r="9465" spans="1:4">
      <c r="A9465">
        <v>1.0054160000000001</v>
      </c>
      <c r="B9465">
        <v>3.220072</v>
      </c>
      <c r="C9465">
        <f>LOG10(1.005416)</f>
        <v>2.3457922272662802E-3</v>
      </c>
      <c r="D9465">
        <f>LOG10(3.220072)</f>
        <v>0.50786558251977776</v>
      </c>
    </row>
    <row r="9466" spans="1:4">
      <c r="A9466">
        <v>1.0105630000000001</v>
      </c>
      <c r="B9466">
        <v>3.2008019999999999</v>
      </c>
      <c r="C9466">
        <f>LOG10(1.010563)</f>
        <v>4.5633932590352817E-3</v>
      </c>
      <c r="D9466">
        <f>LOG10(3.200802)</f>
        <v>0.50525880973706561</v>
      </c>
    </row>
    <row r="9467" spans="1:4">
      <c r="A9467">
        <v>1.0030779999999999</v>
      </c>
      <c r="B9467">
        <v>3.125845</v>
      </c>
      <c r="C9467">
        <f>LOG10(1.003078)</f>
        <v>1.3347053558960883E-3</v>
      </c>
      <c r="D9467">
        <f>LOG10(3.125845)</f>
        <v>0.49496743903388973</v>
      </c>
    </row>
    <row r="9468" spans="1:4">
      <c r="A9468">
        <v>1.0070159999999999</v>
      </c>
      <c r="B9468">
        <v>3.1461260000000002</v>
      </c>
      <c r="C9468">
        <f>LOG10(1.007016)</f>
        <v>3.0363709076475279E-3</v>
      </c>
      <c r="D9468">
        <f>LOG10(3.146126)</f>
        <v>0.49777611180568365</v>
      </c>
    </row>
    <row r="9469" spans="1:4">
      <c r="A9469">
        <v>1.0069049999999999</v>
      </c>
      <c r="B9469">
        <v>3.209406</v>
      </c>
      <c r="C9469">
        <f>LOG10(1.006905)</f>
        <v>2.9884974433556683E-3</v>
      </c>
      <c r="D9469">
        <f>LOG10(3.209406)</f>
        <v>0.50642466019504873</v>
      </c>
    </row>
    <row r="9470" spans="1:4">
      <c r="A9470">
        <v>1.0095829999999999</v>
      </c>
      <c r="B9470">
        <v>3.1700240000000002</v>
      </c>
      <c r="C9470">
        <f>LOG10(1.009583)</f>
        <v>4.1420290352097225E-3</v>
      </c>
      <c r="D9470">
        <f>LOG10(3.170024)</f>
        <v>0.50106255023923718</v>
      </c>
    </row>
    <row r="9471" spans="1:4">
      <c r="A9471">
        <v>1.0028900000000001</v>
      </c>
      <c r="B9471">
        <v>3.2019039999999999</v>
      </c>
      <c r="C9471">
        <f>LOG10(1.00289)</f>
        <v>1.2533009039439153E-3</v>
      </c>
      <c r="D9471">
        <f>LOG10(3.201904)</f>
        <v>0.50540830669156678</v>
      </c>
    </row>
    <row r="9472" spans="1:4">
      <c r="A9472">
        <v>1.008478</v>
      </c>
      <c r="B9472">
        <v>3.1797849999999999</v>
      </c>
      <c r="C9472">
        <f>LOG10(1.008478)</f>
        <v>3.6664284954209848E-3</v>
      </c>
      <c r="D9472">
        <f>LOG10(3.179785)</f>
        <v>0.50239775631454608</v>
      </c>
    </row>
    <row r="9473" spans="1:4">
      <c r="A9473">
        <v>1.004945</v>
      </c>
      <c r="B9473">
        <v>2.978402</v>
      </c>
      <c r="C9473">
        <f>LOG10(1.004945)</f>
        <v>2.142293746427151E-3</v>
      </c>
      <c r="D9473">
        <f>LOG10(2.978402)</f>
        <v>0.47398331483962414</v>
      </c>
    </row>
    <row r="9474" spans="1:4">
      <c r="A9474">
        <v>1.0097780000000001</v>
      </c>
      <c r="B9474">
        <v>3.1073539999999999</v>
      </c>
      <c r="C9474">
        <f>LOG10(1.009778)</f>
        <v>4.2259045029784262E-3</v>
      </c>
      <c r="D9474">
        <f>LOG10(3.107354)</f>
        <v>0.49239073233092023</v>
      </c>
    </row>
    <row r="9475" spans="1:4">
      <c r="A9475">
        <v>1.0021929999999999</v>
      </c>
      <c r="B9475">
        <v>3.1305070000000002</v>
      </c>
      <c r="C9475">
        <f>LOG10(1.002193)</f>
        <v>9.5136500794434713E-4</v>
      </c>
      <c r="D9475">
        <f>LOG10(3.130507)</f>
        <v>0.49561467923053459</v>
      </c>
    </row>
    <row r="9476" spans="1:4">
      <c r="A9476">
        <v>1.008796</v>
      </c>
      <c r="B9476">
        <v>3.1247090000000002</v>
      </c>
      <c r="C9476">
        <f>LOG10(1.008796)</f>
        <v>3.8033515374958065E-3</v>
      </c>
      <c r="D9476">
        <f>LOG10(3.124709)</f>
        <v>0.49480957829486599</v>
      </c>
    </row>
    <row r="9477" spans="1:4">
      <c r="A9477">
        <v>1.0047619999999999</v>
      </c>
      <c r="B9477">
        <v>3.19285</v>
      </c>
      <c r="C9477">
        <f>LOG10(1.004762)</f>
        <v>2.0632017291251519E-3</v>
      </c>
      <c r="D9477">
        <f>LOG10(3.19285)</f>
        <v>0.50417851587658946</v>
      </c>
    </row>
    <row r="9478" spans="1:4">
      <c r="A9478">
        <v>1.0087200000000001</v>
      </c>
      <c r="B9478">
        <v>3.059644</v>
      </c>
      <c r="C9478">
        <f>LOG10(1.00872)</f>
        <v>3.7706317170430868E-3</v>
      </c>
      <c r="D9478">
        <f>LOG10(3.059644)</f>
        <v>0.48567089777901756</v>
      </c>
    </row>
    <row r="9479" spans="1:4">
      <c r="A9479">
        <v>1.003177</v>
      </c>
      <c r="B9479">
        <v>2.9954610000000002</v>
      </c>
      <c r="C9479">
        <f>LOG10(1.003177)</f>
        <v>1.3775664615315638E-3</v>
      </c>
      <c r="D9479">
        <f>LOG10(2.995461)</f>
        <v>0.47646366957984593</v>
      </c>
    </row>
    <row r="9480" spans="1:4">
      <c r="A9480">
        <v>1.003206</v>
      </c>
      <c r="B9480">
        <v>3.104806</v>
      </c>
      <c r="C9480">
        <f>LOG10(1.003206)</f>
        <v>1.3901209339090672E-3</v>
      </c>
      <c r="D9480">
        <f>LOG10(3.104806)</f>
        <v>0.49203446900159697</v>
      </c>
    </row>
    <row r="9481" spans="1:4">
      <c r="A9481">
        <v>1.0059979999999999</v>
      </c>
      <c r="B9481">
        <v>3.1021450000000002</v>
      </c>
      <c r="C9481">
        <f>LOG10(1.005998)</f>
        <v>2.5971173105375795E-3</v>
      </c>
      <c r="D9481">
        <f>LOG10(3.102145)</f>
        <v>0.49166209368007574</v>
      </c>
    </row>
    <row r="9482" spans="1:4">
      <c r="A9482">
        <v>1.0011699999999999</v>
      </c>
      <c r="B9482">
        <v>3.1066189999999998</v>
      </c>
      <c r="C9482">
        <f>LOG10(1.00117)</f>
        <v>5.0782752262258461E-4</v>
      </c>
      <c r="D9482">
        <f>LOG10(3.106619)</f>
        <v>0.4922879940519842</v>
      </c>
    </row>
    <row r="9483" spans="1:4">
      <c r="A9483">
        <v>1.0062180000000001</v>
      </c>
      <c r="B9483">
        <v>2.9940250000000002</v>
      </c>
      <c r="C9483">
        <f>LOG10(1.006218)</f>
        <v>2.6920820522943908E-3</v>
      </c>
      <c r="D9483">
        <f>LOG10(2.994025)</f>
        <v>0.47625542236532287</v>
      </c>
    </row>
    <row r="9484" spans="1:4">
      <c r="A9484">
        <v>1.0103679999999999</v>
      </c>
      <c r="B9484">
        <v>2.9947590000000002</v>
      </c>
      <c r="C9484">
        <f>LOG10(1.010368)</f>
        <v>4.4795829515739882E-3</v>
      </c>
      <c r="D9484">
        <f>LOG10(2.994759)</f>
        <v>0.47636187875156527</v>
      </c>
    </row>
    <row r="9485" spans="1:4">
      <c r="A9485">
        <v>1.0055210000000001</v>
      </c>
      <c r="B9485">
        <v>2.8313769999999998</v>
      </c>
      <c r="C9485">
        <f>LOG10(1.005521)</f>
        <v>2.3911451355287392E-3</v>
      </c>
      <c r="D9485">
        <f>LOG10(2.831377)</f>
        <v>0.4519976998556971</v>
      </c>
    </row>
    <row r="9486" spans="1:4">
      <c r="A9486">
        <v>1.0060530000000001</v>
      </c>
      <c r="B9486">
        <v>2.951308</v>
      </c>
      <c r="C9486">
        <f>LOG10(1.006053)</f>
        <v>2.620860442804792E-3</v>
      </c>
      <c r="D9486">
        <f>LOG10(2.951308)</f>
        <v>0.47001453505753721</v>
      </c>
    </row>
    <row r="9487" spans="1:4">
      <c r="A9487">
        <v>1.009817</v>
      </c>
      <c r="B9487">
        <v>3.016918</v>
      </c>
      <c r="C9487">
        <f>LOG10(1.009817)</f>
        <v>4.2426776528389568E-3</v>
      </c>
      <c r="D9487">
        <f>LOG10(3.016918)</f>
        <v>0.47956350618709259</v>
      </c>
    </row>
    <row r="9488" spans="1:4">
      <c r="A9488">
        <v>1.0077309999999999</v>
      </c>
      <c r="B9488">
        <v>2.878028</v>
      </c>
      <c r="C9488">
        <f>LOG10(1.007731)</f>
        <v>3.3446186108050053E-3</v>
      </c>
      <c r="D9488">
        <f>LOG10(2.878028)</f>
        <v>0.45909501482169141</v>
      </c>
    </row>
    <row r="9489" spans="1:4">
      <c r="A9489">
        <v>1.0044789999999999</v>
      </c>
      <c r="B9489">
        <v>2.9320369999999998</v>
      </c>
      <c r="C9489">
        <f>LOG10(1.004479)</f>
        <v>1.9408616622129328E-3</v>
      </c>
      <c r="D9489">
        <f>LOG10(2.932037)</f>
        <v>0.46716944645832686</v>
      </c>
    </row>
    <row r="9490" spans="1:4">
      <c r="A9490">
        <v>1.0045949999999999</v>
      </c>
      <c r="B9490">
        <v>2.8655010000000001</v>
      </c>
      <c r="C9490">
        <f>LOG10(1.004595)</f>
        <v>1.9910122887769727E-3</v>
      </c>
      <c r="D9490">
        <f>LOG10(2.865501)</f>
        <v>0.45720056435349826</v>
      </c>
    </row>
    <row r="9491" spans="1:4">
      <c r="A9491">
        <v>1.0036309999999999</v>
      </c>
      <c r="B9491">
        <v>2.9217080000000002</v>
      </c>
      <c r="C9491">
        <f>LOG10(1.003631)</f>
        <v>1.5740672709241613E-3</v>
      </c>
      <c r="D9491">
        <f>LOG10(2.921708)</f>
        <v>0.46563680970727955</v>
      </c>
    </row>
    <row r="9492" spans="1:4">
      <c r="A9492">
        <v>1.0024219999999999</v>
      </c>
      <c r="B9492">
        <v>2.981433</v>
      </c>
      <c r="C9492">
        <f>LOG10(1.002422)</f>
        <v>1.0505894842537439E-3</v>
      </c>
      <c r="D9492">
        <f>LOG10(2.981433)</f>
        <v>0.47442505414554026</v>
      </c>
    </row>
    <row r="9493" spans="1:4">
      <c r="A9493">
        <v>1.002286</v>
      </c>
      <c r="B9493">
        <v>3.235522</v>
      </c>
      <c r="C9493">
        <f>LOG10(1.002286)</f>
        <v>9.9166414487323056E-4</v>
      </c>
      <c r="D9493">
        <f>LOG10(3.235522)</f>
        <v>0.50994435716274455</v>
      </c>
    </row>
    <row r="9494" spans="1:4">
      <c r="A9494">
        <v>1.00353</v>
      </c>
      <c r="B9494">
        <v>2.6311270000000002</v>
      </c>
      <c r="C9494">
        <f>LOG10(1.00353)</f>
        <v>1.5303600220196538E-3</v>
      </c>
      <c r="D9494">
        <f>LOG10(2.631127)</f>
        <v>0.4201418112434574</v>
      </c>
    </row>
    <row r="9495" spans="1:4">
      <c r="A9495">
        <v>1.0074129999999999</v>
      </c>
      <c r="B9495">
        <v>3.1256590000000002</v>
      </c>
      <c r="C9495">
        <f>LOG10(1.007413)</f>
        <v>3.2075508415620713E-3</v>
      </c>
      <c r="D9495">
        <f>LOG10(3.125659)</f>
        <v>0.49494159604517607</v>
      </c>
    </row>
    <row r="9496" spans="1:4">
      <c r="A9496">
        <v>1.002616</v>
      </c>
      <c r="B9496">
        <v>3.0386989999999998</v>
      </c>
      <c r="C9496">
        <f>LOG10(1.002616)</f>
        <v>1.134630913645269E-3</v>
      </c>
      <c r="D9496">
        <f>LOG10(3.038699)</f>
        <v>0.48268768293178865</v>
      </c>
    </row>
    <row r="9497" spans="1:4">
      <c r="A9497">
        <v>1.0004999999999999</v>
      </c>
      <c r="B9497">
        <v>3.0755859999999999</v>
      </c>
      <c r="C9497">
        <f>LOG10(1.0005)</f>
        <v>2.1709297223018438E-4</v>
      </c>
      <c r="D9497">
        <f>LOG10(3.075586)</f>
        <v>0.48792787533741411</v>
      </c>
    </row>
    <row r="9498" spans="1:4">
      <c r="A9498">
        <v>1.0048250000000001</v>
      </c>
      <c r="B9498">
        <v>3.0533429999999999</v>
      </c>
      <c r="C9498">
        <f>LOG10(1.004825)</f>
        <v>2.0904317543680817E-3</v>
      </c>
      <c r="D9498">
        <f>LOG10(3.053343)</f>
        <v>0.48477559389579039</v>
      </c>
    </row>
    <row r="9499" spans="1:4">
      <c r="A9499">
        <v>1.010534</v>
      </c>
      <c r="B9499">
        <v>2.9683609999999998</v>
      </c>
      <c r="C9499">
        <f>LOG10(1.010534)</f>
        <v>4.5509301857873542E-3</v>
      </c>
      <c r="D9499">
        <f>LOG10(2.968361)</f>
        <v>0.47251671694866348</v>
      </c>
    </row>
    <row r="9500" spans="1:4">
      <c r="A9500">
        <v>1.003155</v>
      </c>
      <c r="B9500">
        <v>2.9508299999999998</v>
      </c>
      <c r="C9500">
        <f>LOG10(1.003155)</f>
        <v>1.3680421369409777E-3</v>
      </c>
      <c r="D9500">
        <f>LOG10(2.95083)</f>
        <v>0.46994419012056565</v>
      </c>
    </row>
    <row r="9501" spans="1:4">
      <c r="A9501">
        <v>1.005771</v>
      </c>
      <c r="B9501">
        <v>2.9460679999999999</v>
      </c>
      <c r="C9501">
        <f>LOG10(1.005771)</f>
        <v>2.4991091915036135E-3</v>
      </c>
      <c r="D9501">
        <f>LOG10(2.946068)</f>
        <v>0.46924276683924732</v>
      </c>
    </row>
    <row r="9502" spans="1:4">
      <c r="A9502">
        <v>1.0138290000000001</v>
      </c>
      <c r="B9502">
        <v>2.8995669999999998</v>
      </c>
      <c r="C9502">
        <f>LOG10(1.013829)</f>
        <v>5.9647098108823703E-3</v>
      </c>
      <c r="D9502">
        <f>LOG10(2.899567)</f>
        <v>0.46233314839863526</v>
      </c>
    </row>
    <row r="9503" spans="1:4">
      <c r="A9503">
        <v>1.0078609999999999</v>
      </c>
      <c r="B9503">
        <v>2.9896590000000001</v>
      </c>
      <c r="C9503">
        <f>LOG10(1.007861)</f>
        <v>3.400640149614143E-3</v>
      </c>
      <c r="D9503">
        <f>LOG10(2.989659)</f>
        <v>0.47562165559405506</v>
      </c>
    </row>
    <row r="9504" spans="1:4">
      <c r="A9504">
        <v>1.004783</v>
      </c>
      <c r="B9504">
        <v>3.0729139999999999</v>
      </c>
      <c r="C9504">
        <f>LOG10(1.004783)</f>
        <v>2.0722785939082961E-3</v>
      </c>
      <c r="D9504">
        <f>LOG10(3.072914)</f>
        <v>0.48755040605915184</v>
      </c>
    </row>
    <row r="9505" spans="1:4">
      <c r="A9505">
        <v>1.0057799999999999</v>
      </c>
      <c r="B9505">
        <v>3.0425550000000001</v>
      </c>
      <c r="C9505">
        <f>LOG10(1.00578)</f>
        <v>2.5029953970605429E-3</v>
      </c>
      <c r="D9505">
        <f>LOG10(3.042555)</f>
        <v>0.48323843767633728</v>
      </c>
    </row>
    <row r="9506" spans="1:4">
      <c r="A9506">
        <v>1.0053019999999999</v>
      </c>
      <c r="B9506">
        <v>3.06907</v>
      </c>
      <c r="C9506">
        <f>LOG10(1.005302)</f>
        <v>2.2965465637867738E-3</v>
      </c>
      <c r="D9506">
        <f>LOG10(3.06907)</f>
        <v>0.48700679402551394</v>
      </c>
    </row>
    <row r="9507" spans="1:4">
      <c r="A9507">
        <v>1.0059910000000001</v>
      </c>
      <c r="B9507">
        <v>3.008127</v>
      </c>
      <c r="C9507">
        <f>LOG10(1.005991)</f>
        <v>2.5940953642214935E-3</v>
      </c>
      <c r="D9507">
        <f>LOG10(3.008127)</f>
        <v>0.4782961677689675</v>
      </c>
    </row>
    <row r="9508" spans="1:4">
      <c r="A9508">
        <v>1.0042850000000001</v>
      </c>
      <c r="B9508">
        <v>3.1485270000000001</v>
      </c>
      <c r="C9508">
        <f>LOG10(1.004285)</f>
        <v>1.8569761189125833E-3</v>
      </c>
      <c r="D9508">
        <f>LOG10(3.148527)</f>
        <v>0.49810742191971857</v>
      </c>
    </row>
    <row r="9509" spans="1:4">
      <c r="A9509">
        <v>1.0080849999999999</v>
      </c>
      <c r="B9509">
        <v>3.056241</v>
      </c>
      <c r="C9509">
        <f>LOG10(1.008085)</f>
        <v>3.4971526200341719E-3</v>
      </c>
      <c r="D9509">
        <f>LOG10(3.056241)</f>
        <v>0.48518759756181662</v>
      </c>
    </row>
    <row r="9510" spans="1:4">
      <c r="A9510">
        <v>1.0039020000000001</v>
      </c>
      <c r="B9510">
        <v>3.0419779999999998</v>
      </c>
      <c r="C9510">
        <f>LOG10(1.003902)</f>
        <v>1.691319445917787E-3</v>
      </c>
      <c r="D9510">
        <f>LOG10(3.041978)</f>
        <v>0.48315606885138085</v>
      </c>
    </row>
    <row r="9511" spans="1:4">
      <c r="A9511">
        <v>1.045981</v>
      </c>
      <c r="B9511">
        <v>3.052794</v>
      </c>
      <c r="C9511">
        <f>LOG10(1.045981)</f>
        <v>1.952379574530913E-2</v>
      </c>
      <c r="D9511">
        <f>LOG10(3.052794)</f>
        <v>0.48469749945696355</v>
      </c>
    </row>
    <row r="9512" spans="1:4">
      <c r="A9512">
        <v>1.015282</v>
      </c>
      <c r="B9512">
        <v>3.2049439999999998</v>
      </c>
      <c r="C9512">
        <f>LOG10(1.015282)</f>
        <v>6.5866866175355449E-3</v>
      </c>
      <c r="D9512">
        <f>LOG10(3.204944)</f>
        <v>0.5058204454918217</v>
      </c>
    </row>
    <row r="9513" spans="1:4">
      <c r="A9513">
        <v>1.0069109999999999</v>
      </c>
      <c r="B9513">
        <v>3.0192830000000002</v>
      </c>
      <c r="C9513">
        <f>LOG10(1.006911)</f>
        <v>2.9910853331046876E-3</v>
      </c>
      <c r="D9513">
        <f>LOG10(3.019283)</f>
        <v>0.4799038217273664</v>
      </c>
    </row>
    <row r="9514" spans="1:4">
      <c r="A9514">
        <v>1.008731</v>
      </c>
      <c r="B9514">
        <v>3.130109</v>
      </c>
      <c r="C9514">
        <f>LOG10(1.008731)</f>
        <v>3.7753676331084346E-3</v>
      </c>
      <c r="D9514">
        <f>LOG10(3.130109)</f>
        <v>0.49555946127625328</v>
      </c>
    </row>
    <row r="9515" spans="1:4">
      <c r="A9515">
        <v>1.0046889999999999</v>
      </c>
      <c r="B9515">
        <v>3.0372569999999999</v>
      </c>
      <c r="C9515">
        <f>LOG10(1.004689)</f>
        <v>2.0316473421877449E-3</v>
      </c>
      <c r="D9515">
        <f>LOG10(3.037257)</f>
        <v>0.48248154165799984</v>
      </c>
    </row>
    <row r="9516" spans="1:4">
      <c r="A9516">
        <v>1.004321</v>
      </c>
      <c r="B9516">
        <v>2.9676979999999999</v>
      </c>
      <c r="C9516">
        <f>LOG10(1.004321)</f>
        <v>1.872543732820098E-3</v>
      </c>
      <c r="D9516">
        <f>LOG10(2.967698)</f>
        <v>0.47241970401712119</v>
      </c>
    </row>
    <row r="9517" spans="1:4">
      <c r="A9517">
        <v>1.005153</v>
      </c>
      <c r="B9517">
        <v>3.10588</v>
      </c>
      <c r="C9517">
        <f>LOG10(1.005153)</f>
        <v>2.2321731976362837E-3</v>
      </c>
      <c r="D9517">
        <f>LOG10(3.10588)</f>
        <v>0.49218467214444256</v>
      </c>
    </row>
    <row r="9518" spans="1:4">
      <c r="A9518">
        <v>1.0053650000000001</v>
      </c>
      <c r="B9518">
        <v>3.152361</v>
      </c>
      <c r="C9518">
        <f>LOG10(1.005365)</f>
        <v>2.3237619628249258E-3</v>
      </c>
      <c r="D9518">
        <f>LOG10(3.152361)</f>
        <v>0.49863594591478688</v>
      </c>
    </row>
    <row r="9519" spans="1:4">
      <c r="A9519">
        <v>1.001288</v>
      </c>
      <c r="B9519">
        <v>3.0829469999999999</v>
      </c>
      <c r="C9519">
        <f>LOG10(1.001288)</f>
        <v>5.5901136660226178E-4</v>
      </c>
      <c r="D9519">
        <f>LOG10(3.082947)</f>
        <v>0.48896605868518761</v>
      </c>
    </row>
    <row r="9520" spans="1:4">
      <c r="A9520">
        <v>1.0077160000000001</v>
      </c>
      <c r="B9520">
        <v>3.1337090000000001</v>
      </c>
      <c r="C9520">
        <f>LOG10(1.007716)</f>
        <v>3.3381541220552486E-3</v>
      </c>
      <c r="D9520">
        <f>LOG10(3.133709)</f>
        <v>0.4960586648951949</v>
      </c>
    </row>
    <row r="9521" spans="1:4">
      <c r="A9521">
        <v>1.005979</v>
      </c>
      <c r="B9521">
        <v>3.0740240000000001</v>
      </c>
      <c r="C9521">
        <f>LOG10(1.005979)</f>
        <v>2.5889148359005401E-3</v>
      </c>
      <c r="D9521">
        <f>LOG10(3.074024)</f>
        <v>0.48770725386863112</v>
      </c>
    </row>
    <row r="9522" spans="1:4">
      <c r="A9522">
        <v>1.0070319999999999</v>
      </c>
      <c r="B9522">
        <v>3.1351429999999998</v>
      </c>
      <c r="C9522">
        <f>LOG10(1.007032)</f>
        <v>3.0432711520415098E-3</v>
      </c>
      <c r="D9522">
        <f>LOG10(3.135143)</f>
        <v>0.49625735463867959</v>
      </c>
    </row>
    <row r="9523" spans="1:4">
      <c r="A9523">
        <v>1.0006120000000001</v>
      </c>
      <c r="B9523">
        <v>3.098754</v>
      </c>
      <c r="C9523">
        <f>LOG10(1.000612)</f>
        <v>2.6570692489650432E-4</v>
      </c>
      <c r="D9523">
        <f>LOG10(3.098754)</f>
        <v>0.49118710038154351</v>
      </c>
    </row>
    <row r="9524" spans="1:4">
      <c r="A9524">
        <v>1.0099629999999999</v>
      </c>
      <c r="B9524">
        <v>3.1674440000000001</v>
      </c>
      <c r="C9524">
        <f>LOG10(1.009963)</f>
        <v>4.3054636933664422E-3</v>
      </c>
      <c r="D9524">
        <f>LOG10(3.167444)</f>
        <v>0.5007089453531185</v>
      </c>
    </row>
    <row r="9525" spans="1:4">
      <c r="A9525">
        <v>1.0031540000000001</v>
      </c>
      <c r="B9525">
        <v>3.1720250000000001</v>
      </c>
      <c r="C9525">
        <f>LOG10(1.003154)</f>
        <v>1.3676092081330348E-3</v>
      </c>
      <c r="D9525">
        <f>LOG10(3.172025)</f>
        <v>0.50133660150788084</v>
      </c>
    </row>
    <row r="9526" spans="1:4">
      <c r="A9526">
        <v>1.006526</v>
      </c>
      <c r="B9526">
        <v>3.290308</v>
      </c>
      <c r="C9526">
        <f>LOG10(1.006526)</f>
        <v>2.8249978145277214E-3</v>
      </c>
      <c r="D9526">
        <f>LOG10(3.290308)</f>
        <v>0.51723655340273544</v>
      </c>
    </row>
    <row r="9527" spans="1:4">
      <c r="A9527">
        <v>1.0046440000000001</v>
      </c>
      <c r="B9527">
        <v>3.1961900000000001</v>
      </c>
      <c r="C9527">
        <f>LOG10(1.004644)</f>
        <v>2.0121948654814462E-3</v>
      </c>
      <c r="D9527">
        <f>LOG10(3.19619)</f>
        <v>0.504632588382536</v>
      </c>
    </row>
    <row r="9528" spans="1:4">
      <c r="A9528">
        <v>1.009358</v>
      </c>
      <c r="B9528">
        <v>3.2360069999999999</v>
      </c>
      <c r="C9528">
        <f>LOG10(1.009358)</f>
        <v>4.0452295162215612E-3</v>
      </c>
      <c r="D9528">
        <f>LOG10(3.236007)</f>
        <v>0.51000945238958117</v>
      </c>
    </row>
    <row r="9529" spans="1:4">
      <c r="A9529">
        <v>1.0047550000000001</v>
      </c>
      <c r="B9529">
        <v>3.2710050000000002</v>
      </c>
      <c r="C9529">
        <f>LOG10(1.004755)</f>
        <v>2.0601760653728395E-3</v>
      </c>
      <c r="D9529">
        <f>LOG10(3.271005)</f>
        <v>0.51468120798030104</v>
      </c>
    </row>
    <row r="9530" spans="1:4">
      <c r="A9530">
        <v>1.0055099999999999</v>
      </c>
      <c r="B9530">
        <v>3.1420309999999998</v>
      </c>
      <c r="C9530">
        <f>LOG10(1.00551)</f>
        <v>2.3863941005610309E-3</v>
      </c>
      <c r="D9530">
        <f>LOG10(3.142031)</f>
        <v>0.49721046557426757</v>
      </c>
    </row>
    <row r="9531" spans="1:4">
      <c r="A9531">
        <v>1.0016210000000001</v>
      </c>
      <c r="B9531">
        <v>3.2052230000000002</v>
      </c>
      <c r="C9531">
        <f>LOG10(1.001621)</f>
        <v>7.0342138603535827E-4</v>
      </c>
      <c r="D9531">
        <f>LOG10(3.205223)</f>
        <v>0.50585825048521038</v>
      </c>
    </row>
    <row r="9532" spans="1:4">
      <c r="A9532">
        <v>1.0042469999999999</v>
      </c>
      <c r="B9532">
        <v>3.0046390000000001</v>
      </c>
      <c r="C9532">
        <f>LOG10(1.004247)</f>
        <v>1.8405430321463466E-3</v>
      </c>
      <c r="D9532">
        <f>LOG10(3.004639)</f>
        <v>0.47779230005723605</v>
      </c>
    </row>
    <row r="9533" spans="1:4">
      <c r="A9533">
        <v>1.0044500000000001</v>
      </c>
      <c r="B9533">
        <v>2.9090229999999999</v>
      </c>
      <c r="C9533">
        <f>LOG10(1.00445)</f>
        <v>1.9283231006450552E-3</v>
      </c>
      <c r="D9533">
        <f>LOG10(2.909023)</f>
        <v>0.46374715498153696</v>
      </c>
    </row>
    <row r="9534" spans="1:4">
      <c r="A9534">
        <v>1.009304</v>
      </c>
      <c r="B9534">
        <v>2.9038339999999998</v>
      </c>
      <c r="C9534">
        <f>LOG10(1.009304)</f>
        <v>4.0219944208679369E-3</v>
      </c>
      <c r="D9534">
        <f>LOG10(2.903834)</f>
        <v>0.46297178594521154</v>
      </c>
    </row>
    <row r="9535" spans="1:4">
      <c r="A9535">
        <v>1.0115730000000001</v>
      </c>
      <c r="B9535">
        <v>2.9892210000000001</v>
      </c>
      <c r="C9535">
        <f>LOG10(1.011573)</f>
        <v>4.9972290279432161E-3</v>
      </c>
      <c r="D9535">
        <f>LOG10(2.989221)</f>
        <v>0.47555802461854996</v>
      </c>
    </row>
    <row r="9536" spans="1:4">
      <c r="A9536">
        <v>1.00217</v>
      </c>
      <c r="B9536">
        <v>3.018894</v>
      </c>
      <c r="C9536">
        <f>LOG10(1.00217)</f>
        <v>9.4139797793614706E-4</v>
      </c>
      <c r="D9536">
        <f>LOG10(3.018894)</f>
        <v>0.47984786425752268</v>
      </c>
    </row>
    <row r="9537" spans="1:4">
      <c r="A9537">
        <v>1.003145</v>
      </c>
      <c r="B9537">
        <v>3.0130300000000001</v>
      </c>
      <c r="C9537">
        <f>LOG10(1.003145)</f>
        <v>1.3637128294405074E-3</v>
      </c>
      <c r="D9537">
        <f>LOG10(3.01303)</f>
        <v>0.47900345585842002</v>
      </c>
    </row>
    <row r="9538" spans="1:4">
      <c r="A9538">
        <v>1.0106250000000001</v>
      </c>
      <c r="B9538">
        <v>3.1723789999999998</v>
      </c>
      <c r="C9538">
        <f>LOG10(1.010625)</f>
        <v>4.5900372504764043E-3</v>
      </c>
      <c r="D9538">
        <f>LOG10(3.172379)</f>
        <v>0.50138506634295532</v>
      </c>
    </row>
    <row r="9539" spans="1:4">
      <c r="A9539">
        <v>1.007916</v>
      </c>
      <c r="B9539">
        <v>3.0562119999999999</v>
      </c>
      <c r="C9539">
        <f>LOG10(1.007916)</f>
        <v>3.4243393946304978E-3</v>
      </c>
      <c r="D9539">
        <f>LOG10(3.056212)</f>
        <v>0.48518347661725464</v>
      </c>
    </row>
    <row r="9540" spans="1:4">
      <c r="A9540">
        <v>1.022302</v>
      </c>
      <c r="B9540">
        <v>3.0886439999999999</v>
      </c>
      <c r="C9540">
        <f>LOG10(1.022302)</f>
        <v>9.5792104356594056E-3</v>
      </c>
      <c r="D9540">
        <f>LOG10(3.088644)</f>
        <v>0.48976785399734096</v>
      </c>
    </row>
    <row r="9541" spans="1:4">
      <c r="A9541">
        <v>1.0240910000000001</v>
      </c>
      <c r="B9541">
        <v>3.0829240000000002</v>
      </c>
      <c r="C9541">
        <f>LOG10(1.024091)</f>
        <v>1.0338549454173462E-2</v>
      </c>
      <c r="D9541">
        <f>LOG10(3.082924)</f>
        <v>0.48896281866505625</v>
      </c>
    </row>
    <row r="9542" spans="1:4">
      <c r="A9542">
        <v>1.0055449999999999</v>
      </c>
      <c r="B9542">
        <v>3.141359</v>
      </c>
      <c r="C9542">
        <f>LOG10(1.005545)</f>
        <v>2.401510849598876E-3</v>
      </c>
      <c r="D9542">
        <f>LOG10(3.141359)</f>
        <v>0.49711757116760119</v>
      </c>
    </row>
    <row r="9543" spans="1:4">
      <c r="A9543">
        <v>1.0062629999999999</v>
      </c>
      <c r="B9543">
        <v>3.0274519999999998</v>
      </c>
      <c r="C9543">
        <f>LOG10(1.006263)</f>
        <v>2.7115041006902153E-3</v>
      </c>
      <c r="D9543">
        <f>LOG10(3.027452)</f>
        <v>0.48107726616673729</v>
      </c>
    </row>
    <row r="9544" spans="1:4">
      <c r="A9544">
        <v>1.0085740000000001</v>
      </c>
      <c r="B9544">
        <v>3.02461</v>
      </c>
      <c r="C9544">
        <f>LOG10(1.008574)</f>
        <v>3.7077683025198939E-3</v>
      </c>
      <c r="D9544">
        <f>LOG10(3.02461)</f>
        <v>0.48066938369352591</v>
      </c>
    </row>
    <row r="9545" spans="1:4">
      <c r="A9545">
        <v>1.0074209999999999</v>
      </c>
      <c r="B9545">
        <v>3.073747</v>
      </c>
      <c r="C9545">
        <f>LOG10(1.007421)</f>
        <v>3.2109996178436391E-3</v>
      </c>
      <c r="D9545">
        <f>LOG10(3.073747)</f>
        <v>0.48766811787232656</v>
      </c>
    </row>
    <row r="9546" spans="1:4">
      <c r="A9546">
        <v>1.0086759999999999</v>
      </c>
      <c r="B9546">
        <v>3.2679149999999999</v>
      </c>
      <c r="C9546">
        <f>LOG10(1.008676)</f>
        <v>3.7516875363201745E-3</v>
      </c>
      <c r="D9546">
        <f>LOG10(3.267915)</f>
        <v>0.51427075180436621</v>
      </c>
    </row>
    <row r="9547" spans="1:4">
      <c r="A9547">
        <v>1.0032399999999999</v>
      </c>
      <c r="B9547">
        <v>3.301609</v>
      </c>
      <c r="C9547">
        <f>LOG10(1.00324)</f>
        <v>1.4048395083297756E-3</v>
      </c>
      <c r="D9547">
        <f>LOG10(3.301609)</f>
        <v>0.5187256397332467</v>
      </c>
    </row>
    <row r="9548" spans="1:4">
      <c r="A9548">
        <v>1.0072890000000001</v>
      </c>
      <c r="B9548">
        <v>3.4122219999999999</v>
      </c>
      <c r="C9548">
        <f>LOG10(1.007289)</f>
        <v>3.1540913067783544E-3</v>
      </c>
      <c r="D9548">
        <f>LOG10(3.412222)</f>
        <v>0.53303727872015583</v>
      </c>
    </row>
    <row r="9549" spans="1:4">
      <c r="A9549">
        <v>1.010067</v>
      </c>
      <c r="B9549">
        <v>3.30247</v>
      </c>
      <c r="C9549">
        <f>LOG10(1.010067)</f>
        <v>4.3501824610658229E-3</v>
      </c>
      <c r="D9549">
        <f>LOG10(3.30247)</f>
        <v>0.51883888112573673</v>
      </c>
    </row>
    <row r="9550" spans="1:4">
      <c r="A9550">
        <v>1.0074719999999999</v>
      </c>
      <c r="B9550">
        <v>3.3511359999999999</v>
      </c>
      <c r="C9550">
        <f>LOG10(1.007472)</f>
        <v>3.2329849228517026E-3</v>
      </c>
      <c r="D9550">
        <f>LOG10(3.351136)</f>
        <v>0.52519205327574203</v>
      </c>
    </row>
    <row r="9551" spans="1:4">
      <c r="A9551">
        <v>1.0043770000000001</v>
      </c>
      <c r="B9551">
        <v>3.135669</v>
      </c>
      <c r="C9551">
        <f>LOG10(1.004377)</f>
        <v>1.8967589119987572E-3</v>
      </c>
      <c r="D9551">
        <f>LOG10(3.135669)</f>
        <v>0.49633021247527781</v>
      </c>
    </row>
    <row r="9552" spans="1:4">
      <c r="A9552">
        <v>1.007131</v>
      </c>
      <c r="B9552">
        <v>3.3029649999999999</v>
      </c>
      <c r="C9552">
        <f>LOG10(1.007131)</f>
        <v>3.0859639765478454E-3</v>
      </c>
      <c r="D9552">
        <f>LOG10(3.302965)</f>
        <v>0.51890397169704494</v>
      </c>
    </row>
    <row r="9553" spans="1:4">
      <c r="A9553">
        <v>1.0025980000000001</v>
      </c>
      <c r="B9553">
        <v>3.352919</v>
      </c>
      <c r="C9553">
        <f>LOG10(1.002598)</f>
        <v>1.1268339396819874E-3</v>
      </c>
      <c r="D9553">
        <f>LOG10(3.352919)</f>
        <v>0.52542306184577647</v>
      </c>
    </row>
    <row r="9554" spans="1:4">
      <c r="A9554">
        <v>1.0148470000000001</v>
      </c>
      <c r="B9554">
        <v>3.3066239999999998</v>
      </c>
      <c r="C9554">
        <f>LOG10(1.014847)</f>
        <v>6.400572235130156E-3</v>
      </c>
      <c r="D9554">
        <f>LOG10(3.306624)</f>
        <v>0.51938481359859578</v>
      </c>
    </row>
    <row r="9555" spans="1:4">
      <c r="A9555">
        <v>1.007655</v>
      </c>
      <c r="B9555">
        <v>3.263935</v>
      </c>
      <c r="C9555">
        <f>LOG10(1.007655)</f>
        <v>3.311864209771876E-3</v>
      </c>
      <c r="D9555">
        <f>LOG10(3.263935)</f>
        <v>0.51374150136172303</v>
      </c>
    </row>
    <row r="9556" spans="1:4">
      <c r="A9556">
        <v>1.0008680000000001</v>
      </c>
      <c r="B9556">
        <v>3.2834889999999999</v>
      </c>
      <c r="C9556">
        <f>LOG10(1.000868)</f>
        <v>3.7680410095975478E-4</v>
      </c>
      <c r="D9556">
        <f>LOG10(3.283489)</f>
        <v>0.51633556569828842</v>
      </c>
    </row>
    <row r="9557" spans="1:4">
      <c r="A9557">
        <v>1.0108349999999999</v>
      </c>
      <c r="B9557">
        <v>3.3202090000000002</v>
      </c>
      <c r="C9557">
        <f>LOG10(1.010835)</f>
        <v>4.6802708851045377E-3</v>
      </c>
      <c r="D9557">
        <f>LOG10(3.320209)</f>
        <v>0.52116542246603847</v>
      </c>
    </row>
    <row r="9558" spans="1:4">
      <c r="A9558">
        <v>1.0064679999999999</v>
      </c>
      <c r="B9558">
        <v>3.331941</v>
      </c>
      <c r="C9558">
        <f>LOG10(1.006468)</f>
        <v>2.7999713316297012E-3</v>
      </c>
      <c r="D9558">
        <f>LOG10(3.331941)</f>
        <v>0.52269730257829961</v>
      </c>
    </row>
    <row r="9559" spans="1:4">
      <c r="A9559">
        <v>1.0063550000000001</v>
      </c>
      <c r="B9559">
        <v>3.3677739999999998</v>
      </c>
      <c r="C9559">
        <f>LOG10(1.006355)</f>
        <v>2.7512086967566491E-3</v>
      </c>
      <c r="D9559">
        <f>LOG10(3.367774)</f>
        <v>0.52734293976166369</v>
      </c>
    </row>
    <row r="9560" spans="1:4">
      <c r="A9560">
        <v>1.0067029999999999</v>
      </c>
      <c r="B9560">
        <v>3.539472</v>
      </c>
      <c r="C9560">
        <f>LOG10(1.006703)</f>
        <v>2.9013628216827737E-3</v>
      </c>
      <c r="D9560">
        <f>LOG10(3.539472)</f>
        <v>0.54893848106843113</v>
      </c>
    </row>
    <row r="9561" spans="1:4">
      <c r="A9561">
        <v>1.007171</v>
      </c>
      <c r="B9561">
        <v>3.48821</v>
      </c>
      <c r="C9561">
        <f>LOG10(1.007171)</f>
        <v>3.1032124122624808E-3</v>
      </c>
      <c r="D9561">
        <f>LOG10(3.48821)</f>
        <v>0.54260262279030069</v>
      </c>
    </row>
    <row r="9562" spans="1:4">
      <c r="A9562">
        <v>1.00431</v>
      </c>
      <c r="B9562">
        <v>3.3429350000000002</v>
      </c>
      <c r="C9562">
        <f>LOG10(1.00431)</f>
        <v>1.867787021108513E-3</v>
      </c>
      <c r="D9562">
        <f>LOG10(3.342935)</f>
        <v>0.52412793225641374</v>
      </c>
    </row>
    <row r="9563" spans="1:4">
      <c r="A9563">
        <v>1.008213</v>
      </c>
      <c r="B9563">
        <v>3.2594880000000002</v>
      </c>
      <c r="C9563">
        <f>LOG10(1.008213)</f>
        <v>3.5522929750395811E-3</v>
      </c>
      <c r="D9563">
        <f>LOG10(3.259488)</f>
        <v>0.51314938649804165</v>
      </c>
    </row>
    <row r="9564" spans="1:4">
      <c r="A9564">
        <v>1.013865</v>
      </c>
      <c r="B9564">
        <v>3.5027379999999999</v>
      </c>
      <c r="C9564">
        <f>LOG10(1.013865)</f>
        <v>5.9801308767336555E-3</v>
      </c>
      <c r="D9564">
        <f>LOG10(3.502738)</f>
        <v>0.54440765390072432</v>
      </c>
    </row>
    <row r="9565" spans="1:4">
      <c r="A9565">
        <v>1.0069520000000001</v>
      </c>
      <c r="B9565">
        <v>3.593013</v>
      </c>
      <c r="C9565">
        <f>LOG10(1.006952)</f>
        <v>3.0087688336810146E-3</v>
      </c>
      <c r="D9565">
        <f>LOG10(3.593013)</f>
        <v>0.55545878854282127</v>
      </c>
    </row>
    <row r="9566" spans="1:4">
      <c r="A9566">
        <v>1.0106200000000001</v>
      </c>
      <c r="B9566">
        <v>3.7417570000000002</v>
      </c>
      <c r="C9566">
        <f>LOG10(1.01062)</f>
        <v>4.5878886020844136E-3</v>
      </c>
      <c r="D9566">
        <f>LOG10(3.741757)</f>
        <v>0.57307557980058965</v>
      </c>
    </row>
    <row r="9567" spans="1:4">
      <c r="A9567">
        <v>1.0003740000000001</v>
      </c>
      <c r="B9567">
        <v>3.441764</v>
      </c>
      <c r="C9567">
        <f>LOG10(1.000374)</f>
        <v>1.6239577011543181E-4</v>
      </c>
      <c r="D9567">
        <f>LOG10(3.441764)</f>
        <v>0.53678108766161348</v>
      </c>
    </row>
    <row r="9568" spans="1:4">
      <c r="A9568">
        <v>1.0091140000000001</v>
      </c>
      <c r="B9568">
        <v>3.4913979999999998</v>
      </c>
      <c r="C9568">
        <f>LOG10(1.009114)</f>
        <v>3.9402314244962183E-3</v>
      </c>
      <c r="D9568">
        <f>LOG10(3.491398)</f>
        <v>0.54299935879742089</v>
      </c>
    </row>
    <row r="9569" spans="1:4">
      <c r="A9569">
        <v>1.0061530000000001</v>
      </c>
      <c r="B9569">
        <v>3.3685710000000002</v>
      </c>
      <c r="C9569">
        <f>LOG10(1.006153)</f>
        <v>2.6640264488956931E-3</v>
      </c>
      <c r="D9569">
        <f>LOG10(3.368571)</f>
        <v>0.52744570549105918</v>
      </c>
    </row>
    <row r="9570" spans="1:4">
      <c r="A9570">
        <v>1.00997</v>
      </c>
      <c r="B9570">
        <v>3.4140389999999998</v>
      </c>
      <c r="C9570">
        <f>LOG10(1.00997)</f>
        <v>4.3084737549609351E-3</v>
      </c>
      <c r="D9570">
        <f>LOG10(3.414039)</f>
        <v>0.53326847793514476</v>
      </c>
    </row>
    <row r="9571" spans="1:4">
      <c r="A9571">
        <v>1.004869</v>
      </c>
      <c r="B9571">
        <v>3.5438999999999998</v>
      </c>
      <c r="C9571">
        <f>LOG10(1.004869)</f>
        <v>2.1094485372283255E-3</v>
      </c>
      <c r="D9571">
        <f>LOG10(3.5439)</f>
        <v>0.5494814586831509</v>
      </c>
    </row>
    <row r="9572" spans="1:4">
      <c r="A9572">
        <v>1.0102910000000001</v>
      </c>
      <c r="B9572">
        <v>3.5272960000000002</v>
      </c>
      <c r="C9572">
        <f>LOG10(1.010291)</f>
        <v>4.4464841703123438E-3</v>
      </c>
      <c r="D9572">
        <f>LOG10(3.527296)</f>
        <v>0.54744190587465724</v>
      </c>
    </row>
    <row r="9573" spans="1:4">
      <c r="A9573">
        <v>1.004203</v>
      </c>
      <c r="B9573">
        <v>3.3255170000000001</v>
      </c>
      <c r="C9573">
        <f>LOG10(1.004203)</f>
        <v>1.821514470612058E-3</v>
      </c>
      <c r="D9573">
        <f>LOG10(3.325517)</f>
        <v>0.52185917228363243</v>
      </c>
    </row>
    <row r="9574" spans="1:4">
      <c r="A9574">
        <v>1.0165839999999999</v>
      </c>
      <c r="B9574">
        <v>3.367988</v>
      </c>
      <c r="C9574">
        <f>LOG10(1.016584)</f>
        <v>7.1432700662784881E-3</v>
      </c>
      <c r="D9574">
        <f>LOG10(3.367988)</f>
        <v>0.52737053545734258</v>
      </c>
    </row>
    <row r="9575" spans="1:4">
      <c r="A9575">
        <v>1.0087809999999999</v>
      </c>
      <c r="B9575">
        <v>3.445535</v>
      </c>
      <c r="C9575">
        <f>LOG10(1.008781)</f>
        <v>3.7968938734475825E-3</v>
      </c>
      <c r="D9575">
        <f>LOG10(3.445535)</f>
        <v>0.53725666586866216</v>
      </c>
    </row>
    <row r="9576" spans="1:4">
      <c r="A9576">
        <v>1.0040210000000001</v>
      </c>
      <c r="B9576">
        <v>3.340055</v>
      </c>
      <c r="C9576">
        <f>LOG10(1.004021)</f>
        <v>1.7427965627265351E-3</v>
      </c>
      <c r="D9576">
        <f>LOG10(3.340055)</f>
        <v>0.5237536183085223</v>
      </c>
    </row>
    <row r="9577" spans="1:4">
      <c r="A9577">
        <v>1.0045599999999999</v>
      </c>
      <c r="B9577">
        <v>3.5737220000000001</v>
      </c>
      <c r="C9577">
        <f>LOG10(1.00456)</f>
        <v>1.9758812442650714E-3</v>
      </c>
      <c r="D9577">
        <f>LOG10(3.573722)</f>
        <v>0.55312076569570434</v>
      </c>
    </row>
    <row r="9578" spans="1:4">
      <c r="A9578">
        <v>1.014149</v>
      </c>
      <c r="B9578">
        <v>3.5723699999999998</v>
      </c>
      <c r="C9578">
        <f>LOG10(1.014149)</f>
        <v>6.1017667566307015E-3</v>
      </c>
      <c r="D9578">
        <f>LOG10(3.57237)</f>
        <v>0.5529564335973941</v>
      </c>
    </row>
    <row r="9579" spans="1:4">
      <c r="A9579">
        <v>1.01508</v>
      </c>
      <c r="B9579">
        <v>3.3284129999999998</v>
      </c>
      <c r="C9579">
        <f>LOG10(1.01508)</f>
        <v>6.5002710072809009E-3</v>
      </c>
      <c r="D9579">
        <f>LOG10(3.328413)</f>
        <v>0.52223720959361519</v>
      </c>
    </row>
    <row r="9580" spans="1:4">
      <c r="A9580">
        <v>1.0113989999999999</v>
      </c>
      <c r="B9580">
        <v>3.334727</v>
      </c>
      <c r="C9580">
        <f>LOG10(1.011399)</f>
        <v>4.9225198969838476E-3</v>
      </c>
      <c r="D9580">
        <f>LOG10(3.334727)</f>
        <v>0.52306028585480824</v>
      </c>
    </row>
    <row r="9581" spans="1:4">
      <c r="A9581">
        <v>1.0173700000000001</v>
      </c>
      <c r="B9581">
        <v>3.6390579999999999</v>
      </c>
      <c r="C9581">
        <f>LOG10(1.01737)</f>
        <v>7.4789270966421914E-3</v>
      </c>
      <c r="D9581">
        <f>LOG10(3.639058)</f>
        <v>0.56098897750962506</v>
      </c>
    </row>
    <row r="9582" spans="1:4">
      <c r="A9582">
        <v>1.0176369999999999</v>
      </c>
      <c r="B9582">
        <v>3.3786239999999998</v>
      </c>
      <c r="C9582">
        <f>LOG10(1.017637)</f>
        <v>7.5928889919412755E-3</v>
      </c>
      <c r="D9582">
        <f>LOG10(3.378624)</f>
        <v>0.52873986273931683</v>
      </c>
    </row>
    <row r="9583" spans="1:4">
      <c r="A9583">
        <v>1.016519</v>
      </c>
      <c r="B9583">
        <v>3.3231999999999999</v>
      </c>
      <c r="C9583">
        <f>LOG10(1.016519)</f>
        <v>7.1155005520597576E-3</v>
      </c>
      <c r="D9583">
        <f>LOG10(3.3232)</f>
        <v>0.52155647919102388</v>
      </c>
    </row>
    <row r="9584" spans="1:4">
      <c r="A9584">
        <v>1.001403</v>
      </c>
      <c r="B9584">
        <v>3.417449</v>
      </c>
      <c r="C9584">
        <f>LOG10(1.001403)</f>
        <v>6.0888812290046891E-4</v>
      </c>
      <c r="D9584">
        <f>LOG10(3.417449)</f>
        <v>0.53370204213266292</v>
      </c>
    </row>
    <row r="9585" spans="1:4">
      <c r="A9585">
        <v>1.005058</v>
      </c>
      <c r="B9585">
        <v>3.2832119999999998</v>
      </c>
      <c r="C9585">
        <f>LOG10(1.005058)</f>
        <v>2.1911247944472606E-3</v>
      </c>
      <c r="D9585">
        <f>LOG10(3.283212)</f>
        <v>0.51629892642643527</v>
      </c>
    </row>
    <row r="9586" spans="1:4">
      <c r="A9586">
        <v>1.0067950000000001</v>
      </c>
      <c r="B9586">
        <v>3.3200769999999999</v>
      </c>
      <c r="C9586">
        <f>LOG10(1.006795)</f>
        <v>2.9410500648416869E-3</v>
      </c>
      <c r="D9586">
        <f>LOG10(3.320077)</f>
        <v>0.52114815607973553</v>
      </c>
    </row>
    <row r="9587" spans="1:4">
      <c r="A9587">
        <v>1.012054</v>
      </c>
      <c r="B9587">
        <v>3.607726</v>
      </c>
      <c r="C9587">
        <f>LOG10(1.012054)</f>
        <v>5.2036857017565934E-3</v>
      </c>
      <c r="D9587">
        <f>LOG10(3.607726)</f>
        <v>0.55723354627380817</v>
      </c>
    </row>
    <row r="9588" spans="1:4">
      <c r="A9588">
        <v>1.0033049999999999</v>
      </c>
      <c r="B9588">
        <v>3.6067230000000001</v>
      </c>
      <c r="C9588">
        <f>LOG10(1.003305)</f>
        <v>1.4329765711253548E-3</v>
      </c>
      <c r="D9588">
        <f>LOG10(3.606723)</f>
        <v>0.55711278934056063</v>
      </c>
    </row>
    <row r="9589" spans="1:4">
      <c r="A9589">
        <v>1.01176</v>
      </c>
      <c r="B9589">
        <v>3.2408269999999999</v>
      </c>
      <c r="C9589">
        <f>LOG10(1.01176)</f>
        <v>5.0775055502429219E-3</v>
      </c>
      <c r="D9589">
        <f>LOG10(3.240827)</f>
        <v>0.51065584838775269</v>
      </c>
    </row>
    <row r="9590" spans="1:4">
      <c r="A9590">
        <v>1.0027440000000001</v>
      </c>
      <c r="B9590">
        <v>3.5406240000000002</v>
      </c>
      <c r="C9590">
        <f>LOG10(1.002744)</f>
        <v>1.1900720252253994E-3</v>
      </c>
      <c r="D9590">
        <f>LOG10(3.540624)</f>
        <v>0.54907980888307306</v>
      </c>
    </row>
    <row r="9591" spans="1:4">
      <c r="A9591">
        <v>1.0087219999999999</v>
      </c>
      <c r="B9591">
        <v>3.333113</v>
      </c>
      <c r="C9591">
        <f>LOG10(1.008722)</f>
        <v>3.7714927965325942E-3</v>
      </c>
      <c r="D9591">
        <f>LOG10(3.333113)</f>
        <v>0.52285003746628</v>
      </c>
    </row>
    <row r="9592" spans="1:4">
      <c r="A9592">
        <v>1.0036290000000001</v>
      </c>
      <c r="B9592">
        <v>3.872579</v>
      </c>
      <c r="C9592">
        <f>LOG10(1.003629)</f>
        <v>1.5732018235344507E-3</v>
      </c>
      <c r="D9592">
        <f>LOG10(3.872579)</f>
        <v>0.58800028606045374</v>
      </c>
    </row>
    <row r="9593" spans="1:4">
      <c r="A9593">
        <v>1.010502</v>
      </c>
      <c r="B9593">
        <v>3.8665940000000001</v>
      </c>
      <c r="C9593">
        <f>LOG10(1.010502)</f>
        <v>4.5371774140187376E-3</v>
      </c>
      <c r="D9593">
        <f>LOG10(3.866594)</f>
        <v>0.58732857268943739</v>
      </c>
    </row>
    <row r="9594" spans="1:4">
      <c r="A9594">
        <v>1.0045500000000001</v>
      </c>
      <c r="B9594">
        <v>3.1029979999999999</v>
      </c>
      <c r="C9594">
        <f>LOG10(1.00455)</f>
        <v>1.9715579918607724E-3</v>
      </c>
      <c r="D9594">
        <f>LOG10(3.102998)</f>
        <v>0.49178149566497664</v>
      </c>
    </row>
    <row r="9595" spans="1:4">
      <c r="A9595">
        <v>1.0045539999999999</v>
      </c>
      <c r="B9595">
        <v>3.506758</v>
      </c>
      <c r="C9595">
        <f>LOG10(1.004554)</f>
        <v>1.9732872979868555E-3</v>
      </c>
      <c r="D9595">
        <f>LOG10(3.506758)</f>
        <v>0.54490579642300052</v>
      </c>
    </row>
    <row r="9596" spans="1:4">
      <c r="A9596">
        <v>1.00444</v>
      </c>
      <c r="B9596">
        <v>3.4823409999999999</v>
      </c>
      <c r="C9596">
        <f>LOG10(1.00444)</f>
        <v>1.9239993747873956E-3</v>
      </c>
      <c r="D9596">
        <f>LOG10(3.482341)</f>
        <v>0.54187129612283869</v>
      </c>
    </row>
    <row r="9597" spans="1:4">
      <c r="A9597">
        <v>1.008416</v>
      </c>
      <c r="B9597">
        <v>3.4255960000000001</v>
      </c>
      <c r="C9597">
        <f>LOG10(1.008416)</f>
        <v>3.6397277784904116E-3</v>
      </c>
      <c r="D9597">
        <f>LOG10(3.425596)</f>
        <v>0.53473614283367066</v>
      </c>
    </row>
    <row r="9598" spans="1:4">
      <c r="A9598">
        <v>1.0068319999999999</v>
      </c>
      <c r="B9598">
        <v>3.4742310000000001</v>
      </c>
      <c r="C9598">
        <f>LOG10(1.006832)</f>
        <v>2.9570102161826854E-3</v>
      </c>
      <c r="D9598">
        <f>LOG10(3.474231)</f>
        <v>0.54085869110879525</v>
      </c>
    </row>
    <row r="9599" spans="1:4">
      <c r="A9599">
        <v>1.002232</v>
      </c>
      <c r="B9599">
        <v>3.6526559999999999</v>
      </c>
      <c r="C9599">
        <f>LOG10(1.002232)</f>
        <v>9.6826510128424992E-4</v>
      </c>
      <c r="D9599">
        <f>LOG10(3.652656)</f>
        <v>0.56260877313265945</v>
      </c>
    </row>
    <row r="9600" spans="1:4">
      <c r="A9600">
        <v>1.0089950000000001</v>
      </c>
      <c r="B9600">
        <v>3.3866459999999998</v>
      </c>
      <c r="C9600">
        <f>LOG10(1.008995)</f>
        <v>3.8890141281000606E-3</v>
      </c>
      <c r="D9600">
        <f>LOG10(3.386646)</f>
        <v>0.52976980299791954</v>
      </c>
    </row>
    <row r="9601" spans="1:4">
      <c r="A9601">
        <v>1.0018579999999999</v>
      </c>
      <c r="B9601">
        <v>3.556073</v>
      </c>
      <c r="C9601">
        <f>LOG10(1.001858)</f>
        <v>8.0617044673537085E-4</v>
      </c>
      <c r="D9601">
        <f>LOG10(3.556073)</f>
        <v>0.55097066770081049</v>
      </c>
    </row>
    <row r="9602" spans="1:4">
      <c r="A9602">
        <v>1.0066619999999999</v>
      </c>
      <c r="B9602">
        <v>3.7331400000000001</v>
      </c>
      <c r="C9602">
        <f>LOG10(1.006662)</f>
        <v>2.8836749471439034E-3</v>
      </c>
      <c r="D9602">
        <f>LOG10(3.73314)</f>
        <v>0.57207427711820658</v>
      </c>
    </row>
    <row r="9603" spans="1:4">
      <c r="A9603">
        <v>1.0021910000000001</v>
      </c>
      <c r="B9603">
        <v>3.386034</v>
      </c>
      <c r="C9603">
        <f>LOG10(1.002191)</f>
        <v>9.5049831876329672E-4</v>
      </c>
      <c r="D9603">
        <f>LOG10(3.386034)</f>
        <v>0.52969131465249408</v>
      </c>
    </row>
    <row r="9604" spans="1:4">
      <c r="A9604">
        <v>1.005279</v>
      </c>
      <c r="B9604">
        <v>3.5913889999999999</v>
      </c>
      <c r="C9604">
        <f>LOG10(1.005279)</f>
        <v>2.2866103581982793E-3</v>
      </c>
      <c r="D9604">
        <f>LOG10(3.591389)</f>
        <v>0.55526244812350067</v>
      </c>
    </row>
    <row r="9605" spans="1:4">
      <c r="A9605">
        <v>1.0033639999999999</v>
      </c>
      <c r="B9605">
        <v>3.7676759999999998</v>
      </c>
      <c r="C9605">
        <f>LOG10(1.003364)</f>
        <v>1.4585147883796094E-3</v>
      </c>
      <c r="D9605">
        <f>LOG10(3.767676)</f>
        <v>0.57607354872217253</v>
      </c>
    </row>
    <row r="9606" spans="1:4">
      <c r="A9606">
        <v>1.0098339999999999</v>
      </c>
      <c r="B9606">
        <v>3.3324910000000001</v>
      </c>
      <c r="C9606">
        <f>LOG10(1.009834)</f>
        <v>4.2499888231277844E-3</v>
      </c>
      <c r="D9606">
        <f>LOG10(3.332491)</f>
        <v>0.5227689851959898</v>
      </c>
    </row>
    <row r="9607" spans="1:4">
      <c r="A9607">
        <v>1.0042740000000001</v>
      </c>
      <c r="B9607">
        <v>3.397176</v>
      </c>
      <c r="C9607">
        <f>LOG10(1.004274)</f>
        <v>1.8522192366890826E-3</v>
      </c>
      <c r="D9607">
        <f>LOG10(3.397176)</f>
        <v>0.53111804726708334</v>
      </c>
    </row>
    <row r="9608" spans="1:4">
      <c r="A9608">
        <v>1.005277</v>
      </c>
      <c r="B9608">
        <v>3.466831</v>
      </c>
      <c r="C9608">
        <f>LOG10(1.005277)</f>
        <v>2.285746329577508E-3</v>
      </c>
      <c r="D9608">
        <f>LOG10(3.466831)</f>
        <v>0.53993267131998202</v>
      </c>
    </row>
    <row r="9609" spans="1:4">
      <c r="A9609">
        <v>1.006667</v>
      </c>
      <c r="B9609">
        <v>3.4170980000000002</v>
      </c>
      <c r="C9609">
        <f>LOG10(1.006667)</f>
        <v>2.8858320435842123E-3</v>
      </c>
      <c r="D9609">
        <f>LOG10(3.417098)</f>
        <v>0.533657434241816</v>
      </c>
    </row>
    <row r="9610" spans="1:4">
      <c r="A9610">
        <v>1.007819</v>
      </c>
      <c r="B9610">
        <v>3.427683</v>
      </c>
      <c r="C9610">
        <f>LOG10(1.007819)</f>
        <v>3.382541673424944E-3</v>
      </c>
      <c r="D9610">
        <f>LOG10(3.427683)</f>
        <v>0.53500065055668899</v>
      </c>
    </row>
    <row r="9611" spans="1:4">
      <c r="A9611">
        <v>1.0100519999999999</v>
      </c>
      <c r="B9611">
        <v>3.3283900000000002</v>
      </c>
      <c r="C9611">
        <f>LOG10(1.010052)</f>
        <v>4.3437329229656305E-3</v>
      </c>
      <c r="D9611">
        <f>LOG10(3.32839)</f>
        <v>0.52223420852145375</v>
      </c>
    </row>
    <row r="9612" spans="1:4">
      <c r="A9612">
        <v>1.0113540000000001</v>
      </c>
      <c r="B9612">
        <v>3.219433</v>
      </c>
      <c r="C9612">
        <f>LOG10(1.011354)</f>
        <v>4.9031964781691868E-3</v>
      </c>
      <c r="D9612">
        <f>LOG10(3.219433)</f>
        <v>0.50777939136848671</v>
      </c>
    </row>
    <row r="9613" spans="1:4">
      <c r="A9613">
        <v>1.0077659999999999</v>
      </c>
      <c r="B9613">
        <v>3.246537</v>
      </c>
      <c r="C9613">
        <f>LOG10(1.007766)</f>
        <v>3.3597020436934143E-3</v>
      </c>
      <c r="D9613">
        <f>LOG10(3.246537)</f>
        <v>0.51142035678655495</v>
      </c>
    </row>
    <row r="9614" spans="1:4">
      <c r="A9614">
        <v>1.007617</v>
      </c>
      <c r="B9614">
        <v>3.2954919999999999</v>
      </c>
      <c r="C9614">
        <f>LOG10(1.007617)</f>
        <v>3.2954860828348946E-3</v>
      </c>
      <c r="D9614">
        <f>LOG10(3.295492)</f>
        <v>0.51792026170215955</v>
      </c>
    </row>
    <row r="9615" spans="1:4">
      <c r="A9615">
        <v>1.0097149999999999</v>
      </c>
      <c r="B9615">
        <v>3.3314219999999999</v>
      </c>
      <c r="C9615">
        <f>LOG10(1.009715)</f>
        <v>4.1988080462253266E-3</v>
      </c>
      <c r="D9615">
        <f>LOG10(3.331422)</f>
        <v>0.5226296494017989</v>
      </c>
    </row>
    <row r="9616" spans="1:4">
      <c r="A9616">
        <v>1</v>
      </c>
      <c r="B9616">
        <v>3.1833559999999999</v>
      </c>
      <c r="C9616">
        <f>LOG10(1)</f>
        <v>0</v>
      </c>
      <c r="D9616">
        <f>LOG10(3.183356)</f>
        <v>0.50288520921168911</v>
      </c>
    </row>
    <row r="9617" spans="1:4">
      <c r="A9617">
        <v>1.0045580000000001</v>
      </c>
      <c r="B9617">
        <v>3.3711319999999998</v>
      </c>
      <c r="C9617">
        <f>LOG10(1.004558)</f>
        <v>1.9750165972271818E-3</v>
      </c>
      <c r="D9617">
        <f>LOG10(3.371132)</f>
        <v>0.52777575808289756</v>
      </c>
    </row>
    <row r="9618" spans="1:4">
      <c r="A9618">
        <v>1.0143489999999999</v>
      </c>
      <c r="B9618">
        <v>3.2048549999999998</v>
      </c>
      <c r="C9618">
        <f>LOG10(1.014349)</f>
        <v>6.1874053884283095E-3</v>
      </c>
      <c r="D9618">
        <f>LOG10(3.204855)</f>
        <v>0.50580838514206916</v>
      </c>
    </row>
    <row r="9619" spans="1:4">
      <c r="A9619">
        <v>1.008294</v>
      </c>
      <c r="B9619">
        <v>3.1438839999999999</v>
      </c>
      <c r="C9619">
        <f>LOG10(1.008294)</f>
        <v>3.5871828643909021E-3</v>
      </c>
      <c r="D9619">
        <f>LOG10(3.143884)</f>
        <v>0.49746651348400778</v>
      </c>
    </row>
    <row r="9620" spans="1:4">
      <c r="A9620">
        <v>1.0018560000000001</v>
      </c>
      <c r="B9620">
        <v>3.183001</v>
      </c>
      <c r="C9620">
        <f>LOG10(1.001856)</f>
        <v>8.0530346775160844E-4</v>
      </c>
      <c r="D9620">
        <f>LOG10(3.183001)</f>
        <v>0.50283677506285474</v>
      </c>
    </row>
    <row r="9621" spans="1:4">
      <c r="A9621">
        <v>1.0020979999999999</v>
      </c>
      <c r="B9621">
        <v>3.1962959999999998</v>
      </c>
      <c r="C9621">
        <f>LOG10(1.002098)</f>
        <v>9.1019536160887331E-4</v>
      </c>
      <c r="D9621">
        <f>LOG10(3.196296)</f>
        <v>0.50464699129717228</v>
      </c>
    </row>
    <row r="9622" spans="1:4">
      <c r="A9622">
        <v>1.010683</v>
      </c>
      <c r="B9622">
        <v>3.1231620000000002</v>
      </c>
      <c r="C9622">
        <f>LOG10(1.010683)</f>
        <v>4.6149607949904073E-3</v>
      </c>
      <c r="D9622">
        <f>LOG10(3.123162)</f>
        <v>0.49459451188993081</v>
      </c>
    </row>
    <row r="9623" spans="1:4">
      <c r="A9623">
        <v>1.009409</v>
      </c>
      <c r="B9623">
        <v>3.142706</v>
      </c>
      <c r="C9623">
        <f>LOG10(1.009409)</f>
        <v>4.0671726315803791E-3</v>
      </c>
      <c r="D9623">
        <f>LOG10(3.142706)</f>
        <v>0.49730375468928129</v>
      </c>
    </row>
    <row r="9624" spans="1:4">
      <c r="A9624">
        <v>1.003668</v>
      </c>
      <c r="B9624">
        <v>2.9914290000000001</v>
      </c>
      <c r="C9624">
        <f>LOG10(1.003668)</f>
        <v>1.5900777365620842E-3</v>
      </c>
      <c r="D9624">
        <f>LOG10(2.991429)</f>
        <v>0.47587869954840206</v>
      </c>
    </row>
    <row r="9625" spans="1:4">
      <c r="A9625">
        <v>1.0074430000000001</v>
      </c>
      <c r="B9625">
        <v>3.1350470000000001</v>
      </c>
      <c r="C9625">
        <f>LOG10(1.007443)</f>
        <v>3.220483611405818E-3</v>
      </c>
      <c r="D9625">
        <f>LOG10(3.135047)</f>
        <v>0.49624405607188471</v>
      </c>
    </row>
    <row r="9626" spans="1:4">
      <c r="A9626">
        <v>1.0042789999999999</v>
      </c>
      <c r="B9626">
        <v>3.0797910000000002</v>
      </c>
      <c r="C9626">
        <f>LOG10(1.004279)</f>
        <v>1.8543814623405226E-3</v>
      </c>
      <c r="D9626">
        <f>LOG10(3.079791)</f>
        <v>0.48852124551782405</v>
      </c>
    </row>
    <row r="9627" spans="1:4">
      <c r="A9627">
        <v>1.0095510000000001</v>
      </c>
      <c r="B9627">
        <v>3.057992</v>
      </c>
      <c r="C9627">
        <f>LOG10(1.009551)</f>
        <v>4.1282633084952147E-3</v>
      </c>
      <c r="D9627">
        <f>LOG10(3.057992)</f>
        <v>0.48543634492182131</v>
      </c>
    </row>
    <row r="9628" spans="1:4">
      <c r="A9628">
        <v>1.002548</v>
      </c>
      <c r="B9628">
        <v>3.0015329999999998</v>
      </c>
      <c r="C9628">
        <f>LOG10(1.002548)</f>
        <v>1.1051749441777108E-3</v>
      </c>
      <c r="D9628">
        <f>LOG10(3.001533)</f>
        <v>0.47734312251751926</v>
      </c>
    </row>
    <row r="9629" spans="1:4">
      <c r="A9629">
        <v>1.0090410000000001</v>
      </c>
      <c r="B9629">
        <v>3.04393</v>
      </c>
      <c r="C9629">
        <f>LOG10(1.009041)</f>
        <v>3.9088131268998896E-3</v>
      </c>
      <c r="D9629">
        <f>LOG10(3.04393)</f>
        <v>0.48343466092268578</v>
      </c>
    </row>
    <row r="9630" spans="1:4">
      <c r="A9630">
        <v>1.012599</v>
      </c>
      <c r="B9630">
        <v>2.860598</v>
      </c>
      <c r="C9630">
        <f>LOG10(1.012599)</f>
        <v>5.4374941601482863E-3</v>
      </c>
      <c r="D9630">
        <f>LOG10(2.860598)</f>
        <v>0.45645683066493842</v>
      </c>
    </row>
    <row r="9631" spans="1:4">
      <c r="A9631">
        <v>1.005625</v>
      </c>
      <c r="B9631">
        <v>2.9017279999999999</v>
      </c>
      <c r="C9631">
        <f>LOG10(1.005625)</f>
        <v>2.4360614431047653E-3</v>
      </c>
      <c r="D9631">
        <f>LOG10(2.901728)</f>
        <v>0.46265670043961982</v>
      </c>
    </row>
    <row r="9632" spans="1:4">
      <c r="A9632">
        <v>1.006373</v>
      </c>
      <c r="B9632">
        <v>2.987088</v>
      </c>
      <c r="C9632">
        <f>LOG10(1.006373)</f>
        <v>2.7589765627319845E-3</v>
      </c>
      <c r="D9632">
        <f>LOG10(2.987088)</f>
        <v>0.47524801716437254</v>
      </c>
    </row>
    <row r="9633" spans="1:4">
      <c r="A9633">
        <v>1.006856</v>
      </c>
      <c r="B9633">
        <v>2.921338</v>
      </c>
      <c r="C9633">
        <f>LOG10(1.006856)</f>
        <v>2.9673624331757668E-3</v>
      </c>
      <c r="D9633">
        <f>LOG10(2.921338)</f>
        <v>0.46558180792960435</v>
      </c>
    </row>
    <row r="9634" spans="1:4">
      <c r="A9634">
        <v>1.0109379999999999</v>
      </c>
      <c r="B9634">
        <v>2.83725</v>
      </c>
      <c r="C9634">
        <f>LOG10(1.010938)</f>
        <v>4.7245214826490889E-3</v>
      </c>
      <c r="D9634">
        <f>LOG10(2.83725)</f>
        <v>0.45289760468444412</v>
      </c>
    </row>
    <row r="9635" spans="1:4">
      <c r="A9635">
        <v>1.0040180000000001</v>
      </c>
      <c r="B9635">
        <v>3.0407519999999999</v>
      </c>
      <c r="C9635">
        <f>LOG10(1.004018)</f>
        <v>1.741498895255236E-3</v>
      </c>
      <c r="D9635">
        <f>LOG10(3.040752)</f>
        <v>0.48298100106371855</v>
      </c>
    </row>
    <row r="9636" spans="1:4">
      <c r="A9636">
        <v>1.004705</v>
      </c>
      <c r="B9636">
        <v>2.8580999999999999</v>
      </c>
      <c r="C9636">
        <f>LOG10(1.004705)</f>
        <v>2.0385635683839074E-3</v>
      </c>
      <c r="D9636">
        <f>LOG10(2.8581)</f>
        <v>0.45607741993725393</v>
      </c>
    </row>
    <row r="9637" spans="1:4">
      <c r="A9637">
        <v>1.0065900000000001</v>
      </c>
      <c r="B9637">
        <v>2.813091</v>
      </c>
      <c r="C9637">
        <f>LOG10(1.00659)</f>
        <v>2.85261157036812E-3</v>
      </c>
      <c r="D9637">
        <f>LOG10(2.813091)</f>
        <v>0.44918378127953507</v>
      </c>
    </row>
    <row r="9638" spans="1:4">
      <c r="A9638">
        <v>1.0066740000000001</v>
      </c>
      <c r="B9638">
        <v>3.01214</v>
      </c>
      <c r="C9638">
        <f>LOG10(1.006674)</f>
        <v>2.8888519606011251E-3</v>
      </c>
      <c r="D9638">
        <f>LOG10(3.01214)</f>
        <v>0.47887515339003983</v>
      </c>
    </row>
    <row r="9639" spans="1:4">
      <c r="A9639">
        <v>1.003252</v>
      </c>
      <c r="B9639">
        <v>3.083183</v>
      </c>
      <c r="C9639">
        <f>LOG10(1.003252)</f>
        <v>1.4100341802078141E-3</v>
      </c>
      <c r="D9639">
        <f>LOG10(3.083183)</f>
        <v>0.4889993027127314</v>
      </c>
    </row>
    <row r="9640" spans="1:4">
      <c r="A9640">
        <v>1.004019</v>
      </c>
      <c r="B9640">
        <v>2.505277</v>
      </c>
      <c r="C9640">
        <f>LOG10(1.004019)</f>
        <v>1.7419314515097946E-3</v>
      </c>
      <c r="D9640">
        <f>LOG10(2.505277)</f>
        <v>0.39885575132928602</v>
      </c>
    </row>
    <row r="9641" spans="1:4">
      <c r="A9641">
        <v>1.006049</v>
      </c>
      <c r="B9641">
        <v>2.957284</v>
      </c>
      <c r="C9641">
        <f>LOG10(1.006049)</f>
        <v>2.6191337133172556E-3</v>
      </c>
      <c r="D9641">
        <f>LOG10(2.957284)</f>
        <v>0.4708930335928298</v>
      </c>
    </row>
    <row r="9642" spans="1:4">
      <c r="A9642">
        <v>1.005484</v>
      </c>
      <c r="B9642">
        <v>2.859448</v>
      </c>
      <c r="C9642">
        <f>LOG10(1.005484)</f>
        <v>2.3751641749321603E-3</v>
      </c>
      <c r="D9642">
        <f>LOG10(2.859448)</f>
        <v>0.45628220316686663</v>
      </c>
    </row>
    <row r="9643" spans="1:4">
      <c r="A9643">
        <v>1.0026520000000001</v>
      </c>
      <c r="B9643">
        <v>2.9731489999999998</v>
      </c>
      <c r="C9643">
        <f>LOG10(1.002652)</f>
        <v>1.1502244416427842E-3</v>
      </c>
      <c r="D9643">
        <f>LOG10(2.973149)</f>
        <v>0.47321667451146376</v>
      </c>
    </row>
    <row r="9644" spans="1:4">
      <c r="A9644">
        <v>1.00197</v>
      </c>
      <c r="B9644">
        <v>2.8579509999999999</v>
      </c>
      <c r="C9644">
        <f>LOG10(1.00197)</f>
        <v>8.5471850777041466E-4</v>
      </c>
      <c r="D9644">
        <f>LOG10(2.857951)</f>
        <v>0.45605477847453141</v>
      </c>
    </row>
    <row r="9645" spans="1:4">
      <c r="A9645">
        <v>1.0114529999999999</v>
      </c>
      <c r="B9645">
        <v>2.8443909999999999</v>
      </c>
      <c r="C9645">
        <f>LOG10(1.011453)</f>
        <v>4.9457068647188532E-3</v>
      </c>
      <c r="D9645">
        <f>LOG10(2.844391)</f>
        <v>0.4539892958097006</v>
      </c>
    </row>
    <row r="9646" spans="1:4">
      <c r="A9646">
        <v>1.005325</v>
      </c>
      <c r="B9646">
        <v>2.8528699999999998</v>
      </c>
      <c r="C9646">
        <f>LOG10(1.005325)</f>
        <v>2.3064825420505259E-3</v>
      </c>
      <c r="D9646">
        <f>LOG10(2.85287)</f>
        <v>0.4552819821130954</v>
      </c>
    </row>
    <row r="9647" spans="1:4">
      <c r="A9647">
        <v>1.0101880000000001</v>
      </c>
      <c r="B9647">
        <v>2.8814359999999999</v>
      </c>
      <c r="C9647">
        <f>LOG10(1.010188)</f>
        <v>4.402205232818048E-3</v>
      </c>
      <c r="D9647">
        <f>LOG10(2.881436)</f>
        <v>0.45960897784570481</v>
      </c>
    </row>
    <row r="9648" spans="1:4">
      <c r="A9648">
        <v>1.0091600000000001</v>
      </c>
      <c r="B9648">
        <v>2.8902109999999999</v>
      </c>
      <c r="C9648">
        <f>LOG10(1.00916)</f>
        <v>3.9600280885477837E-3</v>
      </c>
      <c r="D9648">
        <f>LOG10(2.890211)</f>
        <v>0.46092954960452354</v>
      </c>
    </row>
    <row r="9649" spans="1:4">
      <c r="A9649">
        <v>1.0041949999999999</v>
      </c>
      <c r="B9649">
        <v>2.9336319999999998</v>
      </c>
      <c r="C9649">
        <f>LOG10(1.004195)</f>
        <v>1.8180546425747388E-3</v>
      </c>
      <c r="D9649">
        <f>LOG10(2.933632)</f>
        <v>0.46740563425402715</v>
      </c>
    </row>
    <row r="9650" spans="1:4">
      <c r="A9650">
        <v>1.0161519999999999</v>
      </c>
      <c r="B9650">
        <v>2.9785720000000002</v>
      </c>
      <c r="C9650">
        <f>LOG10(1.016152)</f>
        <v>6.9586762783918465E-3</v>
      </c>
      <c r="D9650">
        <f>LOG10(2.978572)</f>
        <v>0.47400810261339776</v>
      </c>
    </row>
    <row r="9651" spans="1:4">
      <c r="A9651">
        <v>1.0032920000000001</v>
      </c>
      <c r="B9651">
        <v>2.9174060000000002</v>
      </c>
      <c r="C9651">
        <f>LOG10(1.003292)</f>
        <v>1.427349304399906E-3</v>
      </c>
      <c r="D9651">
        <f>LOG10(2.917406)</f>
        <v>0.46499687179916632</v>
      </c>
    </row>
    <row r="9652" spans="1:4">
      <c r="A9652">
        <v>1.0054719999999999</v>
      </c>
      <c r="B9652">
        <v>2.8593860000000002</v>
      </c>
      <c r="C9652">
        <f>LOG10(1.005472)</f>
        <v>2.3699810343930793E-3</v>
      </c>
      <c r="D9652">
        <f>LOG10(2.859386)</f>
        <v>0.4562727864718274</v>
      </c>
    </row>
    <row r="9653" spans="1:4">
      <c r="A9653">
        <v>1.007487</v>
      </c>
      <c r="B9653">
        <v>2.9442620000000002</v>
      </c>
      <c r="C9653">
        <f>LOG10(1.007487)</f>
        <v>3.2394509772267163E-3</v>
      </c>
      <c r="D9653">
        <f>LOG10(2.944262)</f>
        <v>0.46897645379434333</v>
      </c>
    </row>
    <row r="9654" spans="1:4">
      <c r="A9654">
        <v>1.004389</v>
      </c>
      <c r="B9654">
        <v>2.8557030000000001</v>
      </c>
      <c r="C9654">
        <f>LOG10(1.004389)</f>
        <v>1.901947703309301E-3</v>
      </c>
      <c r="D9654">
        <f>LOG10(2.855703)</f>
        <v>0.45571303777910449</v>
      </c>
    </row>
    <row r="9655" spans="1:4">
      <c r="A9655">
        <v>1.0018050000000001</v>
      </c>
      <c r="B9655">
        <v>2.9529040000000002</v>
      </c>
      <c r="C9655">
        <f>LOG10(1.001805)</f>
        <v>7.8319491886847975E-4</v>
      </c>
      <c r="D9655">
        <f>LOG10(2.952904)</f>
        <v>0.47024932812052345</v>
      </c>
    </row>
    <row r="9656" spans="1:4">
      <c r="A9656">
        <v>1.0063660000000001</v>
      </c>
      <c r="B9656">
        <v>2.8673129999999998</v>
      </c>
      <c r="C9656">
        <f>LOG10(1.006366)</f>
        <v>2.7559557424733441E-3</v>
      </c>
      <c r="D9656">
        <f>LOG10(2.867313)</f>
        <v>0.45747510374285039</v>
      </c>
    </row>
    <row r="9657" spans="1:4">
      <c r="A9657">
        <v>1.0215890000000001</v>
      </c>
      <c r="B9657">
        <v>2.9782519999999999</v>
      </c>
      <c r="C9657">
        <f>LOG10(1.021589)</f>
        <v>9.2762079975080847E-3</v>
      </c>
      <c r="D9657">
        <f>LOG10(2.978252)</f>
        <v>0.4739614420995592</v>
      </c>
    </row>
    <row r="9658" spans="1:4">
      <c r="A9658">
        <v>1.0096639999999999</v>
      </c>
      <c r="B9658">
        <v>2.9143080000000001</v>
      </c>
      <c r="C9658">
        <f>LOG10(1.009664)</f>
        <v>4.176871581023118E-3</v>
      </c>
      <c r="D9658">
        <f>LOG10(2.914308)</f>
        <v>0.46453544847439365</v>
      </c>
    </row>
    <row r="9659" spans="1:4">
      <c r="A9659">
        <v>1.0048980000000001</v>
      </c>
      <c r="B9659">
        <v>2.9321980000000001</v>
      </c>
      <c r="C9659">
        <f>LOG10(1.004898)</f>
        <v>2.1219818706705532E-3</v>
      </c>
      <c r="D9659">
        <f>LOG10(2.932198)</f>
        <v>0.46719329318739011</v>
      </c>
    </row>
    <row r="9660" spans="1:4">
      <c r="A9660">
        <v>1.009843</v>
      </c>
      <c r="B9660">
        <v>2.926809</v>
      </c>
      <c r="C9660">
        <f>LOG10(1.009843)</f>
        <v>4.2538593928646475E-3</v>
      </c>
      <c r="D9660">
        <f>LOG10(2.926809)</f>
        <v>0.46639438182818865</v>
      </c>
    </row>
    <row r="9661" spans="1:4">
      <c r="A9661">
        <v>1.005592</v>
      </c>
      <c r="B9661">
        <v>2.9003019999999999</v>
      </c>
      <c r="C9661">
        <f>LOG10(1.005592)</f>
        <v>2.4218096563467261E-3</v>
      </c>
      <c r="D9661">
        <f>LOG10(2.900302)</f>
        <v>0.46244322207302607</v>
      </c>
    </row>
    <row r="9662" spans="1:4">
      <c r="A9662">
        <v>1.0039720000000001</v>
      </c>
      <c r="B9662">
        <v>2.8336960000000002</v>
      </c>
      <c r="C9662">
        <f>LOG10(1.003972)</f>
        <v>1.7216008418077186E-3</v>
      </c>
      <c r="D9662">
        <f>LOG10(2.833696)</f>
        <v>0.4523532571308771</v>
      </c>
    </row>
    <row r="9663" spans="1:4">
      <c r="A9663">
        <v>1.0052779999999999</v>
      </c>
      <c r="B9663">
        <v>2.947352</v>
      </c>
      <c r="C9663">
        <f>LOG10(1.005278)</f>
        <v>2.2861783441027188E-3</v>
      </c>
      <c r="D9663">
        <f>LOG10(2.947352)</f>
        <v>0.46943200640594612</v>
      </c>
    </row>
    <row r="9664" spans="1:4">
      <c r="A9664">
        <v>1.008208</v>
      </c>
      <c r="B9664">
        <v>2.9062700000000001</v>
      </c>
      <c r="C9664">
        <f>LOG10(1.008208)</f>
        <v>3.5501391863123908E-3</v>
      </c>
      <c r="D9664">
        <f>LOG10(2.90627)</f>
        <v>0.46333595891695434</v>
      </c>
    </row>
    <row r="9665" spans="1:4">
      <c r="A9665">
        <v>1.007355</v>
      </c>
      <c r="B9665">
        <v>2.9466670000000001</v>
      </c>
      <c r="C9665">
        <f>LOG10(1.007355)</f>
        <v>3.182546394442304E-3</v>
      </c>
      <c r="D9665">
        <f>LOG10(2.946667)</f>
        <v>0.46933105942174297</v>
      </c>
    </row>
    <row r="9666" spans="1:4">
      <c r="A9666">
        <v>1.0074069999999999</v>
      </c>
      <c r="B9666">
        <v>2.9918140000000002</v>
      </c>
      <c r="C9666">
        <f>LOG10(1.007407)</f>
        <v>3.2049642413780294E-3</v>
      </c>
      <c r="D9666">
        <f>LOG10(2.991814)</f>
        <v>0.4759345900999854</v>
      </c>
    </row>
    <row r="9667" spans="1:4">
      <c r="A9667">
        <v>1.0111110000000001</v>
      </c>
      <c r="B9667">
        <v>2.9136329999999999</v>
      </c>
      <c r="C9667">
        <f>LOG10(1.011111)</f>
        <v>4.7988351570978022E-3</v>
      </c>
      <c r="D9667">
        <f>LOG10(2.913633)</f>
        <v>0.46443484732671708</v>
      </c>
    </row>
    <row r="9668" spans="1:4">
      <c r="A9668">
        <v>1.013112</v>
      </c>
      <c r="B9668">
        <v>2.9072140000000002</v>
      </c>
      <c r="C9668">
        <f>LOG10(1.013112)</f>
        <v>5.657459470085527E-3</v>
      </c>
      <c r="D9668">
        <f>LOG10(2.907214)</f>
        <v>0.46347700136052861</v>
      </c>
    </row>
    <row r="9669" spans="1:4">
      <c r="A9669">
        <v>1.007074</v>
      </c>
      <c r="B9669">
        <v>2.8355190000000001</v>
      </c>
      <c r="C9669">
        <f>LOG10(1.007074)</f>
        <v>3.0613837719757364E-3</v>
      </c>
      <c r="D9669">
        <f>LOG10(2.835519)</f>
        <v>0.45263256171459743</v>
      </c>
    </row>
    <row r="9670" spans="1:4">
      <c r="A9670">
        <v>1.011593</v>
      </c>
      <c r="B9670">
        <v>2.8691450000000001</v>
      </c>
      <c r="C9670">
        <f>LOG10(1.011593)</f>
        <v>5.0058154609282585E-3</v>
      </c>
      <c r="D9670">
        <f>LOG10(2.869145)</f>
        <v>0.45775249704648685</v>
      </c>
    </row>
    <row r="9671" spans="1:4">
      <c r="A9671">
        <v>1.0104489999999999</v>
      </c>
      <c r="B9671">
        <v>2.9538359999999999</v>
      </c>
      <c r="C9671">
        <f>LOG10(1.010449)</f>
        <v>4.5143984277432811E-3</v>
      </c>
      <c r="D9671">
        <f>LOG10(2.953836)</f>
        <v>0.47038637917084658</v>
      </c>
    </row>
    <row r="9672" spans="1:4">
      <c r="A9672">
        <v>1.0129889999999999</v>
      </c>
      <c r="B9672">
        <v>2.9007809999999998</v>
      </c>
      <c r="C9672">
        <f>LOG10(1.012989)</f>
        <v>5.6047294024928803E-3</v>
      </c>
      <c r="D9672">
        <f>LOG10(2.900781)</f>
        <v>0.4625149421491927</v>
      </c>
    </row>
    <row r="9673" spans="1:4">
      <c r="A9673">
        <v>1.012686</v>
      </c>
      <c r="B9673">
        <v>2.926342</v>
      </c>
      <c r="C9673">
        <f>LOG10(1.012686)</f>
        <v>5.4748060643482399E-3</v>
      </c>
      <c r="D9673">
        <f>LOG10(2.926342)</f>
        <v>0.46632508051562072</v>
      </c>
    </row>
    <row r="9674" spans="1:4">
      <c r="A9674">
        <v>1.0100990000000001</v>
      </c>
      <c r="B9674">
        <v>2.9591959999999999</v>
      </c>
      <c r="C9674">
        <f>LOG10(1.010099)</f>
        <v>4.3639411555712057E-3</v>
      </c>
      <c r="D9674">
        <f>LOG10(2.959196)</f>
        <v>0.4711737312638456</v>
      </c>
    </row>
    <row r="9675" spans="1:4">
      <c r="A9675">
        <v>1.009109</v>
      </c>
      <c r="B9675">
        <v>3.1013419999999998</v>
      </c>
      <c r="C9675">
        <f>LOG10(1.009109)</f>
        <v>3.9380795588108758E-3</v>
      </c>
      <c r="D9675">
        <f>LOG10(3.101342)</f>
        <v>0.49154966063365646</v>
      </c>
    </row>
    <row r="9676" spans="1:4">
      <c r="A9676">
        <v>1.0107200000000001</v>
      </c>
      <c r="B9676">
        <v>3.0436489999999998</v>
      </c>
      <c r="C9676">
        <f>LOG10(1.01072)</f>
        <v>4.630859550292782E-3</v>
      </c>
      <c r="D9676">
        <f>LOG10(3.043649)</f>
        <v>0.48339456723371627</v>
      </c>
    </row>
    <row r="9677" spans="1:4">
      <c r="A9677">
        <v>1.00959</v>
      </c>
      <c r="B9677">
        <v>2.9670420000000002</v>
      </c>
      <c r="C9677">
        <f>LOG10(1.00959)</f>
        <v>4.1450402297664784E-3</v>
      </c>
      <c r="D9677">
        <f>LOG10(2.967042)</f>
        <v>0.47232369402130375</v>
      </c>
    </row>
    <row r="9678" spans="1:4">
      <c r="A9678">
        <v>1.0090300000000001</v>
      </c>
      <c r="B9678">
        <v>2.8709829999999998</v>
      </c>
      <c r="C9678">
        <f>LOG10(1.00903)</f>
        <v>3.9040786658219827E-3</v>
      </c>
      <c r="D9678">
        <f>LOG10(2.870983)</f>
        <v>0.45803062090888813</v>
      </c>
    </row>
    <row r="9679" spans="1:4">
      <c r="A9679">
        <v>1.011174</v>
      </c>
      <c r="B9679">
        <v>2.8528440000000002</v>
      </c>
      <c r="C9679">
        <f>LOG10(1.011174)</f>
        <v>4.8258942040360162E-3</v>
      </c>
      <c r="D9679">
        <f>LOG10(2.852844)</f>
        <v>0.4552780240960867</v>
      </c>
    </row>
    <row r="9680" spans="1:4">
      <c r="A9680">
        <v>1.005422</v>
      </c>
      <c r="B9680">
        <v>2.8253460000000001</v>
      </c>
      <c r="C9680">
        <f>LOG10(1.005422)</f>
        <v>2.3483839496142821E-3</v>
      </c>
      <c r="D9680">
        <f>LOG10(2.825346)</f>
        <v>0.45107164036408259</v>
      </c>
    </row>
    <row r="9681" spans="1:4">
      <c r="A9681">
        <v>1.00668</v>
      </c>
      <c r="B9681">
        <v>2.9234330000000002</v>
      </c>
      <c r="C9681">
        <f>LOG10(1.00668)</f>
        <v>2.8914404441876236E-3</v>
      </c>
      <c r="D9681">
        <f>LOG10(2.923433)</f>
        <v>0.46589314501314549</v>
      </c>
    </row>
    <row r="9682" spans="1:4">
      <c r="A9682">
        <v>1.0044299999999999</v>
      </c>
      <c r="B9682">
        <v>3.0020199999999999</v>
      </c>
      <c r="C9682">
        <f>LOG10(1.00443)</f>
        <v>1.919675605883388E-3</v>
      </c>
      <c r="D9682">
        <f>LOG10(3.00202)</f>
        <v>0.47741358126524774</v>
      </c>
    </row>
    <row r="9683" spans="1:4">
      <c r="A9683">
        <v>1.0130300000000001</v>
      </c>
      <c r="B9683">
        <v>3.1013470000000001</v>
      </c>
      <c r="C9683">
        <f>LOG10(1.01303)</f>
        <v>5.6223068030607348E-3</v>
      </c>
      <c r="D9683">
        <f>LOG10(3.101347)</f>
        <v>0.49155036080495623</v>
      </c>
    </row>
    <row r="9684" spans="1:4">
      <c r="A9684">
        <v>1.013557</v>
      </c>
      <c r="B9684">
        <v>2.978583</v>
      </c>
      <c r="C9684">
        <f>LOG10(1.013557)</f>
        <v>5.848177389541331E-3</v>
      </c>
      <c r="D9684">
        <f>LOG10(2.978583)</f>
        <v>0.47400970647943813</v>
      </c>
    </row>
    <row r="9685" spans="1:4">
      <c r="A9685">
        <v>1.0089459999999999</v>
      </c>
      <c r="B9685">
        <v>3.011234</v>
      </c>
      <c r="C9685">
        <f>LOG10(1.008946)</f>
        <v>3.8679228973678209E-3</v>
      </c>
      <c r="D9685">
        <f>LOG10(3.011234)</f>
        <v>0.47874450541647162</v>
      </c>
    </row>
    <row r="9686" spans="1:4">
      <c r="A9686">
        <v>1.0334890000000001</v>
      </c>
      <c r="B9686">
        <v>2.898574</v>
      </c>
      <c r="C9686">
        <f>LOG10(1.033489)</f>
        <v>1.430585854944715E-2</v>
      </c>
      <c r="D9686">
        <f>LOG10(2.898574)</f>
        <v>0.46218439229741376</v>
      </c>
    </row>
    <row r="9687" spans="1:4">
      <c r="A9687">
        <v>1.0168509999999999</v>
      </c>
      <c r="B9687">
        <v>3.1283560000000001</v>
      </c>
      <c r="C9687">
        <f>LOG10(1.016851)</f>
        <v>7.2573200627962797E-3</v>
      </c>
      <c r="D9687">
        <f>LOG10(3.128356)</f>
        <v>0.49531616895243696</v>
      </c>
    </row>
    <row r="9688" spans="1:4">
      <c r="A9688">
        <v>1.0043869999999999</v>
      </c>
      <c r="B9688">
        <v>3.1040100000000002</v>
      </c>
      <c r="C9688">
        <f>LOG10(1.004387)</f>
        <v>1.9010829090626237E-3</v>
      </c>
      <c r="D9688">
        <f>LOG10(3.10401)</f>
        <v>0.49192311172849085</v>
      </c>
    </row>
    <row r="9689" spans="1:4">
      <c r="A9689">
        <v>1.005598</v>
      </c>
      <c r="B9689">
        <v>3.0312899999999998</v>
      </c>
      <c r="C9689">
        <f>LOG10(1.005598)</f>
        <v>2.424400925089516E-3</v>
      </c>
      <c r="D9689">
        <f>LOG10(3.03129)</f>
        <v>0.48162748680478312</v>
      </c>
    </row>
    <row r="9690" spans="1:4">
      <c r="A9690">
        <v>1.0083120000000001</v>
      </c>
      <c r="B9690">
        <v>3.001738</v>
      </c>
      <c r="C9690">
        <f>LOG10(1.008312)</f>
        <v>3.5949357925032831E-3</v>
      </c>
      <c r="D9690">
        <f>LOG10(3.001738)</f>
        <v>0.47737278313714643</v>
      </c>
    </row>
    <row r="9691" spans="1:4">
      <c r="A9691">
        <v>1.011892</v>
      </c>
      <c r="B9691">
        <v>3.1129359999999999</v>
      </c>
      <c r="C9691">
        <f>LOG10(1.011892)</f>
        <v>5.1341623980532599E-3</v>
      </c>
      <c r="D9691">
        <f>LOG10(3.112936)</f>
        <v>0.49317019195377704</v>
      </c>
    </row>
    <row r="9692" spans="1:4">
      <c r="A9692">
        <v>1.0024770000000001</v>
      </c>
      <c r="B9692">
        <v>3.392401</v>
      </c>
      <c r="C9692">
        <f>LOG10(1.002477)</f>
        <v>1.0744173144943004E-3</v>
      </c>
      <c r="D9692">
        <f>LOG10(3.392401)</f>
        <v>0.53050718255695861</v>
      </c>
    </row>
    <row r="9693" spans="1:4">
      <c r="A9693">
        <v>1.0028109999999999</v>
      </c>
      <c r="B9693">
        <v>3.2978339999999999</v>
      </c>
      <c r="C9693">
        <f>LOG10(1.002811)</f>
        <v>1.2190891604306302E-3</v>
      </c>
      <c r="D9693">
        <f>LOG10(3.297834)</f>
        <v>0.51822879118163467</v>
      </c>
    </row>
    <row r="9694" spans="1:4">
      <c r="A9694">
        <v>1.002481</v>
      </c>
      <c r="B9694">
        <v>3.4050400000000001</v>
      </c>
      <c r="C9694">
        <f>LOG10(1.002481)</f>
        <v>1.0761501966071118E-3</v>
      </c>
      <c r="D9694">
        <f>LOG10(3.40504)</f>
        <v>0.53212221806297133</v>
      </c>
    </row>
    <row r="9695" spans="1:4">
      <c r="A9695">
        <v>1.0091060000000001</v>
      </c>
      <c r="B9695">
        <v>3.4831110000000001</v>
      </c>
      <c r="C9695">
        <f>LOG10(1.009106)</f>
        <v>3.9367884342818241E-3</v>
      </c>
      <c r="D9695">
        <f>LOG10(3.483111)</f>
        <v>0.54196731480258198</v>
      </c>
    </row>
    <row r="9696" spans="1:4">
      <c r="A9696">
        <v>1.002545</v>
      </c>
      <c r="B9696">
        <v>3.3251819999999999</v>
      </c>
      <c r="C9696">
        <f>LOG10(1.002545)</f>
        <v>1.1038753700974063E-3</v>
      </c>
      <c r="D9696">
        <f>LOG10(3.325182)</f>
        <v>0.5218154208970307</v>
      </c>
    </row>
    <row r="9697" spans="1:4">
      <c r="A9697">
        <v>1.00386</v>
      </c>
      <c r="B9697">
        <v>3.3287260000000001</v>
      </c>
      <c r="C9697">
        <f>LOG10(1.00386)</f>
        <v>1.6731495948670752E-3</v>
      </c>
      <c r="D9697">
        <f>LOG10(3.328726)</f>
        <v>0.52227804821000456</v>
      </c>
    </row>
    <row r="9698" spans="1:4">
      <c r="A9698">
        <v>1.015021</v>
      </c>
      <c r="B9698">
        <v>3.4008940000000001</v>
      </c>
      <c r="C9698">
        <f>LOG10(1.015021)</f>
        <v>6.4750275593543991E-3</v>
      </c>
      <c r="D9698">
        <f>LOG10(3.400894)</f>
        <v>0.53159309593375315</v>
      </c>
    </row>
    <row r="9699" spans="1:4">
      <c r="A9699">
        <v>1.0063139999999999</v>
      </c>
      <c r="B9699">
        <v>3.5998190000000001</v>
      </c>
      <c r="C9699">
        <f>LOG10(1.006314)</f>
        <v>2.7335147055831629E-3</v>
      </c>
      <c r="D9699">
        <f>LOG10(3.599819)</f>
        <v>0.55628066485690086</v>
      </c>
    </row>
    <row r="9700" spans="1:4">
      <c r="A9700">
        <v>1.0161169999999999</v>
      </c>
      <c r="B9700">
        <v>3.361694</v>
      </c>
      <c r="C9700">
        <f>LOG10(1.016117)</f>
        <v>6.9437173267293262E-3</v>
      </c>
      <c r="D9700">
        <f>LOG10(3.361694)</f>
        <v>0.52655817901432134</v>
      </c>
    </row>
    <row r="9701" spans="1:4">
      <c r="A9701">
        <v>1.0054540000000001</v>
      </c>
      <c r="B9701">
        <v>3.3320599999999998</v>
      </c>
      <c r="C9701">
        <f>LOG10(1.005454)</f>
        <v>2.3622062075974609E-3</v>
      </c>
      <c r="D9701">
        <f>LOG10(3.33206)</f>
        <v>0.52271281309318463</v>
      </c>
    </row>
    <row r="9702" spans="1:4">
      <c r="A9702">
        <v>1.0181089999999999</v>
      </c>
      <c r="B9702">
        <v>3.4086340000000002</v>
      </c>
      <c r="C9702">
        <f>LOG10(1.018109)</f>
        <v>7.7942765905233431E-3</v>
      </c>
      <c r="D9702">
        <f>LOG10(3.408634)</f>
        <v>0.5325803716267361</v>
      </c>
    </row>
    <row r="9703" spans="1:4">
      <c r="A9703">
        <v>1.0059279999999999</v>
      </c>
      <c r="B9703">
        <v>3.464324</v>
      </c>
      <c r="C9703">
        <f>LOG10(1.005928)</f>
        <v>2.5668969010935933E-3</v>
      </c>
      <c r="D9703">
        <f>LOG10(3.464324)</f>
        <v>0.5396185025231186</v>
      </c>
    </row>
    <row r="9704" spans="1:4">
      <c r="A9704">
        <v>1.012721</v>
      </c>
      <c r="B9704">
        <v>3.5792280000000001</v>
      </c>
      <c r="C9704">
        <f>LOG10(1.012721)</f>
        <v>5.4898156963561571E-3</v>
      </c>
      <c r="D9704">
        <f>LOG10(3.579228)</f>
        <v>0.55378936421509606</v>
      </c>
    </row>
    <row r="9705" spans="1:4">
      <c r="A9705">
        <v>1.012229</v>
      </c>
      <c r="B9705">
        <v>3.5274450000000002</v>
      </c>
      <c r="C9705">
        <f>LOG10(1.012229)</f>
        <v>5.2787755330918574E-3</v>
      </c>
      <c r="D9705">
        <f>LOG10(3.527445)</f>
        <v>0.5474602509500649</v>
      </c>
    </row>
    <row r="9706" spans="1:4">
      <c r="A9706">
        <v>1.014227</v>
      </c>
      <c r="B9706">
        <v>3.7357610000000001</v>
      </c>
      <c r="C9706">
        <f>LOG10(1.014227)</f>
        <v>6.1351678317816214E-3</v>
      </c>
      <c r="D9706">
        <f>LOG10(3.735761)</f>
        <v>0.57237908391208259</v>
      </c>
    </row>
    <row r="9707" spans="1:4">
      <c r="A9707">
        <v>1.004783</v>
      </c>
      <c r="B9707">
        <v>3.6347429999999998</v>
      </c>
      <c r="C9707">
        <f>LOG10(1.004783)</f>
        <v>2.0722785939082961E-3</v>
      </c>
      <c r="D9707">
        <f>LOG10(3.634743)</f>
        <v>0.56047370883256331</v>
      </c>
    </row>
    <row r="9708" spans="1:4">
      <c r="A9708">
        <v>1.0211159999999999</v>
      </c>
      <c r="B9708">
        <v>3.399553</v>
      </c>
      <c r="C9708">
        <f>LOG10(1.021116)</f>
        <v>9.0750812625054866E-3</v>
      </c>
      <c r="D9708">
        <f>LOG10(3.399553)</f>
        <v>0.53142181633763808</v>
      </c>
    </row>
    <row r="9709" spans="1:4">
      <c r="A9709">
        <v>1.0228379999999999</v>
      </c>
      <c r="B9709">
        <v>3.5731999999999999</v>
      </c>
      <c r="C9709">
        <f>LOG10(1.022838)</f>
        <v>9.8068543599187635E-3</v>
      </c>
      <c r="D9709">
        <f>LOG10(3.5732)</f>
        <v>0.55305732531676732</v>
      </c>
    </row>
    <row r="9710" spans="1:4">
      <c r="A9710">
        <v>1.0176069999999999</v>
      </c>
      <c r="B9710">
        <v>3.6743929999999998</v>
      </c>
      <c r="C9710">
        <f>LOG10(1.017607)</f>
        <v>7.5800857757588134E-3</v>
      </c>
      <c r="D9710">
        <f>LOG10(3.674393)</f>
        <v>0.56518560504641469</v>
      </c>
    </row>
    <row r="9711" spans="1:4">
      <c r="A9711">
        <v>1.01146</v>
      </c>
      <c r="B9711">
        <v>3.7683580000000001</v>
      </c>
      <c r="C9711">
        <f>LOG10(1.01146)</f>
        <v>4.9487124921218841E-3</v>
      </c>
      <c r="D9711">
        <f>LOG10(3.768358)</f>
        <v>0.57615215474689774</v>
      </c>
    </row>
    <row r="9712" spans="1:4">
      <c r="A9712">
        <v>1.011439</v>
      </c>
      <c r="B9712">
        <v>3.6093829999999998</v>
      </c>
      <c r="C9712">
        <f>LOG10(1.011439)</f>
        <v>4.9396955475089132E-3</v>
      </c>
      <c r="D9712">
        <f>LOG10(3.609383)</f>
        <v>0.55743296849928881</v>
      </c>
    </row>
    <row r="9713" spans="1:4">
      <c r="A9713">
        <v>1.01291</v>
      </c>
      <c r="B9713">
        <v>3.8664390000000002</v>
      </c>
      <c r="C9713">
        <f>LOG10(1.01291)</f>
        <v>5.5708587464653866E-3</v>
      </c>
      <c r="D9713">
        <f>LOG10(3.866439)</f>
        <v>0.5873111627948453</v>
      </c>
    </row>
    <row r="9714" spans="1:4">
      <c r="A9714">
        <v>1.010562</v>
      </c>
      <c r="B9714">
        <v>3.4223249999999998</v>
      </c>
      <c r="C9714">
        <f>LOG10(1.010562)</f>
        <v>4.5629635038425412E-3</v>
      </c>
      <c r="D9714">
        <f>LOG10(3.422325)</f>
        <v>0.5343212498001948</v>
      </c>
    </row>
    <row r="9715" spans="1:4">
      <c r="A9715">
        <v>1.005638</v>
      </c>
      <c r="B9715">
        <v>3.507069</v>
      </c>
      <c r="C9715">
        <f>LOG10(1.005638)</f>
        <v>2.4416756549356781E-3</v>
      </c>
      <c r="D9715">
        <f>LOG10(3.507069)</f>
        <v>0.54494431051351355</v>
      </c>
    </row>
    <row r="9716" spans="1:4">
      <c r="A9716">
        <v>1.021468</v>
      </c>
      <c r="B9716">
        <v>3.7299310000000001</v>
      </c>
      <c r="C9716">
        <f>LOG10(1.021468)</f>
        <v>9.2247658376743147E-3</v>
      </c>
      <c r="D9716">
        <f>LOG10(3.729931)</f>
        <v>0.57170079786862782</v>
      </c>
    </row>
    <row r="9717" spans="1:4">
      <c r="A9717">
        <v>1.0300260000000001</v>
      </c>
      <c r="B9717">
        <v>3.5209779999999999</v>
      </c>
      <c r="C9717">
        <f>LOG10(1.030026)</f>
        <v>1.2848187340139075E-2</v>
      </c>
      <c r="D9717">
        <f>LOG10(3.520978)</f>
        <v>0.54666331149209524</v>
      </c>
    </row>
    <row r="9718" spans="1:4">
      <c r="A9718">
        <v>1.013164</v>
      </c>
      <c r="B9718">
        <v>3.4533040000000002</v>
      </c>
      <c r="C9718">
        <f>LOG10(1.013164)</f>
        <v>5.6797499310729744E-3</v>
      </c>
      <c r="D9718">
        <f>LOG10(3.453304)</f>
        <v>0.53823481168600706</v>
      </c>
    </row>
    <row r="9719" spans="1:4">
      <c r="A9719">
        <v>1.0110079999999999</v>
      </c>
      <c r="B9719">
        <v>3.7931970000000002</v>
      </c>
      <c r="C9719">
        <f>LOG10(1.011008)</f>
        <v>4.7545921311682674E-3</v>
      </c>
      <c r="D9719">
        <f>LOG10(3.793197)</f>
        <v>0.57900539840835796</v>
      </c>
    </row>
    <row r="9720" spans="1:4">
      <c r="A9720">
        <v>1.0060309999999999</v>
      </c>
      <c r="B9720">
        <v>3.434558</v>
      </c>
      <c r="C9720">
        <f>LOG10(1.006031)</f>
        <v>2.6113633456633862E-3</v>
      </c>
      <c r="D9720">
        <f>LOG10(3.434558)</f>
        <v>0.53587085478357288</v>
      </c>
    </row>
    <row r="9721" spans="1:4">
      <c r="A9721">
        <v>1.007595</v>
      </c>
      <c r="B9721">
        <v>3.4446639999999999</v>
      </c>
      <c r="C9721">
        <f>LOG10(1.007595)</f>
        <v>3.2860037270309034E-3</v>
      </c>
      <c r="D9721">
        <f>LOG10(3.444664)</f>
        <v>0.53714686628355512</v>
      </c>
    </row>
    <row r="9722" spans="1:4">
      <c r="A9722">
        <v>1.004448</v>
      </c>
      <c r="B9722">
        <v>3.549795</v>
      </c>
      <c r="C9722">
        <f>LOG10(1.004448)</f>
        <v>1.9274583589171707E-3</v>
      </c>
      <c r="D9722">
        <f>LOG10(3.549795)</f>
        <v>0.5502032733538309</v>
      </c>
    </row>
    <row r="9723" spans="1:4">
      <c r="A9723">
        <v>1.010753</v>
      </c>
      <c r="B9723">
        <v>3.6194820000000001</v>
      </c>
      <c r="C9723">
        <f>LOG10(1.010753)</f>
        <v>4.6450390302107012E-3</v>
      </c>
      <c r="D9723">
        <f>LOG10(3.619482)</f>
        <v>0.55864642118546104</v>
      </c>
    </row>
    <row r="9724" spans="1:4">
      <c r="A9724">
        <v>1.005153</v>
      </c>
      <c r="B9724">
        <v>3.4215719999999998</v>
      </c>
      <c r="C9724">
        <f>LOG10(1.005153)</f>
        <v>2.2321731976362837E-3</v>
      </c>
      <c r="D9724">
        <f>LOG10(3.421572)</f>
        <v>0.53422568326954922</v>
      </c>
    </row>
    <row r="9725" spans="1:4">
      <c r="A9725">
        <v>1.0069049999999999</v>
      </c>
      <c r="B9725">
        <v>3.7302</v>
      </c>
      <c r="C9725">
        <f>LOG10(1.006905)</f>
        <v>2.9884974433556683E-3</v>
      </c>
      <c r="D9725">
        <f>LOG10(3.7302)</f>
        <v>0.57173211775179944</v>
      </c>
    </row>
    <row r="9726" spans="1:4">
      <c r="A9726">
        <v>1.011579</v>
      </c>
      <c r="B9726">
        <v>3.5110589999999999</v>
      </c>
      <c r="C9726">
        <f>LOG10(1.011579)</f>
        <v>4.9998049756638085E-3</v>
      </c>
      <c r="D9726">
        <f>LOG10(3.511059)</f>
        <v>0.54543812743149844</v>
      </c>
    </row>
    <row r="9727" spans="1:4">
      <c r="A9727">
        <v>1.0076179999999999</v>
      </c>
      <c r="B9727">
        <v>3.4176890000000002</v>
      </c>
      <c r="C9727">
        <f>LOG10(1.007618)</f>
        <v>3.2959170940885375E-3</v>
      </c>
      <c r="D9727">
        <f>LOG10(3.417689)</f>
        <v>0.53373254061731668</v>
      </c>
    </row>
    <row r="9728" spans="1:4">
      <c r="A9728">
        <v>1.0110349999999999</v>
      </c>
      <c r="B9728">
        <v>3.6804830000000002</v>
      </c>
      <c r="C9728">
        <f>LOG10(1.011035)</f>
        <v>4.766190253475344E-3</v>
      </c>
      <c r="D9728">
        <f>LOG10(3.680483)</f>
        <v>0.5659048160838942</v>
      </c>
    </row>
    <row r="9729" spans="1:4">
      <c r="A9729">
        <v>1.0004470000000001</v>
      </c>
      <c r="B9729">
        <v>3.744097</v>
      </c>
      <c r="C9729">
        <f>LOG10(1.000447)</f>
        <v>1.9408625836300655E-4</v>
      </c>
      <c r="D9729">
        <f>LOG10(3.744097)</f>
        <v>0.57334709167371822</v>
      </c>
    </row>
    <row r="9730" spans="1:4">
      <c r="A9730">
        <v>1.010753</v>
      </c>
      <c r="B9730">
        <v>3.3621910000000002</v>
      </c>
      <c r="C9730">
        <f>LOG10(1.010753)</f>
        <v>4.6450390302107012E-3</v>
      </c>
      <c r="D9730">
        <f>LOG10(3.362191)</f>
        <v>0.52662238128961281</v>
      </c>
    </row>
    <row r="9731" spans="1:4">
      <c r="A9731">
        <v>1.005733</v>
      </c>
      <c r="B9731">
        <v>3.452998</v>
      </c>
      <c r="C9731">
        <f>LOG10(1.005733)</f>
        <v>2.4827003846463773E-3</v>
      </c>
      <c r="D9731">
        <f>LOG10(3.452998)</f>
        <v>0.53819632680320018</v>
      </c>
    </row>
    <row r="9732" spans="1:4">
      <c r="A9732">
        <v>1.0105299999999999</v>
      </c>
      <c r="B9732">
        <v>3.5454859999999999</v>
      </c>
      <c r="C9732">
        <f>LOG10(1.01053)</f>
        <v>4.5492111131328859E-3</v>
      </c>
      <c r="D9732">
        <f>LOG10(3.545486)</f>
        <v>0.54967577482274022</v>
      </c>
    </row>
    <row r="9733" spans="1:4">
      <c r="A9733">
        <v>1.003134</v>
      </c>
      <c r="B9733">
        <v>3.4594749999999999</v>
      </c>
      <c r="C9733">
        <f>LOG10(1.003134)</f>
        <v>1.358950541343013E-3</v>
      </c>
      <c r="D9733">
        <f>LOG10(3.459475)</f>
        <v>0.53901019650873427</v>
      </c>
    </row>
    <row r="9734" spans="1:4">
      <c r="A9734">
        <v>1.0133460000000001</v>
      </c>
      <c r="B9734">
        <v>3.4227249999999998</v>
      </c>
      <c r="C9734">
        <f>LOG10(1.013346)</f>
        <v>5.7577575361861567E-3</v>
      </c>
      <c r="D9734">
        <f>LOG10(3.422725)</f>
        <v>0.53437200700224852</v>
      </c>
    </row>
    <row r="9735" spans="1:4">
      <c r="A9735">
        <v>1.0136350000000001</v>
      </c>
      <c r="B9735">
        <v>3.5759590000000001</v>
      </c>
      <c r="C9735">
        <f>LOG10(1.013635)</f>
        <v>5.881597972895232E-3</v>
      </c>
      <c r="D9735">
        <f>LOG10(3.575959)</f>
        <v>0.55339253076822148</v>
      </c>
    </row>
    <row r="9736" spans="1:4">
      <c r="A9736">
        <v>1.0111079999999999</v>
      </c>
      <c r="B9736">
        <v>3.8626740000000002</v>
      </c>
      <c r="C9736">
        <f>LOG10(1.011108)</f>
        <v>4.7975465889992961E-3</v>
      </c>
      <c r="D9736">
        <f>LOG10(3.862674)</f>
        <v>0.58688805632617402</v>
      </c>
    </row>
    <row r="9737" spans="1:4">
      <c r="A9737">
        <v>1.0062610000000001</v>
      </c>
      <c r="B9737">
        <v>3.1617289999999998</v>
      </c>
      <c r="C9737">
        <f>LOG10(1.006261)</f>
        <v>2.7106409169828554E-3</v>
      </c>
      <c r="D9737">
        <f>LOG10(3.161729)</f>
        <v>0.49992464268399145</v>
      </c>
    </row>
    <row r="9738" spans="1:4">
      <c r="A9738">
        <v>1.0023960000000001</v>
      </c>
      <c r="B9738">
        <v>3.6116239999999999</v>
      </c>
      <c r="C9738">
        <f>LOG10(1.002396)</f>
        <v>1.0393249639530917E-3</v>
      </c>
      <c r="D9738">
        <f>LOG10(3.611624)</f>
        <v>0.55770253033884687</v>
      </c>
    </row>
    <row r="9739" spans="1:4">
      <c r="A9739">
        <v>1.0142040000000001</v>
      </c>
      <c r="B9739">
        <v>3.5617510000000001</v>
      </c>
      <c r="C9739">
        <f>LOG10(1.014204)</f>
        <v>6.1253190638578883E-3</v>
      </c>
      <c r="D9739">
        <f>LOG10(3.561751)</f>
        <v>0.55166355490659436</v>
      </c>
    </row>
    <row r="9740" spans="1:4">
      <c r="A9740">
        <v>1.0047440000000001</v>
      </c>
      <c r="B9740">
        <v>3.5695679999999999</v>
      </c>
      <c r="C9740">
        <f>LOG10(1.004744)</f>
        <v>2.0554214083155571E-3</v>
      </c>
      <c r="D9740">
        <f>LOG10(3.569568)</f>
        <v>0.55261565965039849</v>
      </c>
    </row>
    <row r="9741" spans="1:4">
      <c r="A9741">
        <v>1.0045770000000001</v>
      </c>
      <c r="B9741">
        <v>3.5619779999999999</v>
      </c>
      <c r="C9741">
        <f>LOG10(1.004577)</f>
        <v>1.9832306745852526E-3</v>
      </c>
      <c r="D9741">
        <f>LOG10(3.561978)</f>
        <v>0.55169123278356735</v>
      </c>
    </row>
    <row r="9742" spans="1:4">
      <c r="A9742">
        <v>1.0106219999999999</v>
      </c>
      <c r="B9742">
        <v>3.4330430000000001</v>
      </c>
      <c r="C9742">
        <f>LOG10(1.010622)</f>
        <v>4.5887480627167729E-3</v>
      </c>
      <c r="D9742">
        <f>LOG10(3.433043)</f>
        <v>0.5356792431419658</v>
      </c>
    </row>
    <row r="9743" spans="1:4">
      <c r="A9743">
        <v>1.01105</v>
      </c>
      <c r="B9743">
        <v>3.4335200000000001</v>
      </c>
      <c r="C9743">
        <f>LOG10(1.01105)</f>
        <v>4.7726335209232612E-3</v>
      </c>
      <c r="D9743">
        <f>LOG10(3.43352)</f>
        <v>0.53573958147082146</v>
      </c>
    </row>
    <row r="9744" spans="1:4">
      <c r="A9744">
        <v>1.0014670000000001</v>
      </c>
      <c r="B9744">
        <v>3.44543</v>
      </c>
      <c r="C9744">
        <f>LOG10(1.001467)</f>
        <v>6.3664314130036116E-4</v>
      </c>
      <c r="D9744">
        <f>LOG10(3.44543)</f>
        <v>0.53724343088035398</v>
      </c>
    </row>
    <row r="9745" spans="1:4">
      <c r="A9745">
        <v>1.0077199999999999</v>
      </c>
      <c r="B9745">
        <v>3.5297689999999999</v>
      </c>
      <c r="C9745">
        <f>LOG10(1.00772)</f>
        <v>3.3398779951304232E-3</v>
      </c>
      <c r="D9745">
        <f>LOG10(3.529769)</f>
        <v>0.54774628462069674</v>
      </c>
    </row>
    <row r="9746" spans="1:4">
      <c r="A9746">
        <v>1.003868</v>
      </c>
      <c r="B9746">
        <v>3.5814430000000002</v>
      </c>
      <c r="C9746">
        <f>LOG10(1.003868)</f>
        <v>1.6766105774854857E-3</v>
      </c>
      <c r="D9746">
        <f>LOG10(3.581443)</f>
        <v>0.55405804359112021</v>
      </c>
    </row>
    <row r="9747" spans="1:4">
      <c r="A9747">
        <v>1.015709</v>
      </c>
      <c r="B9747">
        <v>3.4724819999999998</v>
      </c>
      <c r="C9747">
        <f>LOG10(1.015709)</f>
        <v>6.7693006680212275E-3</v>
      </c>
      <c r="D9747">
        <f>LOG10(3.472482)</f>
        <v>0.54064000320132055</v>
      </c>
    </row>
    <row r="9748" spans="1:4">
      <c r="A9748">
        <v>1.0049349999999999</v>
      </c>
      <c r="B9748">
        <v>3.2643249999999999</v>
      </c>
      <c r="C9748">
        <f>LOG10(1.004935)</f>
        <v>2.137972150292957E-3</v>
      </c>
      <c r="D9748">
        <f>LOG10(3.264325)</f>
        <v>0.51379339109900179</v>
      </c>
    </row>
    <row r="9749" spans="1:4">
      <c r="A9749">
        <v>1.00526</v>
      </c>
      <c r="B9749">
        <v>3.5001280000000001</v>
      </c>
      <c r="C9749">
        <f>LOG10(1.00526)</f>
        <v>2.2784020168963664E-3</v>
      </c>
      <c r="D9749">
        <f>LOG10(3.500128)</f>
        <v>0.54408392682947881</v>
      </c>
    </row>
    <row r="9750" spans="1:4">
      <c r="A9750">
        <v>1.0099100000000001</v>
      </c>
      <c r="B9750">
        <v>3.5879150000000002</v>
      </c>
      <c r="C9750">
        <f>LOG10(1.00991)</f>
        <v>4.2826725500162482E-3</v>
      </c>
      <c r="D9750">
        <f>LOG10(3.587915)</f>
        <v>0.55484214578001756</v>
      </c>
    </row>
    <row r="9751" spans="1:4">
      <c r="A9751">
        <v>1.0100519999999999</v>
      </c>
      <c r="B9751">
        <v>3.4714260000000001</v>
      </c>
      <c r="C9751">
        <f>LOG10(1.010052)</f>
        <v>4.3437329229656305E-3</v>
      </c>
      <c r="D9751">
        <f>LOG10(3.471426)</f>
        <v>0.54050791188432001</v>
      </c>
    </row>
    <row r="9752" spans="1:4">
      <c r="A9752">
        <v>1.0037579999999999</v>
      </c>
      <c r="B9752">
        <v>3.439873</v>
      </c>
      <c r="C9752">
        <f>LOG10(1.003758)</f>
        <v>1.6290196486399868E-3</v>
      </c>
      <c r="D9752">
        <f>LOG10(3.439873)</f>
        <v>0.53654240872927517</v>
      </c>
    </row>
    <row r="9753" spans="1:4">
      <c r="A9753">
        <v>1.005336</v>
      </c>
      <c r="B9753">
        <v>3.642452</v>
      </c>
      <c r="C9753">
        <f>LOG10(1.005336)</f>
        <v>2.311234451299252E-3</v>
      </c>
      <c r="D9753">
        <f>LOG10(3.642452)</f>
        <v>0.56139383737477033</v>
      </c>
    </row>
    <row r="9754" spans="1:4">
      <c r="A9754">
        <v>1.0128109999999999</v>
      </c>
      <c r="B9754">
        <v>3.394666</v>
      </c>
      <c r="C9754">
        <f>LOG10(1.012811)</f>
        <v>5.5284095111139409E-3</v>
      </c>
      <c r="D9754">
        <f>LOG10(3.394666)</f>
        <v>0.53079705063635985</v>
      </c>
    </row>
    <row r="9755" spans="1:4">
      <c r="A9755">
        <v>1.0087170000000001</v>
      </c>
      <c r="B9755">
        <v>3.3630249999999999</v>
      </c>
      <c r="C9755">
        <f>LOG10(1.008717)</f>
        <v>3.7693400946075908E-3</v>
      </c>
      <c r="D9755">
        <f>LOG10(3.363025)</f>
        <v>0.52673009577782082</v>
      </c>
    </row>
    <row r="9756" spans="1:4">
      <c r="A9756">
        <v>1.0068729999999999</v>
      </c>
      <c r="B9756">
        <v>3.3715660000000001</v>
      </c>
      <c r="C9756">
        <f>LOG10(1.006873)</f>
        <v>2.9746951042476954E-3</v>
      </c>
      <c r="D9756">
        <f>LOG10(3.371566)</f>
        <v>0.52783166561587813</v>
      </c>
    </row>
    <row r="9757" spans="1:4">
      <c r="A9757">
        <v>1.0042720000000001</v>
      </c>
      <c r="B9757">
        <v>3.5196779999999999</v>
      </c>
      <c r="C9757">
        <f>LOG10(1.004272)</f>
        <v>1.8513543434142143E-3</v>
      </c>
      <c r="D9757">
        <f>LOG10(3.519678)</f>
        <v>0.54650293358614721</v>
      </c>
    </row>
    <row r="9758" spans="1:4">
      <c r="A9758">
        <v>1.0102420000000001</v>
      </c>
      <c r="B9758">
        <v>3.5419269999999998</v>
      </c>
      <c r="C9758">
        <f>LOG10(1.010242)</f>
        <v>4.425419996040094E-3</v>
      </c>
      <c r="D9758">
        <f>LOG10(3.541927)</f>
        <v>0.54923960602856603</v>
      </c>
    </row>
    <row r="9759" spans="1:4">
      <c r="A9759">
        <v>1.009673</v>
      </c>
      <c r="B9759">
        <v>3.5973489999999999</v>
      </c>
      <c r="C9759">
        <f>LOG10(1.009673)</f>
        <v>4.1807428024559145E-3</v>
      </c>
      <c r="D9759">
        <f>LOG10(3.597349)</f>
        <v>0.55598257332633905</v>
      </c>
    </row>
    <row r="9760" spans="1:4">
      <c r="A9760">
        <v>1.005126</v>
      </c>
      <c r="B9760">
        <v>3.3448530000000001</v>
      </c>
      <c r="C9760">
        <f>LOG10(1.005126)</f>
        <v>2.2205072039984926E-3</v>
      </c>
      <c r="D9760">
        <f>LOG10(3.344853)</f>
        <v>0.52437703609736319</v>
      </c>
    </row>
    <row r="9761" spans="1:4">
      <c r="A9761">
        <v>1.0064390000000001</v>
      </c>
      <c r="B9761">
        <v>3.4471219999999998</v>
      </c>
      <c r="C9761">
        <f>LOG10(1.006439)</f>
        <v>2.7874575493476647E-3</v>
      </c>
      <c r="D9761">
        <f>LOG10(3.447122)</f>
        <v>0.53745665416198929</v>
      </c>
    </row>
    <row r="9762" spans="1:4">
      <c r="A9762">
        <v>1.016276</v>
      </c>
      <c r="B9762">
        <v>3.4725280000000001</v>
      </c>
      <c r="C9762">
        <f>LOG10(1.016276)</f>
        <v>7.0116695611283841E-3</v>
      </c>
      <c r="D9762">
        <f>LOG10(3.472528)</f>
        <v>0.54064575626608724</v>
      </c>
    </row>
    <row r="9763" spans="1:4">
      <c r="A9763">
        <v>1.0041720000000001</v>
      </c>
      <c r="B9763">
        <v>3.3263199999999999</v>
      </c>
      <c r="C9763">
        <f>LOG10(1.004172)</f>
        <v>1.8081074834308561E-3</v>
      </c>
      <c r="D9763">
        <f>LOG10(3.32632)</f>
        <v>0.52196402706905864</v>
      </c>
    </row>
    <row r="9764" spans="1:4">
      <c r="A9764">
        <v>1.003298</v>
      </c>
      <c r="B9764">
        <v>3.3846020000000001</v>
      </c>
      <c r="C9764">
        <f>LOG10(1.003298)</f>
        <v>1.4299465134873686E-3</v>
      </c>
      <c r="D9764">
        <f>LOG10(3.384602)</f>
        <v>0.52950760673868547</v>
      </c>
    </row>
    <row r="9765" spans="1:4">
      <c r="A9765">
        <v>1.0135860000000001</v>
      </c>
      <c r="B9765">
        <v>3.3340709999999998</v>
      </c>
      <c r="C9765">
        <f>LOG10(1.013586)</f>
        <v>5.8606032913904637E-3</v>
      </c>
      <c r="D9765">
        <f>LOG10(3.334071)</f>
        <v>0.52297484401624972</v>
      </c>
    </row>
    <row r="9766" spans="1:4">
      <c r="A9766">
        <v>1.004443</v>
      </c>
      <c r="B9766">
        <v>3.0812400000000002</v>
      </c>
      <c r="C9766">
        <f>LOG10(1.004443)</f>
        <v>1.9252964970645019E-3</v>
      </c>
      <c r="D9766">
        <f>LOG10(3.08124)</f>
        <v>0.48872552714402612</v>
      </c>
    </row>
    <row r="9767" spans="1:4">
      <c r="A9767">
        <v>1.0053589999999999</v>
      </c>
      <c r="B9767">
        <v>3.2641939999999998</v>
      </c>
      <c r="C9767">
        <f>LOG10(1.005359)</f>
        <v>2.3211700935365479E-3</v>
      </c>
      <c r="D9767">
        <f>LOG10(3.264194)</f>
        <v>0.51377596216078869</v>
      </c>
    </row>
    <row r="9768" spans="1:4">
      <c r="A9768">
        <v>1.00166</v>
      </c>
      <c r="B9768">
        <v>3.3409409999999999</v>
      </c>
      <c r="C9768">
        <f>LOG10(1.00166)</f>
        <v>7.2033113039605783E-4</v>
      </c>
      <c r="D9768">
        <f>LOG10(3.340941)</f>
        <v>0.52386880619763998</v>
      </c>
    </row>
    <row r="9769" spans="1:4">
      <c r="A9769">
        <v>1.01936</v>
      </c>
      <c r="B9769">
        <v>3.4110740000000002</v>
      </c>
      <c r="C9769">
        <f>LOG10(1.01936)</f>
        <v>8.3275877379662324E-3</v>
      </c>
      <c r="D9769">
        <f>LOG10(3.411074)</f>
        <v>0.5328911411145385</v>
      </c>
    </row>
    <row r="9770" spans="1:4">
      <c r="A9770">
        <v>1.0049159999999999</v>
      </c>
      <c r="B9770">
        <v>3.3220770000000002</v>
      </c>
      <c r="C9770">
        <f>LOG10(1.004916)</f>
        <v>2.1297609991614516E-3</v>
      </c>
      <c r="D9770">
        <f>LOG10(3.322077)</f>
        <v>0.52140969442710206</v>
      </c>
    </row>
    <row r="9771" spans="1:4">
      <c r="A9771">
        <v>1.0043439999999999</v>
      </c>
      <c r="B9771">
        <v>3.359855</v>
      </c>
      <c r="C9771">
        <f>LOG10(1.004344)</f>
        <v>1.8824894162308818E-3</v>
      </c>
      <c r="D9771">
        <f>LOG10(3.359855)</f>
        <v>0.52632053511046872</v>
      </c>
    </row>
    <row r="9772" spans="1:4">
      <c r="A9772">
        <v>1.0082340000000001</v>
      </c>
      <c r="B9772">
        <v>3.195179</v>
      </c>
      <c r="C9772">
        <f>LOG10(1.008234)</f>
        <v>3.5613387710563562E-3</v>
      </c>
      <c r="D9772">
        <f>LOG10(3.195179)</f>
        <v>0.50449519317820135</v>
      </c>
    </row>
    <row r="9773" spans="1:4">
      <c r="A9773">
        <v>1.0194920000000001</v>
      </c>
      <c r="B9773">
        <v>3.2141000000000002</v>
      </c>
      <c r="C9773">
        <f>LOG10(1.019492)</f>
        <v>8.3838221990171907E-3</v>
      </c>
      <c r="D9773">
        <f>LOG10(3.2141)</f>
        <v>0.50705938480211576</v>
      </c>
    </row>
    <row r="9774" spans="1:4">
      <c r="A9774">
        <v>1.004337</v>
      </c>
      <c r="B9774">
        <v>3.4808789999999998</v>
      </c>
      <c r="C9774">
        <f>LOG10(1.004337)</f>
        <v>1.8794624932169459E-3</v>
      </c>
      <c r="D9774">
        <f>LOG10(3.480879)</f>
        <v>0.5416889268908246</v>
      </c>
    </row>
    <row r="9775" spans="1:4">
      <c r="A9775">
        <v>1.001765</v>
      </c>
      <c r="B9775">
        <v>3.3690929999999999</v>
      </c>
      <c r="C9775">
        <f>LOG10(1.001765)</f>
        <v>7.6585409296426341E-4</v>
      </c>
      <c r="D9775">
        <f>LOG10(3.369093)</f>
        <v>0.52751299935433482</v>
      </c>
    </row>
    <row r="9776" spans="1:4">
      <c r="A9776">
        <v>1.011104</v>
      </c>
      <c r="B9776">
        <v>3.4431560000000001</v>
      </c>
      <c r="C9776">
        <f>LOG10(1.011104)</f>
        <v>4.7958284922541786E-3</v>
      </c>
      <c r="D9776">
        <f>LOG10(3.443156)</f>
        <v>0.53695669984797045</v>
      </c>
    </row>
    <row r="9777" spans="1:4">
      <c r="A9777">
        <v>1.004176</v>
      </c>
      <c r="B9777">
        <v>3.172482</v>
      </c>
      <c r="C9777">
        <f>LOG10(1.004176)</f>
        <v>1.8098374405175451E-3</v>
      </c>
      <c r="D9777">
        <f>LOG10(3.172482)</f>
        <v>0.50139916667758522</v>
      </c>
    </row>
    <row r="9778" spans="1:4">
      <c r="A9778">
        <v>1.0107139999999999</v>
      </c>
      <c r="B9778">
        <v>3.1114660000000001</v>
      </c>
      <c r="C9778">
        <f>LOG10(1.010714)</f>
        <v>4.62828141329548E-3</v>
      </c>
      <c r="D9778">
        <f>LOG10(3.111466)</f>
        <v>0.49296505966949755</v>
      </c>
    </row>
    <row r="9779" spans="1:4">
      <c r="A9779">
        <v>1.00176</v>
      </c>
      <c r="B9779">
        <v>3.227382</v>
      </c>
      <c r="C9779">
        <f>LOG10(1.00176)</f>
        <v>7.6368644104124266E-4</v>
      </c>
      <c r="D9779">
        <f>LOG10(3.227382)</f>
        <v>0.50885037249207565</v>
      </c>
    </row>
    <row r="9780" spans="1:4">
      <c r="A9780">
        <v>1.013309</v>
      </c>
      <c r="B9780">
        <v>3.2108050000000001</v>
      </c>
      <c r="C9780">
        <f>LOG10(1.013309)</f>
        <v>5.741899981908557E-3</v>
      </c>
      <c r="D9780">
        <f>LOG10(3.210805)</f>
        <v>0.50661393060681525</v>
      </c>
    </row>
    <row r="9781" spans="1:4">
      <c r="A9781">
        <v>1.00441</v>
      </c>
      <c r="B9781">
        <v>3.1909149999999999</v>
      </c>
      <c r="C9781">
        <f>LOG10(1.00441)</f>
        <v>1.9110279389329963E-3</v>
      </c>
      <c r="D9781">
        <f>LOG10(3.190915)</f>
        <v>0.5039152355558949</v>
      </c>
    </row>
    <row r="9782" spans="1:4">
      <c r="A9782">
        <v>1.002815</v>
      </c>
      <c r="B9782">
        <v>3.2643930000000001</v>
      </c>
      <c r="C9782">
        <f>LOG10(1.002815)</f>
        <v>1.2208214653844603E-3</v>
      </c>
      <c r="D9782">
        <f>LOG10(3.264393)</f>
        <v>0.51380243790567059</v>
      </c>
    </row>
    <row r="9783" spans="1:4">
      <c r="A9783">
        <v>1.002875</v>
      </c>
      <c r="B9783">
        <v>3.1282920000000001</v>
      </c>
      <c r="C9783">
        <f>LOG10(1.002875)</f>
        <v>1.2468052105514063E-3</v>
      </c>
      <c r="D9783">
        <f>LOG10(3.128292)</f>
        <v>0.49530728405213803</v>
      </c>
    </row>
    <row r="9784" spans="1:4">
      <c r="A9784">
        <v>1.0062930000000001</v>
      </c>
      <c r="B9784">
        <v>3.0982889999999998</v>
      </c>
      <c r="C9784">
        <f>LOG10(1.006293)</f>
        <v>2.7244516504310902E-3</v>
      </c>
      <c r="D9784">
        <f>LOG10(3.098289)</f>
        <v>0.49112192512474306</v>
      </c>
    </row>
    <row r="9785" spans="1:4">
      <c r="A9785">
        <v>1.013412</v>
      </c>
      <c r="B9785">
        <v>3.228237</v>
      </c>
      <c r="C9785">
        <f>LOG10(1.013412)</f>
        <v>5.7860425468442642E-3</v>
      </c>
      <c r="D9785">
        <f>LOG10(3.228237)</f>
        <v>0.50896541081270719</v>
      </c>
    </row>
    <row r="9786" spans="1:4">
      <c r="A9786">
        <v>1.0035970000000001</v>
      </c>
      <c r="B9786">
        <v>3.1333579999999999</v>
      </c>
      <c r="C9786">
        <f>LOG10(1.003597)</f>
        <v>1.5593544307425126E-3</v>
      </c>
      <c r="D9786">
        <f>LOG10(3.133358)</f>
        <v>0.49601001778058534</v>
      </c>
    </row>
    <row r="9787" spans="1:4">
      <c r="A9787">
        <v>1.00773</v>
      </c>
      <c r="B9787">
        <v>3.2965680000000002</v>
      </c>
      <c r="C9787">
        <f>LOG10(1.00773)</f>
        <v>3.3441876478820139E-3</v>
      </c>
      <c r="D9787">
        <f>LOG10(3.296568)</f>
        <v>0.51806203858728439</v>
      </c>
    </row>
    <row r="9788" spans="1:4">
      <c r="A9788">
        <v>1.0037229999999999</v>
      </c>
      <c r="B9788">
        <v>3.228602</v>
      </c>
      <c r="C9788">
        <f>LOG10(1.003723)</f>
        <v>1.6138759866395425E-3</v>
      </c>
      <c r="D9788">
        <f>LOG10(3.228602)</f>
        <v>0.50901451145965337</v>
      </c>
    </row>
    <row r="9789" spans="1:4">
      <c r="A9789">
        <v>1.00922</v>
      </c>
      <c r="B9789">
        <v>3.148298</v>
      </c>
      <c r="C9789">
        <f>LOG10(1.00922)</f>
        <v>3.9858484681808051E-3</v>
      </c>
      <c r="D9789">
        <f>LOG10(3.148298)</f>
        <v>0.49807583348065609</v>
      </c>
    </row>
    <row r="9790" spans="1:4">
      <c r="A9790">
        <v>1.0028049999999999</v>
      </c>
      <c r="B9790">
        <v>3.08209</v>
      </c>
      <c r="C9790">
        <f>LOG10(1.002805)</f>
        <v>1.2164906900440698E-3</v>
      </c>
      <c r="D9790">
        <f>LOG10(3.08209)</f>
        <v>0.48884531638521816</v>
      </c>
    </row>
    <row r="9791" spans="1:4">
      <c r="A9791">
        <v>1.0113270000000001</v>
      </c>
      <c r="B9791">
        <v>3.2862680000000002</v>
      </c>
      <c r="C9791">
        <f>LOG10(1.011327)</f>
        <v>4.8916020141760172E-3</v>
      </c>
      <c r="D9791">
        <f>LOG10(3.286268)</f>
        <v>0.51670297789852426</v>
      </c>
    </row>
    <row r="9792" spans="1:4">
      <c r="A9792">
        <v>1.006264</v>
      </c>
      <c r="B9792">
        <v>3.2753220000000001</v>
      </c>
      <c r="C9792">
        <f>LOG10(1.006264)</f>
        <v>2.7119356919006331E-3</v>
      </c>
      <c r="D9792">
        <f>LOG10(3.275322)</f>
        <v>0.51525400232746832</v>
      </c>
    </row>
    <row r="9793" spans="1:4">
      <c r="A9793">
        <v>1.0027159999999999</v>
      </c>
      <c r="B9793">
        <v>3.3912640000000001</v>
      </c>
      <c r="C9793">
        <f>LOG10(1.002716)</f>
        <v>1.1779448868191071E-3</v>
      </c>
      <c r="D9793">
        <f>LOG10(3.391264)</f>
        <v>0.53036159965139129</v>
      </c>
    </row>
    <row r="9794" spans="1:4">
      <c r="A9794">
        <v>1.0044120000000001</v>
      </c>
      <c r="B9794">
        <v>3.2753359999999998</v>
      </c>
      <c r="C9794">
        <f>LOG10(1.004412)</f>
        <v>1.9118927133767566E-3</v>
      </c>
      <c r="D9794">
        <f>LOG10(3.275336)</f>
        <v>0.51525585866701362</v>
      </c>
    </row>
    <row r="9795" spans="1:4">
      <c r="A9795">
        <v>1.017088</v>
      </c>
      <c r="B9795">
        <v>3.2748849999999998</v>
      </c>
      <c r="C9795">
        <f>LOG10(1.017088)</f>
        <v>7.3585303672124144E-3</v>
      </c>
      <c r="D9795">
        <f>LOG10(3.274885)</f>
        <v>0.51519605402480451</v>
      </c>
    </row>
    <row r="9796" spans="1:4">
      <c r="A9796">
        <v>1.0069490000000001</v>
      </c>
      <c r="B9796">
        <v>3.2291539999999999</v>
      </c>
      <c r="C9796">
        <f>LOG10(1.006949)</f>
        <v>3.0074749434195764E-3</v>
      </c>
      <c r="D9796">
        <f>LOG10(3.229154)</f>
        <v>0.50908875723623404</v>
      </c>
    </row>
    <row r="9797" spans="1:4">
      <c r="A9797">
        <v>1.006027</v>
      </c>
      <c r="B9797">
        <v>3.1593779999999998</v>
      </c>
      <c r="C9797">
        <f>LOG10(1.006027)</f>
        <v>2.6096365784155544E-3</v>
      </c>
      <c r="D9797">
        <f>LOG10(3.159378)</f>
        <v>0.49960158965735091</v>
      </c>
    </row>
    <row r="9798" spans="1:4">
      <c r="A9798">
        <v>1.0054510000000001</v>
      </c>
      <c r="B9798">
        <v>3.1663190000000001</v>
      </c>
      <c r="C9798">
        <f>LOG10(1.005451)</f>
        <v>2.3609103895993952E-3</v>
      </c>
      <c r="D9798">
        <f>LOG10(3.166319)</f>
        <v>0.50055466698896778</v>
      </c>
    </row>
    <row r="9799" spans="1:4">
      <c r="A9799">
        <v>1.0133829999999999</v>
      </c>
      <c r="B9799">
        <v>3.2207219999999999</v>
      </c>
      <c r="C9799">
        <f>LOG10(1.013383)</f>
        <v>5.773614511472085E-3</v>
      </c>
      <c r="D9799">
        <f>LOG10(3.220722)</f>
        <v>0.50795323985339069</v>
      </c>
    </row>
    <row r="9800" spans="1:4">
      <c r="A9800">
        <v>1.005482</v>
      </c>
      <c r="B9800">
        <v>3.0373899999999998</v>
      </c>
      <c r="C9800">
        <f>LOG10(1.005482)</f>
        <v>2.374300322471371E-3</v>
      </c>
      <c r="D9800">
        <f>LOG10(3.03739)</f>
        <v>0.48250055878479003</v>
      </c>
    </row>
    <row r="9801" spans="1:4">
      <c r="A9801">
        <v>1.0053920000000001</v>
      </c>
      <c r="B9801">
        <v>3.1263909999999999</v>
      </c>
      <c r="C9801">
        <f>LOG10(1.005392)</f>
        <v>2.3354251832061975E-3</v>
      </c>
      <c r="D9801">
        <f>LOG10(3.126391)</f>
        <v>0.49504329182886486</v>
      </c>
    </row>
    <row r="9802" spans="1:4">
      <c r="A9802">
        <v>1.013628</v>
      </c>
      <c r="B9802">
        <v>3.1684489999999998</v>
      </c>
      <c r="C9802">
        <f>LOG10(1.013628)</f>
        <v>5.8785987948178197E-3</v>
      </c>
      <c r="D9802">
        <f>LOG10(3.168449)</f>
        <v>0.50084672102514238</v>
      </c>
    </row>
    <row r="9803" spans="1:4">
      <c r="A9803">
        <v>1.0089570000000001</v>
      </c>
      <c r="B9803">
        <v>3.011088</v>
      </c>
      <c r="C9803">
        <f>LOG10(1.008957)</f>
        <v>3.8726577526121734E-3</v>
      </c>
      <c r="D9803">
        <f>LOG10(3.011088)</f>
        <v>0.47872344809194789</v>
      </c>
    </row>
    <row r="9804" spans="1:4">
      <c r="A9804">
        <v>1.0116449999999999</v>
      </c>
      <c r="B9804">
        <v>3.1935009999999999</v>
      </c>
      <c r="C9804">
        <f>LOG10(1.011645)</f>
        <v>5.0281393922343293E-3</v>
      </c>
      <c r="D9804">
        <f>LOG10(3.193501)</f>
        <v>0.50426705648724446</v>
      </c>
    </row>
    <row r="9805" spans="1:4">
      <c r="A9805">
        <v>1.0050790000000001</v>
      </c>
      <c r="B9805">
        <v>3.203414</v>
      </c>
      <c r="C9805">
        <f>LOG10(1.005079)</f>
        <v>2.2001989860275569E-3</v>
      </c>
      <c r="D9805">
        <f>LOG10(3.203414)</f>
        <v>0.5056130692591152</v>
      </c>
    </row>
    <row r="9806" spans="1:4">
      <c r="A9806">
        <v>1.016278</v>
      </c>
      <c r="B9806">
        <v>3.0380569999999998</v>
      </c>
      <c r="C9806">
        <f>LOG10(1.016278)</f>
        <v>7.0125242385084994E-3</v>
      </c>
      <c r="D9806">
        <f>LOG10(3.038057)</f>
        <v>0.48259591783264061</v>
      </c>
    </row>
    <row r="9807" spans="1:4">
      <c r="A9807">
        <v>1.004729</v>
      </c>
      <c r="B9807">
        <v>3.199983</v>
      </c>
      <c r="C9807">
        <f>LOG10(1.004729)</f>
        <v>2.0489377011657594E-3</v>
      </c>
      <c r="D9807">
        <f>LOG10(3.199983)</f>
        <v>0.50514767112434233</v>
      </c>
    </row>
    <row r="9808" spans="1:4">
      <c r="A9808">
        <v>1.01295</v>
      </c>
      <c r="B9808">
        <v>3.0767669999999998</v>
      </c>
      <c r="C9808">
        <f>LOG10(1.01295)</f>
        <v>5.5880087758636721E-3</v>
      </c>
      <c r="D9808">
        <f>LOG10(3.076767)</f>
        <v>0.48809460887478673</v>
      </c>
    </row>
    <row r="9809" spans="1:4">
      <c r="A9809">
        <v>1.0097510000000001</v>
      </c>
      <c r="B9809">
        <v>3.17726</v>
      </c>
      <c r="C9809">
        <f>LOG10(1.009751)</f>
        <v>4.2142919428101036E-3</v>
      </c>
      <c r="D9809">
        <f>LOG10(3.17726)</f>
        <v>0.50205275525683013</v>
      </c>
    </row>
    <row r="9810" spans="1:4">
      <c r="A9810">
        <v>1.010832</v>
      </c>
      <c r="B9810">
        <v>3.2700200000000001</v>
      </c>
      <c r="C9810">
        <f>LOG10(1.010832)</f>
        <v>4.6789819651729177E-3</v>
      </c>
      <c r="D9810">
        <f>LOG10(3.27002)</f>
        <v>0.51455040888752646</v>
      </c>
    </row>
    <row r="9811" spans="1:4">
      <c r="A9811">
        <v>1.013344</v>
      </c>
      <c r="B9811">
        <v>3.2643110000000002</v>
      </c>
      <c r="C9811">
        <f>LOG10(1.013344)</f>
        <v>5.7569003858929874E-3</v>
      </c>
      <c r="D9811">
        <f>LOG10(3.264311)</f>
        <v>0.51379152849776422</v>
      </c>
    </row>
    <row r="9812" spans="1:4">
      <c r="A9812">
        <v>1.007477</v>
      </c>
      <c r="B9812">
        <v>3.4118309999999998</v>
      </c>
      <c r="C9812">
        <f>LOG10(1.007477)</f>
        <v>3.235140285006809E-3</v>
      </c>
      <c r="D9812">
        <f>LOG10(3.411831)</f>
        <v>0.53298751089373075</v>
      </c>
    </row>
    <row r="9813" spans="1:4">
      <c r="A9813">
        <v>1.013976</v>
      </c>
      <c r="B9813">
        <v>3.3379409999999998</v>
      </c>
      <c r="C9813">
        <f>LOG10(1.013976)</f>
        <v>6.027675716333402E-3</v>
      </c>
      <c r="D9813">
        <f>LOG10(3.337941)</f>
        <v>0.52347865600982924</v>
      </c>
    </row>
    <row r="9814" spans="1:4">
      <c r="A9814">
        <v>1.0185759999999999</v>
      </c>
      <c r="B9814">
        <v>3.1971259999999999</v>
      </c>
      <c r="C9814">
        <f>LOG10(1.018576)</f>
        <v>7.9934389809796121E-3</v>
      </c>
      <c r="D9814">
        <f>LOG10(3.197126)</f>
        <v>0.50475975232624393</v>
      </c>
    </row>
    <row r="9815" spans="1:4">
      <c r="A9815">
        <v>1.0177590000000001</v>
      </c>
      <c r="B9815">
        <v>3.2424499999999998</v>
      </c>
      <c r="C9815">
        <f>LOG10(1.017759)</f>
        <v>7.6449515162419282E-3</v>
      </c>
      <c r="D9815">
        <f>LOG10(3.24245)</f>
        <v>0.51087328779651253</v>
      </c>
    </row>
    <row r="9816" spans="1:4">
      <c r="A9816">
        <v>1.010054</v>
      </c>
      <c r="B9816">
        <v>3.2079209999999998</v>
      </c>
      <c r="C9816">
        <f>LOG10(1.010054)</f>
        <v>4.3445928669129602E-3</v>
      </c>
      <c r="D9816">
        <f>LOG10(3.207921)</f>
        <v>0.50622366457268508</v>
      </c>
    </row>
    <row r="9817" spans="1:4">
      <c r="A9817">
        <v>1.0051049999999999</v>
      </c>
      <c r="B9817">
        <v>3.1615869999999999</v>
      </c>
      <c r="C9817">
        <f>LOG10(1.005105)</f>
        <v>2.2114334367346099E-3</v>
      </c>
      <c r="D9817">
        <f>LOG10(3.161587)</f>
        <v>0.49990513715352597</v>
      </c>
    </row>
    <row r="9818" spans="1:4">
      <c r="A9818">
        <v>1.0235970000000001</v>
      </c>
      <c r="B9818">
        <v>3.2992520000000001</v>
      </c>
      <c r="C9818">
        <f>LOG10(1.023597)</f>
        <v>1.0129004368962882E-2</v>
      </c>
      <c r="D9818">
        <f>LOG10(3.299252)</f>
        <v>0.51841548863709386</v>
      </c>
    </row>
    <row r="9819" spans="1:4">
      <c r="A9819">
        <v>1.0207790000000001</v>
      </c>
      <c r="B9819">
        <v>3.3870650000000002</v>
      </c>
      <c r="C9819">
        <f>LOG10(1.020779)</f>
        <v>8.9317269355394142E-3</v>
      </c>
      <c r="D9819">
        <f>LOG10(3.387065)</f>
        <v>0.5298235311207018</v>
      </c>
    </row>
    <row r="9820" spans="1:4">
      <c r="A9820">
        <v>1.0048729999999999</v>
      </c>
      <c r="B9820">
        <v>3.263852</v>
      </c>
      <c r="C9820">
        <f>LOG10(1.004873)</f>
        <v>2.1111772943798093E-3</v>
      </c>
      <c r="D9820">
        <f>LOG10(3.263852)</f>
        <v>0.51373045736105327</v>
      </c>
    </row>
    <row r="9821" spans="1:4">
      <c r="A9821">
        <v>1.0085409999999999</v>
      </c>
      <c r="B9821">
        <v>3.2128869999999998</v>
      </c>
      <c r="C9821">
        <f>LOG10(1.008541)</f>
        <v>3.6935581876735312E-3</v>
      </c>
      <c r="D9821">
        <f>LOG10(3.212887)</f>
        <v>0.50689545130954639</v>
      </c>
    </row>
    <row r="9822" spans="1:4">
      <c r="A9822">
        <v>1.0236449999999999</v>
      </c>
      <c r="B9822">
        <v>3.267655</v>
      </c>
      <c r="C9822">
        <f>LOG10(1.023645)</f>
        <v>1.0149369460276074E-2</v>
      </c>
      <c r="D9822">
        <f>LOG10(3.267655)</f>
        <v>0.51423619733846515</v>
      </c>
    </row>
    <row r="9823" spans="1:4">
      <c r="A9823">
        <v>1.018926</v>
      </c>
      <c r="B9823">
        <v>3.2414360000000002</v>
      </c>
      <c r="C9823">
        <f>LOG10(1.018926)</f>
        <v>8.1426443021633682E-3</v>
      </c>
      <c r="D9823">
        <f>LOG10(3.241436)</f>
        <v>0.51073745116760205</v>
      </c>
    </row>
    <row r="9824" spans="1:4">
      <c r="A9824">
        <v>1.0068490000000001</v>
      </c>
      <c r="B9824">
        <v>3.2288320000000001</v>
      </c>
      <c r="C9824">
        <f>LOG10(1.006849)</f>
        <v>2.9643430620431752E-3</v>
      </c>
      <c r="D9824">
        <f>LOG10(3.228832)</f>
        <v>0.50904544874244406</v>
      </c>
    </row>
    <row r="9825" spans="1:4">
      <c r="A9825">
        <v>1.011333</v>
      </c>
      <c r="B9825">
        <v>3.2794720000000002</v>
      </c>
      <c r="C9825">
        <f>LOG10(1.011333)</f>
        <v>4.8941785884805524E-3</v>
      </c>
      <c r="D9825">
        <f>LOG10(3.279472)</f>
        <v>0.51580392726506874</v>
      </c>
    </row>
    <row r="9826" spans="1:4">
      <c r="A9826">
        <v>1.0206299999999999</v>
      </c>
      <c r="B9826">
        <v>3.2255590000000001</v>
      </c>
      <c r="C9826">
        <f>LOG10(1.02063)</f>
        <v>8.8683296663801502E-3</v>
      </c>
      <c r="D9826">
        <f>LOG10(3.225559)</f>
        <v>0.50860499015816873</v>
      </c>
    </row>
    <row r="9827" spans="1:4">
      <c r="A9827">
        <v>1.0084029999999999</v>
      </c>
      <c r="B9827">
        <v>3.2150820000000002</v>
      </c>
      <c r="C9827">
        <f>LOG10(1.008403)</f>
        <v>3.6341290328768109E-3</v>
      </c>
      <c r="D9827">
        <f>LOG10(3.215082)</f>
        <v>0.50719205399223843</v>
      </c>
    </row>
    <row r="9828" spans="1:4">
      <c r="A9828">
        <v>1.014786</v>
      </c>
      <c r="B9828">
        <v>3.2014179999999999</v>
      </c>
      <c r="C9828">
        <f>LOG10(1.014786)</f>
        <v>6.3744670590671799E-3</v>
      </c>
      <c r="D9828">
        <f>LOG10(3.201418)</f>
        <v>0.50534238243581009</v>
      </c>
    </row>
    <row r="9829" spans="1:4">
      <c r="A9829">
        <v>1.020216</v>
      </c>
      <c r="B9829">
        <v>3.1986940000000001</v>
      </c>
      <c r="C9829">
        <f>LOG10(1.020216)</f>
        <v>8.6921302687046811E-3</v>
      </c>
      <c r="D9829">
        <f>LOG10(3.198694)</f>
        <v>0.50497269570528436</v>
      </c>
    </row>
    <row r="9830" spans="1:4">
      <c r="A9830">
        <v>1.0111810000000001</v>
      </c>
      <c r="B9830">
        <v>3.4046919999999998</v>
      </c>
      <c r="C9830">
        <f>LOG10(1.011181)</f>
        <v>4.828900660739586E-3</v>
      </c>
      <c r="D9830">
        <f>LOG10(3.404692)</f>
        <v>0.53207783027213496</v>
      </c>
    </row>
    <row r="9831" spans="1:4">
      <c r="A9831">
        <v>1.009225</v>
      </c>
      <c r="B9831">
        <v>3.3483230000000002</v>
      </c>
      <c r="C9831">
        <f>LOG10(1.009225)</f>
        <v>3.9880000971917861E-3</v>
      </c>
      <c r="D9831">
        <f>LOG10(3.348323)</f>
        <v>0.52482734608091086</v>
      </c>
    </row>
    <row r="9832" spans="1:4">
      <c r="A9832">
        <v>1.0013540000000001</v>
      </c>
      <c r="B9832">
        <v>3.1331950000000002</v>
      </c>
      <c r="C9832">
        <f>LOG10(1.001354)</f>
        <v>5.8763698797247661E-4</v>
      </c>
      <c r="D9832">
        <f>LOG10(3.133195)</f>
        <v>0.49598742481741526</v>
      </c>
    </row>
    <row r="9833" spans="1:4">
      <c r="A9833">
        <v>1.024238</v>
      </c>
      <c r="B9833">
        <v>3.1798329999999999</v>
      </c>
      <c r="C9833">
        <f>LOG10(1.024238)</f>
        <v>1.0400884449137001E-2</v>
      </c>
      <c r="D9833">
        <f>LOG10(3.179833)</f>
        <v>0.50240431209671155</v>
      </c>
    </row>
    <row r="9834" spans="1:4">
      <c r="A9834">
        <v>1.0135050000000001</v>
      </c>
      <c r="B9834">
        <v>3.2146840000000001</v>
      </c>
      <c r="C9834">
        <f>LOG10(1.013505)</f>
        <v>5.8258955717539153E-3</v>
      </c>
      <c r="D9834">
        <f>LOG10(3.214684)</f>
        <v>0.50713828867511235</v>
      </c>
    </row>
    <row r="9835" spans="1:4">
      <c r="A9835">
        <v>1.01691</v>
      </c>
      <c r="B9835">
        <v>3.426831</v>
      </c>
      <c r="C9835">
        <f>LOG10(1.01691)</f>
        <v>7.2825180820713991E-3</v>
      </c>
      <c r="D9835">
        <f>LOG10(3.426831)</f>
        <v>0.53489268698684667</v>
      </c>
    </row>
    <row r="9836" spans="1:4">
      <c r="A9836">
        <v>1.0012719999999999</v>
      </c>
      <c r="B9836">
        <v>3.198032</v>
      </c>
      <c r="C9836">
        <f>LOG10(1.001272)</f>
        <v>5.5207153787242922E-4</v>
      </c>
      <c r="D9836">
        <f>LOG10(3.198032)</f>
        <v>0.50488280504933125</v>
      </c>
    </row>
    <row r="9837" spans="1:4">
      <c r="A9837">
        <v>1.0375779999999999</v>
      </c>
      <c r="B9837">
        <v>3.2360039999999999</v>
      </c>
      <c r="C9837">
        <f>LOG10(1.037578)</f>
        <v>1.6020754729942244E-2</v>
      </c>
      <c r="D9837">
        <f>LOG10(3.236004)</f>
        <v>0.51000904976868155</v>
      </c>
    </row>
    <row r="9838" spans="1:4">
      <c r="A9838">
        <v>1.0150889999999999</v>
      </c>
      <c r="B9838">
        <v>3.1753939999999998</v>
      </c>
      <c r="C9838">
        <f>LOG10(1.015089)</f>
        <v>6.5041215737481478E-3</v>
      </c>
      <c r="D9838">
        <f>LOG10(3.175394)</f>
        <v>0.50179761983577975</v>
      </c>
    </row>
    <row r="9839" spans="1:4">
      <c r="A9839">
        <v>1.037806</v>
      </c>
      <c r="B9839">
        <v>3.3638460000000001</v>
      </c>
      <c r="C9839">
        <f>LOG10(1.037806)</f>
        <v>1.6116177208165404E-2</v>
      </c>
      <c r="D9839">
        <f>LOG10(3.363846)</f>
        <v>0.52683610517547774</v>
      </c>
    </row>
    <row r="9840" spans="1:4">
      <c r="A9840">
        <v>1.041642</v>
      </c>
      <c r="B9840">
        <v>3.4383089999999998</v>
      </c>
      <c r="C9840">
        <f>LOG10(1.041642)</f>
        <v>1.7718482745334514E-2</v>
      </c>
      <c r="D9840">
        <f>LOG10(3.438309)</f>
        <v>0.53634490404521673</v>
      </c>
    </row>
    <row r="9841" spans="1:4">
      <c r="A9841">
        <v>1.049885</v>
      </c>
      <c r="B9841">
        <v>3.3727239999999998</v>
      </c>
      <c r="C9841">
        <f>LOG10(1.049885)</f>
        <v>2.114173087885254E-2</v>
      </c>
      <c r="D9841">
        <f>LOG10(3.372724)</f>
        <v>0.52798080303879025</v>
      </c>
    </row>
    <row r="9842" spans="1:4">
      <c r="A9842">
        <v>1.020011</v>
      </c>
      <c r="B9842">
        <v>3.141985</v>
      </c>
      <c r="C9842">
        <f>LOG10(1.020011)</f>
        <v>8.6048553046053043E-3</v>
      </c>
      <c r="D9842">
        <f>LOG10(3.141985)</f>
        <v>0.49720410736443238</v>
      </c>
    </row>
    <row r="9843" spans="1:4">
      <c r="A9843">
        <v>1.0532820000000001</v>
      </c>
      <c r="B9843">
        <v>3.4725220000000001</v>
      </c>
      <c r="C9843">
        <f>LOG10(1.053282)</f>
        <v>2.2544662398750949E-2</v>
      </c>
      <c r="D9843">
        <f>LOG10(3.472522)</f>
        <v>0.540645005870657</v>
      </c>
    </row>
    <row r="9844" spans="1:4">
      <c r="A9844">
        <v>1.04321</v>
      </c>
      <c r="B9844">
        <v>3.403896</v>
      </c>
      <c r="C9844">
        <f>LOG10(1.04321)</f>
        <v>1.8371741466836216E-2</v>
      </c>
      <c r="D9844">
        <f>LOG10(3.403896)</f>
        <v>0.53197628251827767</v>
      </c>
    </row>
    <row r="9845" spans="1:4">
      <c r="A9845">
        <v>1.012346</v>
      </c>
      <c r="B9845">
        <v>3.3070870000000001</v>
      </c>
      <c r="C9845">
        <f>LOG10(1.012346)</f>
        <v>5.3289712081735045E-3</v>
      </c>
      <c r="D9845">
        <f>LOG10(3.307087)</f>
        <v>0.51944562010963025</v>
      </c>
    </row>
    <row r="9846" spans="1:4">
      <c r="A9846">
        <v>1.010086</v>
      </c>
      <c r="B9846">
        <v>3.3475769999999998</v>
      </c>
      <c r="C9846">
        <f>LOG10(1.010086)</f>
        <v>4.3583517384981774E-3</v>
      </c>
      <c r="D9846">
        <f>LOG10(3.347577)</f>
        <v>0.52473057531526601</v>
      </c>
    </row>
    <row r="9847" spans="1:4">
      <c r="A9847">
        <v>1.002289</v>
      </c>
      <c r="B9847">
        <v>3.442291</v>
      </c>
      <c r="C9847">
        <f>LOG10(1.002289)</f>
        <v>9.9296405477503004E-4</v>
      </c>
      <c r="D9847">
        <f>LOG10(3.442291)</f>
        <v>0.53684758137568456</v>
      </c>
    </row>
    <row r="9848" spans="1:4">
      <c r="A9848">
        <v>1.0208889999999999</v>
      </c>
      <c r="B9848">
        <v>3.3880680000000001</v>
      </c>
      <c r="C9848">
        <f>LOG10(1.020889)</f>
        <v>8.9785243512362951E-3</v>
      </c>
      <c r="D9848">
        <f>LOG10(3.388068)</f>
        <v>0.52995211822549548</v>
      </c>
    </row>
    <row r="9849" spans="1:4">
      <c r="A9849">
        <v>1.01108</v>
      </c>
      <c r="B9849">
        <v>3.442844</v>
      </c>
      <c r="C9849">
        <f>LOG10(1.01108)</f>
        <v>4.7855197690458273E-3</v>
      </c>
      <c r="D9849">
        <f>LOG10(3.442844)</f>
        <v>0.53691734466979835</v>
      </c>
    </row>
    <row r="9850" spans="1:4">
      <c r="A9850">
        <v>1.003298</v>
      </c>
      <c r="B9850">
        <v>3.2049110000000001</v>
      </c>
      <c r="C9850">
        <f>LOG10(1.003298)</f>
        <v>1.4299465134873686E-3</v>
      </c>
      <c r="D9850">
        <f>LOG10(3.204911)</f>
        <v>0.50581597371581344</v>
      </c>
    </row>
    <row r="9851" spans="1:4">
      <c r="A9851">
        <v>1.0059070000000001</v>
      </c>
      <c r="B9851">
        <v>3.3214830000000002</v>
      </c>
      <c r="C9851">
        <f>LOG10(1.005907)</f>
        <v>2.557830368181874E-3</v>
      </c>
      <c r="D9851">
        <f>LOG10(3.321483)</f>
        <v>0.52133203397910799</v>
      </c>
    </row>
    <row r="9852" spans="1:4">
      <c r="A9852">
        <v>1.0158370000000001</v>
      </c>
      <c r="B9852">
        <v>3.4453</v>
      </c>
      <c r="C9852">
        <f>LOG10(1.015837)</f>
        <v>6.8240271608077377E-3</v>
      </c>
      <c r="D9852">
        <f>LOG10(3.4453)</f>
        <v>0.53722704414552214</v>
      </c>
    </row>
    <row r="9853" spans="1:4">
      <c r="A9853">
        <v>1.0088200000000001</v>
      </c>
      <c r="B9853">
        <v>3.555974</v>
      </c>
      <c r="C9853">
        <f>LOG10(1.00882)</f>
        <v>3.8136836002532191E-3</v>
      </c>
      <c r="D9853">
        <f>LOG10(3.555974)</f>
        <v>0.5509585769050912</v>
      </c>
    </row>
    <row r="9854" spans="1:4">
      <c r="A9854">
        <v>1.005592</v>
      </c>
      <c r="B9854">
        <v>3.6241500000000002</v>
      </c>
      <c r="C9854">
        <f>LOG10(1.005592)</f>
        <v>2.4218096563467261E-3</v>
      </c>
      <c r="D9854">
        <f>LOG10(3.62415)</f>
        <v>0.55920616439775017</v>
      </c>
    </row>
    <row r="9855" spans="1:4">
      <c r="A9855">
        <v>1.008362</v>
      </c>
      <c r="B9855">
        <v>3.756764</v>
      </c>
      <c r="C9855">
        <f>LOG10(1.008362)</f>
        <v>3.6164709777633318E-3</v>
      </c>
      <c r="D9855">
        <f>LOG10(3.756764)</f>
        <v>0.57481391353104938</v>
      </c>
    </row>
    <row r="9856" spans="1:4">
      <c r="A9856">
        <v>1.012391</v>
      </c>
      <c r="B9856">
        <v>3.2927940000000002</v>
      </c>
      <c r="C9856">
        <f>LOG10(1.012391)</f>
        <v>5.3482756923498645E-3</v>
      </c>
      <c r="D9856">
        <f>LOG10(3.292794)</f>
        <v>0.51756456172869902</v>
      </c>
    </row>
    <row r="9857" spans="1:4">
      <c r="A9857">
        <v>1.0068319999999999</v>
      </c>
      <c r="B9857">
        <v>3.6023200000000002</v>
      </c>
      <c r="C9857">
        <f>LOG10(1.006832)</f>
        <v>2.9570102161826854E-3</v>
      </c>
      <c r="D9857">
        <f>LOG10(3.60232)</f>
        <v>0.55658228928900355</v>
      </c>
    </row>
    <row r="9858" spans="1:4">
      <c r="A9858">
        <v>1.108007</v>
      </c>
      <c r="B9858">
        <v>3.4711500000000002</v>
      </c>
      <c r="C9858">
        <f>LOG10(1.108007)</f>
        <v>4.4542504121445482E-2</v>
      </c>
      <c r="D9858">
        <f>LOG10(3.47115)</f>
        <v>0.54047338139388867</v>
      </c>
    </row>
    <row r="9859" spans="1:4">
      <c r="A9859">
        <v>1.014767</v>
      </c>
      <c r="B9859">
        <v>3.3771170000000001</v>
      </c>
      <c r="C9859">
        <f>LOG10(1.014767)</f>
        <v>6.3663356181475296E-3</v>
      </c>
      <c r="D9859">
        <f>LOG10(3.377117)</f>
        <v>0.52854610700028437</v>
      </c>
    </row>
    <row r="9860" spans="1:4">
      <c r="A9860">
        <v>1.095329</v>
      </c>
      <c r="B9860">
        <v>3.3181620000000001</v>
      </c>
      <c r="C9860">
        <f>LOG10(1.095329)</f>
        <v>3.9544586229827004E-2</v>
      </c>
      <c r="D9860">
        <f>LOG10(3.318162)</f>
        <v>0.52089758542209108</v>
      </c>
    </row>
    <row r="9861" spans="1:4">
      <c r="A9861">
        <v>1.1195839999999999</v>
      </c>
      <c r="B9861">
        <v>3.4208229999999999</v>
      </c>
      <c r="C9861">
        <f>LOG10(1.119584)</f>
        <v>4.9056683326312737E-2</v>
      </c>
      <c r="D9861">
        <f>LOG10(3.420823)</f>
        <v>0.5341306035297082</v>
      </c>
    </row>
    <row r="9862" spans="1:4">
      <c r="A9862">
        <v>1.0622100000000001</v>
      </c>
      <c r="B9862">
        <v>3.470218</v>
      </c>
      <c r="C9862">
        <f>LOG10(1.06221)</f>
        <v>2.6210385695786473E-2</v>
      </c>
      <c r="D9862">
        <f>LOG10(3.470218)</f>
        <v>0.54035675814049933</v>
      </c>
    </row>
    <row r="9863" spans="1:4">
      <c r="A9863">
        <v>1.2519690000000001</v>
      </c>
      <c r="B9863">
        <v>2.9157470000000001</v>
      </c>
      <c r="C9863">
        <f>LOG10(1.251969)</f>
        <v>9.759357544340623E-2</v>
      </c>
      <c r="D9863">
        <f>LOG10(2.915747)</f>
        <v>0.46474983745430887</v>
      </c>
    </row>
    <row r="9864" spans="1:4">
      <c r="A9864">
        <v>1.009369</v>
      </c>
      <c r="B9864">
        <v>3.5834999999999999</v>
      </c>
      <c r="C9864">
        <f>LOG10(1.009369)</f>
        <v>4.0499624388019555E-3</v>
      </c>
      <c r="D9864">
        <f>LOG10(3.5835)</f>
        <v>0.55430740880555907</v>
      </c>
    </row>
    <row r="9865" spans="1:4">
      <c r="A9865">
        <v>1.0061580000000001</v>
      </c>
      <c r="B9865">
        <v>3.5642499999999999</v>
      </c>
      <c r="C9865">
        <f>LOG10(1.006158)</f>
        <v>2.6661846365809315E-3</v>
      </c>
      <c r="D9865">
        <f>LOG10(3.56425)</f>
        <v>0.5519681582752346</v>
      </c>
    </row>
    <row r="9866" spans="1:4">
      <c r="A9866">
        <v>1.0033879999999999</v>
      </c>
      <c r="B9866">
        <v>3.4237419999999998</v>
      </c>
      <c r="C9866">
        <f>LOG10(1.003388)</f>
        <v>1.4689027860656069E-3</v>
      </c>
      <c r="D9866">
        <f>LOG10(3.423742)</f>
        <v>0.53450103048000552</v>
      </c>
    </row>
    <row r="9867" spans="1:4">
      <c r="A9867">
        <v>1.0077039999999999</v>
      </c>
      <c r="B9867">
        <v>3.8185419999999999</v>
      </c>
      <c r="C9867">
        <f>LOG10(1.007704)</f>
        <v>3.3329824617730703E-3</v>
      </c>
      <c r="D9867">
        <f>LOG10(3.818542)</f>
        <v>0.58189757175357804</v>
      </c>
    </row>
    <row r="9868" spans="1:4">
      <c r="A9868">
        <v>1.01688</v>
      </c>
      <c r="B9868">
        <v>3.6450830000000001</v>
      </c>
      <c r="C9868">
        <f>LOG10(1.01688)</f>
        <v>7.2697057125956609E-3</v>
      </c>
      <c r="D9868">
        <f>LOG10(3.645083)</f>
        <v>0.56170742182589983</v>
      </c>
    </row>
    <row r="9869" spans="1:4">
      <c r="A9869">
        <v>1.013361</v>
      </c>
      <c r="B9869">
        <v>3.536991</v>
      </c>
      <c r="C9869">
        <f>LOG10(1.013361)</f>
        <v>5.7641861094615372E-3</v>
      </c>
      <c r="D9869">
        <f>LOG10(3.536991)</f>
        <v>0.5486339547383281</v>
      </c>
    </row>
    <row r="9870" spans="1:4">
      <c r="A9870">
        <v>1.0103059999999999</v>
      </c>
      <c r="B9870">
        <v>3.5449299999999999</v>
      </c>
      <c r="C9870">
        <f>LOG10(1.010306)</f>
        <v>4.452932182685534E-3</v>
      </c>
      <c r="D9870">
        <f>LOG10(3.54493)</f>
        <v>0.54960766380289794</v>
      </c>
    </row>
    <row r="9871" spans="1:4">
      <c r="A9871">
        <v>1.009665</v>
      </c>
      <c r="B9871">
        <v>3.7394820000000002</v>
      </c>
      <c r="C9871">
        <f>LOG10(1.009665)</f>
        <v>4.1773017184419973E-3</v>
      </c>
      <c r="D9871">
        <f>LOG10(3.739482)</f>
        <v>0.57281144708760323</v>
      </c>
    </row>
    <row r="9872" spans="1:4">
      <c r="A9872">
        <v>1.0161979999999999</v>
      </c>
      <c r="B9872">
        <v>3.45628</v>
      </c>
      <c r="C9872">
        <f>LOG10(1.016198)</f>
        <v>6.9783358312946013E-3</v>
      </c>
      <c r="D9872">
        <f>LOG10(3.45628)</f>
        <v>0.53860891827710267</v>
      </c>
    </row>
    <row r="9873" spans="1:4">
      <c r="A9873">
        <v>1.004748</v>
      </c>
      <c r="B9873">
        <v>3.7491089999999998</v>
      </c>
      <c r="C9873">
        <f>LOG10(1.004748)</f>
        <v>2.057150380540944E-3</v>
      </c>
      <c r="D9873">
        <f>LOG10(3.749109)</f>
        <v>0.57392806709809829</v>
      </c>
    </row>
    <row r="9874" spans="1:4">
      <c r="A9874">
        <v>1.0113749999999999</v>
      </c>
      <c r="B9874">
        <v>3.8001510000000001</v>
      </c>
      <c r="C9874">
        <f>LOG10(1.011375)</f>
        <v>4.9122141806100189E-3</v>
      </c>
      <c r="D9874">
        <f>LOG10(3.800151)</f>
        <v>0.57980085376519475</v>
      </c>
    </row>
    <row r="9875" spans="1:4">
      <c r="A9875">
        <v>1.0092760000000001</v>
      </c>
      <c r="B9875">
        <v>3.6803889999999999</v>
      </c>
      <c r="C9875">
        <f>LOG10(1.009276)</f>
        <v>4.0099461042354184E-3</v>
      </c>
      <c r="D9875">
        <f>LOG10(3.680389)</f>
        <v>0.56589372400640636</v>
      </c>
    </row>
    <row r="9876" spans="1:4">
      <c r="A9876">
        <v>1.0086820000000001</v>
      </c>
      <c r="B9876">
        <v>3.434955</v>
      </c>
      <c r="C9876">
        <f>LOG10(1.008682)</f>
        <v>3.7542708823514711E-3</v>
      </c>
      <c r="D9876">
        <f>LOG10(3.434955)</f>
        <v>0.53592105191094064</v>
      </c>
    </row>
    <row r="9877" spans="1:4">
      <c r="A9877">
        <v>1.0024189999999999</v>
      </c>
      <c r="B9877">
        <v>3.812665</v>
      </c>
      <c r="C9877">
        <f>LOG10(1.002419)</f>
        <v>1.0492897468224963E-3</v>
      </c>
      <c r="D9877">
        <f>LOG10(3.812665)</f>
        <v>0.58122864764373772</v>
      </c>
    </row>
    <row r="9878" spans="1:4">
      <c r="A9878">
        <v>1.005871</v>
      </c>
      <c r="B9878">
        <v>3.6540659999999998</v>
      </c>
      <c r="C9878">
        <f>LOG10(1.005871)</f>
        <v>2.5422872999603806E-3</v>
      </c>
      <c r="D9878">
        <f>LOG10(3.654066)</f>
        <v>0.56277638734518443</v>
      </c>
    </row>
    <row r="9879" spans="1:4">
      <c r="A9879">
        <v>1.0128079999999999</v>
      </c>
      <c r="B9879">
        <v>3.5258600000000002</v>
      </c>
      <c r="C9879">
        <f>LOG10(1.012808)</f>
        <v>5.5271231058761344E-3</v>
      </c>
      <c r="D9879">
        <f>LOG10(3.52586)</f>
        <v>0.54726506393762087</v>
      </c>
    </row>
    <row r="9880" spans="1:4">
      <c r="A9880">
        <v>1.0088280000000001</v>
      </c>
      <c r="B9880">
        <v>3.5022679999999999</v>
      </c>
      <c r="C9880">
        <f>LOG10(1.008828)</f>
        <v>3.8171275665498652E-3</v>
      </c>
      <c r="D9880">
        <f>LOG10(3.502268)</f>
        <v>0.54434937603292488</v>
      </c>
    </row>
    <row r="9881" spans="1:4">
      <c r="A9881">
        <v>1.0185489999999999</v>
      </c>
      <c r="B9881">
        <v>3.7515830000000001</v>
      </c>
      <c r="C9881">
        <f>LOG10(1.018549)</f>
        <v>7.9819267261969414E-3</v>
      </c>
      <c r="D9881">
        <f>LOG10(3.751583)</f>
        <v>0.57421455922100972</v>
      </c>
    </row>
    <row r="9882" spans="1:4">
      <c r="A9882">
        <v>1.0108889999999999</v>
      </c>
      <c r="B9882">
        <v>3.2696179999999999</v>
      </c>
      <c r="C9882">
        <f>LOG10(1.010889)</f>
        <v>4.7034707897684307E-3</v>
      </c>
      <c r="D9882">
        <f>LOG10(3.269618)</f>
        <v>0.51449701560124816</v>
      </c>
    </row>
    <row r="9883" spans="1:4">
      <c r="A9883">
        <v>1.0081169999999999</v>
      </c>
      <c r="B9883">
        <v>3.9023279999999998</v>
      </c>
      <c r="C9883">
        <f>LOG10(1.008117)</f>
        <v>3.5109383651351937E-3</v>
      </c>
      <c r="D9883">
        <f>LOG10(3.902328)</f>
        <v>0.59132377008241621</v>
      </c>
    </row>
    <row r="9884" spans="1:4">
      <c r="A9884">
        <v>1.006699</v>
      </c>
      <c r="B9884">
        <v>3.6516150000000001</v>
      </c>
      <c r="C9884">
        <f>LOG10(1.006699)</f>
        <v>2.8996372070985341E-3</v>
      </c>
      <c r="D9884">
        <f>LOG10(3.651615)</f>
        <v>0.56248498239194833</v>
      </c>
    </row>
    <row r="9885" spans="1:4">
      <c r="A9885">
        <v>1.0160880000000001</v>
      </c>
      <c r="B9885">
        <v>3.5117099999999999</v>
      </c>
      <c r="C9885">
        <f>LOG10(1.016088)</f>
        <v>6.9313223764403764E-3</v>
      </c>
      <c r="D9885">
        <f>LOG10(3.51171)</f>
        <v>0.54551864430697272</v>
      </c>
    </row>
    <row r="9886" spans="1:4">
      <c r="A9886">
        <v>1.0071410000000001</v>
      </c>
      <c r="B9886">
        <v>3.6977950000000002</v>
      </c>
      <c r="C9886">
        <f>LOG10(1.007141)</f>
        <v>3.0902761496993327E-3</v>
      </c>
      <c r="D9886">
        <f>LOG10(3.697795)</f>
        <v>0.56794283088032105</v>
      </c>
    </row>
    <row r="9887" spans="1:4">
      <c r="A9887">
        <v>1.0062169999999999</v>
      </c>
      <c r="B9887">
        <v>3.4144269999999999</v>
      </c>
      <c r="C9887">
        <f>LOG10(1.006217)</f>
        <v>2.6916504413534523E-3</v>
      </c>
      <c r="D9887">
        <f>LOG10(3.414427)</f>
        <v>0.53331783199480021</v>
      </c>
    </row>
    <row r="9888" spans="1:4">
      <c r="A9888">
        <v>1.009325</v>
      </c>
      <c r="B9888">
        <v>3.542141</v>
      </c>
      <c r="C9888">
        <f>LOG10(1.009325)</f>
        <v>4.0310304389973885E-3</v>
      </c>
      <c r="D9888">
        <f>LOG10(3.542141)</f>
        <v>0.54926584491253938</v>
      </c>
    </row>
    <row r="9889" spans="1:4">
      <c r="A9889">
        <v>1.0005710000000001</v>
      </c>
      <c r="B9889">
        <v>3.3019970000000001</v>
      </c>
      <c r="C9889">
        <f>LOG10(1.000571)</f>
        <v>2.4791137720245896E-4</v>
      </c>
      <c r="D9889">
        <f>LOG10(3.301997)</f>
        <v>0.51877667435256603</v>
      </c>
    </row>
    <row r="9890" spans="1:4">
      <c r="A9890">
        <v>1.0009380000000001</v>
      </c>
      <c r="B9890">
        <v>3.554529</v>
      </c>
      <c r="C9890">
        <f>LOG10(1.000938)</f>
        <v>4.0717728771773743E-4</v>
      </c>
      <c r="D9890">
        <f>LOG10(3.554529)</f>
        <v>0.55078206181607736</v>
      </c>
    </row>
    <row r="9891" spans="1:4">
      <c r="A9891">
        <v>1.0057419999999999</v>
      </c>
      <c r="B9891">
        <v>3.5657640000000002</v>
      </c>
      <c r="C9891">
        <f>LOG10(1.005742)</f>
        <v>2.4865867370366611E-3</v>
      </c>
      <c r="D9891">
        <f>LOG10(3.565764)</f>
        <v>0.55215259602121491</v>
      </c>
    </row>
    <row r="9892" spans="1:4">
      <c r="A9892">
        <v>1.0060039999999999</v>
      </c>
      <c r="B9892">
        <v>3.5952639999999998</v>
      </c>
      <c r="C9892">
        <f>LOG10(1.006004)</f>
        <v>2.5997075335009818E-3</v>
      </c>
      <c r="D9892">
        <f>LOG10(3.595264)</f>
        <v>0.55573078610516313</v>
      </c>
    </row>
    <row r="9893" spans="1:4">
      <c r="A9893">
        <v>1.001064</v>
      </c>
      <c r="B9893">
        <v>3.3183509999999998</v>
      </c>
      <c r="C9893">
        <f>LOG10(1.001064)</f>
        <v>4.6184367145960702E-4</v>
      </c>
      <c r="D9893">
        <f>LOG10(3.318351)</f>
        <v>0.52092232180310982</v>
      </c>
    </row>
    <row r="9894" spans="1:4">
      <c r="A9894">
        <v>1.0016119999999999</v>
      </c>
      <c r="B9894">
        <v>3.3001969999999998</v>
      </c>
      <c r="C9894">
        <f>LOG10(1.001612)</f>
        <v>6.9951904383430653E-4</v>
      </c>
      <c r="D9894">
        <f>LOG10(3.300197)</f>
        <v>0.5185398651685903</v>
      </c>
    </row>
    <row r="9895" spans="1:4">
      <c r="A9895">
        <v>1.002278</v>
      </c>
      <c r="B9895">
        <v>3.6270820000000001</v>
      </c>
      <c r="C9895">
        <f>LOG10(1.002278)</f>
        <v>9.8819769944644641E-4</v>
      </c>
      <c r="D9895">
        <f>LOG10(3.627082)</f>
        <v>0.55955737409296769</v>
      </c>
    </row>
    <row r="9896" spans="1:4">
      <c r="A9896">
        <v>1.0119659999999999</v>
      </c>
      <c r="B9896">
        <v>3.5462069999999999</v>
      </c>
      <c r="C9896">
        <f>LOG10(1.011966)</f>
        <v>5.1659213373416108E-3</v>
      </c>
      <c r="D9896">
        <f>LOG10(3.546207)</f>
        <v>0.54976408274090061</v>
      </c>
    </row>
    <row r="9897" spans="1:4">
      <c r="A9897">
        <v>1.0016640000000001</v>
      </c>
      <c r="B9897">
        <v>3.516257</v>
      </c>
      <c r="C9897">
        <f>LOG10(1.001664)</f>
        <v>7.2206542592455466E-4</v>
      </c>
      <c r="D9897">
        <f>LOG10(3.516257)</f>
        <v>0.54608060974726302</v>
      </c>
    </row>
    <row r="9898" spans="1:4">
      <c r="A9898">
        <v>1.011441</v>
      </c>
      <c r="B9898">
        <v>3.4264239999999999</v>
      </c>
      <c r="C9898">
        <f>LOG10(1.011441)</f>
        <v>4.9405543122046265E-3</v>
      </c>
      <c r="D9898">
        <f>LOG10(3.426424)</f>
        <v>0.53484110336582502</v>
      </c>
    </row>
    <row r="9899" spans="1:4">
      <c r="A9899">
        <v>1.012203</v>
      </c>
      <c r="B9899">
        <v>3.4905740000000001</v>
      </c>
      <c r="C9899">
        <f>LOG10(1.012203)</f>
        <v>5.2676201507128586E-3</v>
      </c>
      <c r="D9899">
        <f>LOG10(3.490574)</f>
        <v>0.54289684946202121</v>
      </c>
    </row>
    <row r="9900" spans="1:4">
      <c r="A9900">
        <v>1.0125120000000001</v>
      </c>
      <c r="B9900">
        <v>3.4139339999999998</v>
      </c>
      <c r="C9900">
        <f>LOG10(1.012512)</f>
        <v>5.4001790500641427E-3</v>
      </c>
      <c r="D9900">
        <f>LOG10(3.413934)</f>
        <v>0.5332551208464148</v>
      </c>
    </row>
    <row r="9901" spans="1:4">
      <c r="A9901">
        <v>1.004902</v>
      </c>
      <c r="B9901">
        <v>3.238893</v>
      </c>
      <c r="C9901">
        <f>LOG10(1.004902)</f>
        <v>2.1237105779325386E-3</v>
      </c>
      <c r="D9901">
        <f>LOG10(3.238893)</f>
        <v>0.51039660090392869</v>
      </c>
    </row>
    <row r="9902" spans="1:4">
      <c r="A9902">
        <v>1.003811</v>
      </c>
      <c r="B9902">
        <v>3.4669029999999998</v>
      </c>
      <c r="C9902">
        <f>LOG10(1.003811)</f>
        <v>1.6519504744758658E-3</v>
      </c>
      <c r="D9902">
        <f>LOG10(3.466903)</f>
        <v>0.53994169076107912</v>
      </c>
    </row>
    <row r="9903" spans="1:4">
      <c r="A9903">
        <v>1.016348</v>
      </c>
      <c r="B9903">
        <v>3.4008769999999999</v>
      </c>
      <c r="C9903">
        <f>LOG10(1.016348)</f>
        <v>7.0424368872153966E-3</v>
      </c>
      <c r="D9903">
        <f>LOG10(3.400877)</f>
        <v>0.53159092502673722</v>
      </c>
    </row>
    <row r="9904" spans="1:4">
      <c r="A9904">
        <v>1.0106040000000001</v>
      </c>
      <c r="B9904">
        <v>3.5926740000000001</v>
      </c>
      <c r="C9904">
        <f>LOG10(1.010604)</f>
        <v>4.5810128557934489E-3</v>
      </c>
      <c r="D9904">
        <f>LOG10(3.592674)</f>
        <v>0.55541781101917609</v>
      </c>
    </row>
    <row r="9905" spans="1:4">
      <c r="A9905">
        <v>1.003344</v>
      </c>
      <c r="B9905">
        <v>3.4245489999999998</v>
      </c>
      <c r="C9905">
        <f>LOG10(1.003344)</f>
        <v>1.4498579338314509E-3</v>
      </c>
      <c r="D9905">
        <f>LOG10(3.424549)</f>
        <v>0.53460338467275759</v>
      </c>
    </row>
    <row r="9906" spans="1:4">
      <c r="A9906">
        <v>1.0027299999999999</v>
      </c>
      <c r="B9906">
        <v>3.4474629999999999</v>
      </c>
      <c r="C9906">
        <f>LOG10(1.00273)</f>
        <v>1.1840084983516302E-3</v>
      </c>
      <c r="D9906">
        <f>LOG10(3.447463)</f>
        <v>0.53749961379435285</v>
      </c>
    </row>
    <row r="9907" spans="1:4">
      <c r="A9907">
        <v>1.01423</v>
      </c>
      <c r="B9907">
        <v>3.3906450000000001</v>
      </c>
      <c r="C9907">
        <f>LOG10(1.01423)</f>
        <v>6.1364524372188572E-3</v>
      </c>
      <c r="D9907">
        <f>LOG10(3.390645)</f>
        <v>0.53028232159412314</v>
      </c>
    </row>
    <row r="9908" spans="1:4">
      <c r="A9908">
        <v>1.0003930000000001</v>
      </c>
      <c r="B9908">
        <v>3.455365</v>
      </c>
      <c r="C9908">
        <f>LOG10(1.000393)</f>
        <v>1.7064420199821082E-4</v>
      </c>
      <c r="D9908">
        <f>LOG10(3.455365)</f>
        <v>0.53849392989061495</v>
      </c>
    </row>
    <row r="9909" spans="1:4">
      <c r="A9909">
        <v>1.003762</v>
      </c>
      <c r="B9909">
        <v>3.2872309999999998</v>
      </c>
      <c r="C9909">
        <f>LOG10(1.003762)</f>
        <v>1.6307503192461729E-3</v>
      </c>
      <c r="D9909">
        <f>LOG10(3.287231)</f>
        <v>0.5168302238565945</v>
      </c>
    </row>
    <row r="9910" spans="1:4">
      <c r="A9910">
        <v>1.0010779999999999</v>
      </c>
      <c r="B9910">
        <v>3.3831530000000001</v>
      </c>
      <c r="C9910">
        <f>LOG10(1.001078)</f>
        <v>4.6791728936156063E-4</v>
      </c>
      <c r="D9910">
        <f>LOG10(3.383153)</f>
        <v>0.5293216388028209</v>
      </c>
    </row>
    <row r="9911" spans="1:4">
      <c r="A9911">
        <v>1.00641</v>
      </c>
      <c r="B9911">
        <v>3.1507930000000002</v>
      </c>
      <c r="C9911">
        <f>LOG10(1.00641)</f>
        <v>2.7749434064824117E-3</v>
      </c>
      <c r="D9911">
        <f>LOG10(3.150793)</f>
        <v>0.49841987194240056</v>
      </c>
    </row>
    <row r="9912" spans="1:4">
      <c r="A9912">
        <v>1.00563</v>
      </c>
      <c r="B9912">
        <v>3.1440679999999999</v>
      </c>
      <c r="C9912">
        <f>LOG10(1.00563)</f>
        <v>2.4382207639363205E-3</v>
      </c>
      <c r="D9912">
        <f>LOG10(3.144068)</f>
        <v>0.49749193040344131</v>
      </c>
    </row>
    <row r="9913" spans="1:4">
      <c r="A9913">
        <v>1.000956</v>
      </c>
      <c r="B9913">
        <v>3.2790029999999999</v>
      </c>
      <c r="C9913">
        <f>LOG10(1.000956)</f>
        <v>4.1498719241239625E-4</v>
      </c>
      <c r="D9913">
        <f>LOG10(3.279003)</f>
        <v>0.51574181401088692</v>
      </c>
    </row>
    <row r="9914" spans="1:4">
      <c r="A9914">
        <v>1.0119560000000001</v>
      </c>
      <c r="B9914">
        <v>3.488305</v>
      </c>
      <c r="C9914">
        <f>LOG10(1.011956)</f>
        <v>5.1616297245037652E-3</v>
      </c>
      <c r="D9914">
        <f>LOG10(3.488305)</f>
        <v>0.54261445046523105</v>
      </c>
    </row>
    <row r="9915" spans="1:4">
      <c r="A9915">
        <v>1.0039130000000001</v>
      </c>
      <c r="B9915">
        <v>3.4094000000000002</v>
      </c>
      <c r="C9915">
        <f>LOG10(1.003913)</f>
        <v>1.6960780908138321E-3</v>
      </c>
      <c r="D9915">
        <f>LOG10(3.4094)</f>
        <v>0.53267795681758079</v>
      </c>
    </row>
    <row r="9916" spans="1:4">
      <c r="A9916">
        <v>1.001779</v>
      </c>
      <c r="B9916">
        <v>3.3320059999999998</v>
      </c>
      <c r="C9916">
        <f>LOG10(1.001779)</f>
        <v>7.7192346079120043E-4</v>
      </c>
      <c r="D9916">
        <f>LOG10(3.332006)</f>
        <v>0.52270577477693037</v>
      </c>
    </row>
    <row r="9917" spans="1:4">
      <c r="A9917">
        <v>1.0047649999999999</v>
      </c>
      <c r="B9917">
        <v>3.305704</v>
      </c>
      <c r="C9917">
        <f>LOG10(1.004765)</f>
        <v>2.0644984357090397E-3</v>
      </c>
      <c r="D9917">
        <f>LOG10(3.305704)</f>
        <v>0.51926396329415569</v>
      </c>
    </row>
    <row r="9918" spans="1:4">
      <c r="A9918">
        <v>1.0209839999999999</v>
      </c>
      <c r="B9918">
        <v>3.2354020000000001</v>
      </c>
      <c r="C9918">
        <f>LOG10(1.020984)</f>
        <v>9.0189362434652046E-3</v>
      </c>
      <c r="D9918">
        <f>LOG10(3.235402)</f>
        <v>0.50992824962143068</v>
      </c>
    </row>
    <row r="9919" spans="1:4">
      <c r="A9919">
        <v>1.006677</v>
      </c>
      <c r="B9919">
        <v>3.3578640000000002</v>
      </c>
      <c r="C9919">
        <f>LOG10(1.006677)</f>
        <v>2.8901462043228604E-3</v>
      </c>
      <c r="D9919">
        <f>LOG10(3.357864)</f>
        <v>0.52606310238999099</v>
      </c>
    </row>
    <row r="9920" spans="1:4">
      <c r="A9920">
        <v>1.0017469999999999</v>
      </c>
      <c r="B9920">
        <v>3.477468</v>
      </c>
      <c r="C9920">
        <f>LOG10(1.001747)</f>
        <v>7.5805049540707302E-4</v>
      </c>
      <c r="D9920">
        <f>LOG10(3.477468)</f>
        <v>0.54126314226225414</v>
      </c>
    </row>
    <row r="9921" spans="1:4">
      <c r="A9921">
        <v>1.0062990000000001</v>
      </c>
      <c r="B9921">
        <v>3.3799510000000001</v>
      </c>
      <c r="C9921">
        <f>LOG10(1.006299)</f>
        <v>2.7270411140594914E-3</v>
      </c>
      <c r="D9921">
        <f>LOG10(3.379951)</f>
        <v>0.52891040424692504</v>
      </c>
    </row>
    <row r="9922" spans="1:4">
      <c r="A9922">
        <v>1.007047</v>
      </c>
      <c r="B9922">
        <v>3.1859540000000002</v>
      </c>
      <c r="C9922">
        <f>LOG10(1.007047)</f>
        <v>3.0497400315926218E-3</v>
      </c>
      <c r="D9922">
        <f>LOG10(3.185954)</f>
        <v>0.50323950100359716</v>
      </c>
    </row>
    <row r="9923" spans="1:4">
      <c r="A9923">
        <v>1.002157</v>
      </c>
      <c r="B9923">
        <v>3.0899730000000001</v>
      </c>
      <c r="C9923">
        <f>LOG10(1.002157)</f>
        <v>9.3576433805119907E-4</v>
      </c>
      <c r="D9923">
        <f>LOG10(3.089973)</f>
        <v>0.48995468460210273</v>
      </c>
    </row>
    <row r="9924" spans="1:4">
      <c r="A9924">
        <v>1.0069870000000001</v>
      </c>
      <c r="B9924">
        <v>3.0622340000000001</v>
      </c>
      <c r="C9924">
        <f>LOG10(1.006987)</f>
        <v>3.0238639352388541E-3</v>
      </c>
      <c r="D9924">
        <f>LOG10(3.062234)</f>
        <v>0.48603837415644308</v>
      </c>
    </row>
    <row r="9925" spans="1:4">
      <c r="A9925">
        <v>1.007439</v>
      </c>
      <c r="B9925">
        <v>3.2243569999999999</v>
      </c>
      <c r="C9925">
        <f>LOG10(1.007439)</f>
        <v>3.218759264344635E-3</v>
      </c>
      <c r="D9925">
        <f>LOG10(3.224357)</f>
        <v>0.5084431207715624</v>
      </c>
    </row>
    <row r="9926" spans="1:4">
      <c r="A9926">
        <v>1.004022</v>
      </c>
      <c r="B9926">
        <v>3.1938800000000001</v>
      </c>
      <c r="C9926">
        <f>LOG10(1.004022)</f>
        <v>1.7432291176886227E-3</v>
      </c>
      <c r="D9926">
        <f>LOG10(3.19388)</f>
        <v>0.50431859485917951</v>
      </c>
    </row>
    <row r="9927" spans="1:4">
      <c r="A9927">
        <v>1.001101</v>
      </c>
      <c r="B9927">
        <v>3.2833230000000002</v>
      </c>
      <c r="C9927">
        <f>LOG10(1.001101)</f>
        <v>4.778951915214178E-4</v>
      </c>
      <c r="D9927">
        <f>LOG10(3.283323)</f>
        <v>0.51631360896067779</v>
      </c>
    </row>
    <row r="9928" spans="1:4">
      <c r="A9928">
        <v>1.0030019999999999</v>
      </c>
      <c r="B9928">
        <v>3.2699479999999999</v>
      </c>
      <c r="C9928">
        <f>LOG10(1.003002)</f>
        <v>1.3017990105455312E-3</v>
      </c>
      <c r="D9928">
        <f>LOG10(3.269948)</f>
        <v>0.51454084639342901</v>
      </c>
    </row>
    <row r="9929" spans="1:4">
      <c r="A9929">
        <v>1.0100750000000001</v>
      </c>
      <c r="B9929">
        <v>3.1810049999999999</v>
      </c>
      <c r="C9929">
        <f>LOG10(1.010075)</f>
        <v>4.3536221755564363E-3</v>
      </c>
      <c r="D9929">
        <f>LOG10(3.181005)</f>
        <v>0.50256435174511971</v>
      </c>
    </row>
    <row r="9930" spans="1:4">
      <c r="A9930">
        <v>1.0048729999999999</v>
      </c>
      <c r="B9930">
        <v>3.1181920000000001</v>
      </c>
      <c r="C9930">
        <f>LOG10(1.004873)</f>
        <v>2.1111772943798093E-3</v>
      </c>
      <c r="D9930">
        <f>LOG10(3.118192)</f>
        <v>0.49390285298666092</v>
      </c>
    </row>
    <row r="9931" spans="1:4">
      <c r="A9931">
        <v>1.0040899999999999</v>
      </c>
      <c r="B9931">
        <v>3.15089</v>
      </c>
      <c r="C9931">
        <f>LOG10(1.00409)</f>
        <v>1.7726418444495705E-3</v>
      </c>
      <c r="D9931">
        <f>LOG10(3.15089)</f>
        <v>0.49843324188333471</v>
      </c>
    </row>
    <row r="9932" spans="1:4">
      <c r="A9932">
        <v>1.003139</v>
      </c>
      <c r="B9932">
        <v>3.0674730000000001</v>
      </c>
      <c r="C9932">
        <f>LOG10(1.003139)</f>
        <v>1.3611152242246896E-3</v>
      </c>
      <c r="D9932">
        <f>LOG10(3.067473)</f>
        <v>0.48678074874130189</v>
      </c>
    </row>
    <row r="9933" spans="1:4">
      <c r="A9933">
        <v>1.006394</v>
      </c>
      <c r="B9933">
        <v>3.1446749999999999</v>
      </c>
      <c r="C9933">
        <f>LOG10(1.006394)</f>
        <v>2.7680388974387045E-3</v>
      </c>
      <c r="D9933">
        <f>LOG10(3.144675)</f>
        <v>0.49757576806426923</v>
      </c>
    </row>
    <row r="9934" spans="1:4">
      <c r="A9934">
        <v>1.0023280000000001</v>
      </c>
      <c r="B9934">
        <v>3.0723530000000001</v>
      </c>
      <c r="C9934">
        <f>LOG10(1.002328)</f>
        <v>1.0098625294426766E-3</v>
      </c>
      <c r="D9934">
        <f>LOG10(3.072353)</f>
        <v>0.48747111277375854</v>
      </c>
    </row>
    <row r="9935" spans="1:4">
      <c r="A9935">
        <v>1.00614</v>
      </c>
      <c r="B9935">
        <v>3.0215329999999998</v>
      </c>
      <c r="C9935">
        <f>LOG10(1.00614)</f>
        <v>2.6584151107209453E-3</v>
      </c>
      <c r="D9935">
        <f>LOG10(3.021533)</f>
        <v>0.48022734180461085</v>
      </c>
    </row>
    <row r="9936" spans="1:4">
      <c r="A9936">
        <v>1.0311509999999999</v>
      </c>
      <c r="B9936">
        <v>3.1938499999999999</v>
      </c>
      <c r="C9936">
        <f>LOG10(1.031151)</f>
        <v>1.3322267286361699E-2</v>
      </c>
      <c r="D9936">
        <f>LOG10(3.19385)</f>
        <v>0.50431451552756801</v>
      </c>
    </row>
    <row r="9937" spans="1:4">
      <c r="A9937">
        <v>1.0038100000000001</v>
      </c>
      <c r="B9937">
        <v>3.1415169999999999</v>
      </c>
      <c r="C9937">
        <f>LOG10(1.00381)</f>
        <v>1.651517828591142E-3</v>
      </c>
      <c r="D9937">
        <f>LOG10(3.141517)</f>
        <v>0.497139414198772</v>
      </c>
    </row>
    <row r="9938" spans="1:4">
      <c r="A9938">
        <v>1.0006619999999999</v>
      </c>
      <c r="B9938">
        <v>3.1810429999999998</v>
      </c>
      <c r="C9938">
        <f>LOG10(1.000662)</f>
        <v>2.8740782552243572E-4</v>
      </c>
      <c r="D9938">
        <f>LOG10(3.181043)</f>
        <v>0.5025695397570028</v>
      </c>
    </row>
    <row r="9939" spans="1:4">
      <c r="A9939">
        <v>1.002346</v>
      </c>
      <c r="B9939">
        <v>3.2082519999999999</v>
      </c>
      <c r="C9939">
        <f>LOG10(1.002346)</f>
        <v>1.0176616036805869E-3</v>
      </c>
      <c r="D9939">
        <f>LOG10(3.208252)</f>
        <v>0.50626847367419692</v>
      </c>
    </row>
    <row r="9940" spans="1:4">
      <c r="A9940">
        <v>1.015023</v>
      </c>
      <c r="B9940">
        <v>3.1266620000000001</v>
      </c>
      <c r="C9940">
        <f>LOG10(1.015023)</f>
        <v>6.4758832934801933E-3</v>
      </c>
      <c r="D9940">
        <f>LOG10(3.126662)</f>
        <v>0.49508093545819903</v>
      </c>
    </row>
    <row r="9941" spans="1:4">
      <c r="A9941">
        <v>1.002588</v>
      </c>
      <c r="B9941">
        <v>3.2291370000000001</v>
      </c>
      <c r="C9941">
        <f>LOG10(1.002588)</f>
        <v>1.1225022269938907E-3</v>
      </c>
      <c r="D9941">
        <f>LOG10(3.229137)</f>
        <v>0.50908647087094261</v>
      </c>
    </row>
    <row r="9942" spans="1:4">
      <c r="A9942">
        <v>1.0038130000000001</v>
      </c>
      <c r="B9942">
        <v>3.095669</v>
      </c>
      <c r="C9942">
        <f>LOG10(1.003813)</f>
        <v>1.6528157649524011E-3</v>
      </c>
      <c r="D9942">
        <f>LOG10(3.095669)</f>
        <v>0.49075451817414734</v>
      </c>
    </row>
    <row r="9943" spans="1:4">
      <c r="A9943">
        <v>1.000705</v>
      </c>
      <c r="B9943">
        <v>3.0647160000000002</v>
      </c>
      <c r="C9943">
        <f>LOG10(1.000705)</f>
        <v>3.0606973283350857E-4</v>
      </c>
      <c r="D9943">
        <f>LOG10(3.064716)</f>
        <v>0.48639023567417927</v>
      </c>
    </row>
    <row r="9944" spans="1:4">
      <c r="A9944">
        <v>1.0055369999999999</v>
      </c>
      <c r="B9944">
        <v>3.1081880000000002</v>
      </c>
      <c r="C9944">
        <f>LOG10(1.005537)</f>
        <v>2.3980556390651954E-3</v>
      </c>
      <c r="D9944">
        <f>LOG10(3.108188)</f>
        <v>0.49250727939956884</v>
      </c>
    </row>
    <row r="9945" spans="1:4">
      <c r="A9945">
        <v>1.0240899999999999</v>
      </c>
      <c r="B9945">
        <v>3.0822820000000002</v>
      </c>
      <c r="C9945">
        <f>LOG10(1.02409)</f>
        <v>1.0338125375947988E-2</v>
      </c>
      <c r="D9945">
        <f>LOG10(3.082282)</f>
        <v>0.48887237008689366</v>
      </c>
    </row>
    <row r="9946" spans="1:4">
      <c r="A9946">
        <v>1.0044470000000001</v>
      </c>
      <c r="B9946">
        <v>2.9557910000000001</v>
      </c>
      <c r="C9946">
        <f>LOG10(1.004447)</f>
        <v>1.9270259874075921E-3</v>
      </c>
      <c r="D9946">
        <f>LOG10(2.955791)</f>
        <v>0.47067372243061373</v>
      </c>
    </row>
    <row r="9947" spans="1:4">
      <c r="A9947">
        <v>1.001306</v>
      </c>
      <c r="B9947">
        <v>2.9500860000000002</v>
      </c>
      <c r="C9947">
        <f>LOG10(1.001306)</f>
        <v>5.6681854137108768E-4</v>
      </c>
      <c r="D9947">
        <f>LOG10(2.950086)</f>
        <v>0.46983467658190553</v>
      </c>
    </row>
    <row r="9948" spans="1:4">
      <c r="A9948">
        <v>1.014397</v>
      </c>
      <c r="B9948">
        <v>2.949595</v>
      </c>
      <c r="C9948">
        <f>LOG10(1.014397)</f>
        <v>6.2079561475033903E-3</v>
      </c>
      <c r="D9948">
        <f>LOG10(2.949595)</f>
        <v>0.46976238840527124</v>
      </c>
    </row>
    <row r="9949" spans="1:4">
      <c r="A9949">
        <v>1.0017240000000001</v>
      </c>
      <c r="B9949">
        <v>3.0796899999999998</v>
      </c>
      <c r="C9949">
        <f>LOG10(1.001724)</f>
        <v>7.4807902780493318E-4</v>
      </c>
      <c r="D9949">
        <f>LOG10(3.07969)</f>
        <v>0.48850700284293758</v>
      </c>
    </row>
    <row r="9950" spans="1:4">
      <c r="A9950">
        <v>1.003147</v>
      </c>
      <c r="B9950">
        <v>2.9615179999999999</v>
      </c>
      <c r="C9950">
        <f>LOG10(1.003147)</f>
        <v>1.3645786943931979E-3</v>
      </c>
      <c r="D9950">
        <f>LOG10(2.961518)</f>
        <v>0.4715143766112414</v>
      </c>
    </row>
    <row r="9951" spans="1:4">
      <c r="A9951">
        <v>1.0049950000000001</v>
      </c>
      <c r="B9951">
        <v>3.0141339999999999</v>
      </c>
      <c r="C9951">
        <f>LOG10(1.004995)</f>
        <v>2.1639010820687001E-3</v>
      </c>
      <c r="D9951">
        <f>LOG10(3.014134)</f>
        <v>0.47916255593048818</v>
      </c>
    </row>
    <row r="9952" spans="1:4">
      <c r="A9952">
        <v>1.0107489999999999</v>
      </c>
      <c r="B9952">
        <v>2.964067</v>
      </c>
      <c r="C9952">
        <f>LOG10(1.010749)</f>
        <v>4.643320330028693E-3</v>
      </c>
      <c r="D9952">
        <f>LOG10(2.964067)</f>
        <v>0.47188801624434229</v>
      </c>
    </row>
    <row r="9953" spans="1:4">
      <c r="A9953">
        <v>1.003012</v>
      </c>
      <c r="B9953">
        <v>3.0477660000000002</v>
      </c>
      <c r="C9953">
        <f>LOG10(1.003012)</f>
        <v>1.3061289352809488E-3</v>
      </c>
      <c r="D9953">
        <f>LOG10(3.047766)</f>
        <v>0.48398161988215571</v>
      </c>
    </row>
    <row r="9954" spans="1:4">
      <c r="A9954">
        <v>1.000834</v>
      </c>
      <c r="B9954">
        <v>2.9669400000000001</v>
      </c>
      <c r="C9954">
        <f>LOG10(1.000834)</f>
        <v>3.6205064376565747E-4</v>
      </c>
      <c r="D9954">
        <f>LOG10(2.96694)</f>
        <v>0.47230876373093267</v>
      </c>
    </row>
    <row r="9955" spans="1:4">
      <c r="A9955">
        <v>1.009897</v>
      </c>
      <c r="B9955">
        <v>3.0276969999999999</v>
      </c>
      <c r="C9955">
        <f>LOG10(1.009897)</f>
        <v>4.2770820869028536E-3</v>
      </c>
      <c r="D9955">
        <f>LOG10(3.027697)</f>
        <v>0.48111241052012127</v>
      </c>
    </row>
    <row r="9956" spans="1:4">
      <c r="A9956">
        <v>1.00885</v>
      </c>
      <c r="B9956">
        <v>3.054109</v>
      </c>
      <c r="C9956">
        <f>LOG10(1.00885)</f>
        <v>3.8265983330470323E-3</v>
      </c>
      <c r="D9956">
        <f>LOG10(3.054109)</f>
        <v>0.4848845328034993</v>
      </c>
    </row>
    <row r="9957" spans="1:4">
      <c r="A9957">
        <v>1.0004489999999999</v>
      </c>
      <c r="B9957">
        <v>3.3025799999999998</v>
      </c>
      <c r="C9957">
        <f>LOG10(1.000449)</f>
        <v>1.9495445837313736E-4</v>
      </c>
      <c r="D9957">
        <f>LOG10(3.30258)</f>
        <v>0.51885334654023441</v>
      </c>
    </row>
    <row r="9958" spans="1:4">
      <c r="A9958">
        <v>1.0046619999999999</v>
      </c>
      <c r="B9958">
        <v>3.1663999999999999</v>
      </c>
      <c r="C9958">
        <f>LOG10(1.004662)</f>
        <v>2.0199759607197054E-3</v>
      </c>
      <c r="D9958">
        <f>LOG10(3.1664)</f>
        <v>0.50056577686232107</v>
      </c>
    </row>
    <row r="9959" spans="1:4">
      <c r="A9959">
        <v>1.011198</v>
      </c>
      <c r="B9959">
        <v>3.1293470000000001</v>
      </c>
      <c r="C9959">
        <f>LOG10(1.011198)</f>
        <v>4.8362019689439338E-3</v>
      </c>
      <c r="D9959">
        <f>LOG10(3.129347)</f>
        <v>0.49545372288721595</v>
      </c>
    </row>
    <row r="9960" spans="1:4">
      <c r="A9960">
        <v>1.006121</v>
      </c>
      <c r="B9960">
        <v>2.9832010000000002</v>
      </c>
      <c r="C9960">
        <f>LOG10(1.006121)</f>
        <v>2.6502137937383045E-3</v>
      </c>
      <c r="D9960">
        <f>LOG10(2.983201)</f>
        <v>0.47468251593330213</v>
      </c>
    </row>
    <row r="9961" spans="1:4">
      <c r="A9961">
        <v>1.009822</v>
      </c>
      <c r="B9961">
        <v>3.003368</v>
      </c>
      <c r="C9961">
        <f>LOG10(1.009822)</f>
        <v>4.2448280098181341E-3</v>
      </c>
      <c r="D9961">
        <f>LOG10(3.003368)</f>
        <v>0.47760854917454448</v>
      </c>
    </row>
    <row r="9962" spans="1:4">
      <c r="A9962">
        <v>1.0039119999999999</v>
      </c>
      <c r="B9962">
        <v>3.1332409999999999</v>
      </c>
      <c r="C9962">
        <f>LOG10(1.003912)</f>
        <v>1.6956454888869071E-3</v>
      </c>
      <c r="D9962">
        <f>LOG10(3.133241)</f>
        <v>0.49599380086471484</v>
      </c>
    </row>
    <row r="9963" spans="1:4">
      <c r="A9963">
        <v>1.010046</v>
      </c>
      <c r="B9963">
        <v>3.0400499999999999</v>
      </c>
      <c r="C9963">
        <f>LOG10(1.010046)</f>
        <v>4.3411530809070713E-3</v>
      </c>
      <c r="D9963">
        <f>LOG10(3.04005)</f>
        <v>0.48288072655135966</v>
      </c>
    </row>
    <row r="9964" spans="1:4">
      <c r="A9964">
        <v>1.0161290000000001</v>
      </c>
      <c r="B9964">
        <v>3.1612439999999999</v>
      </c>
      <c r="C9964">
        <f>LOG10(1.016129)</f>
        <v>6.948846168201228E-3</v>
      </c>
      <c r="D9964">
        <f>LOG10(3.161244)</f>
        <v>0.49985801806796476</v>
      </c>
    </row>
    <row r="9965" spans="1:4">
      <c r="A9965">
        <v>1.0031890000000001</v>
      </c>
      <c r="B9965">
        <v>3.1710219999999998</v>
      </c>
      <c r="C9965">
        <f>LOG10(1.003189)</f>
        <v>1.3827614596355535E-3</v>
      </c>
      <c r="D9965">
        <f>LOG10(3.171022)</f>
        <v>0.50119925509724261</v>
      </c>
    </row>
    <row r="9966" spans="1:4">
      <c r="A9966">
        <v>1.0008649999999999</v>
      </c>
      <c r="B9966">
        <v>3.0803129999999999</v>
      </c>
      <c r="C9966">
        <f>LOG10(1.000865)</f>
        <v>3.7550234548507718E-4</v>
      </c>
      <c r="D9966">
        <f>LOG10(3.080313)</f>
        <v>0.48859484872974906</v>
      </c>
    </row>
    <row r="9967" spans="1:4">
      <c r="A9967">
        <v>1.022408</v>
      </c>
      <c r="B9967">
        <v>3.1641119999999998</v>
      </c>
      <c r="C9967">
        <f>LOG10(1.022408)</f>
        <v>9.6242390364125272E-3</v>
      </c>
      <c r="D9967">
        <f>LOG10(3.164112)</f>
        <v>0.5002518478095489</v>
      </c>
    </row>
    <row r="9968" spans="1:4">
      <c r="A9968">
        <v>1.005374</v>
      </c>
      <c r="B9968">
        <v>3.0289090000000001</v>
      </c>
      <c r="C9968">
        <f>LOG10(1.005374)</f>
        <v>2.3276497377545642E-3</v>
      </c>
      <c r="D9968">
        <f>LOG10(3.028909)</f>
        <v>0.48128622566315449</v>
      </c>
    </row>
    <row r="9969" spans="1:4">
      <c r="A9969">
        <v>1.009179</v>
      </c>
      <c r="B9969">
        <v>3.1329539999999998</v>
      </c>
      <c r="C9969">
        <f>LOG10(1.009179)</f>
        <v>3.968204708190373E-3</v>
      </c>
      <c r="D9969">
        <f>LOG10(3.132954)</f>
        <v>0.49595401834393676</v>
      </c>
    </row>
    <row r="9970" spans="1:4">
      <c r="A9970">
        <v>1.006103</v>
      </c>
      <c r="B9970">
        <v>3.165257</v>
      </c>
      <c r="C9970">
        <f>LOG10(1.006103)</f>
        <v>2.6424439821522193E-3</v>
      </c>
      <c r="D9970">
        <f>LOG10(3.165257)</f>
        <v>0.50040897790804806</v>
      </c>
    </row>
    <row r="9971" spans="1:4">
      <c r="A9971">
        <v>1.0095799999999999</v>
      </c>
      <c r="B9971">
        <v>3.1184430000000001</v>
      </c>
      <c r="C9971">
        <f>LOG10(1.00958)</f>
        <v>4.1407385168655371E-3</v>
      </c>
      <c r="D9971">
        <f>LOG10(3.118443)</f>
        <v>0.49393781027212547</v>
      </c>
    </row>
    <row r="9972" spans="1:4">
      <c r="A9972">
        <v>1.0029920000000001</v>
      </c>
      <c r="B9972">
        <v>3.08196</v>
      </c>
      <c r="C9972">
        <f>LOG10(1.002992)</f>
        <v>1.2974690426403425E-3</v>
      </c>
      <c r="D9972">
        <f>LOG10(3.08196)</f>
        <v>0.48882699781782957</v>
      </c>
    </row>
    <row r="9973" spans="1:4">
      <c r="A9973">
        <v>1.0133620000000001</v>
      </c>
      <c r="B9973">
        <v>3.0101290000000001</v>
      </c>
      <c r="C9973">
        <f>LOG10(1.013362)</f>
        <v>5.7646146776299196E-3</v>
      </c>
      <c r="D9973">
        <f>LOG10(3.010129)</f>
        <v>0.47858510781566588</v>
      </c>
    </row>
    <row r="9974" spans="1:4">
      <c r="A9974">
        <v>1.0068969999999999</v>
      </c>
      <c r="B9974">
        <v>3.1081669999999999</v>
      </c>
      <c r="C9974">
        <f>LOG10(1.006897)</f>
        <v>2.9850468997021733E-3</v>
      </c>
      <c r="D9974">
        <f>LOG10(3.108167)</f>
        <v>0.49250434514497105</v>
      </c>
    </row>
    <row r="9975" spans="1:4">
      <c r="A9975">
        <v>1.0187790000000001</v>
      </c>
      <c r="B9975">
        <v>3.1466289999999999</v>
      </c>
      <c r="C9975">
        <f>LOG10(1.018779)</f>
        <v>8.0799843107019157E-3</v>
      </c>
      <c r="D9975">
        <f>LOG10(3.146629)</f>
        <v>0.49784554089512462</v>
      </c>
    </row>
    <row r="9976" spans="1:4">
      <c r="A9976">
        <v>1.001843</v>
      </c>
      <c r="B9976">
        <v>3.2918949999999998</v>
      </c>
      <c r="C9976">
        <f>LOG10(1.001843)</f>
        <v>7.9966806216939356E-4</v>
      </c>
      <c r="D9976">
        <f>LOG10(3.291895)</f>
        <v>0.51744597427782413</v>
      </c>
    </row>
    <row r="9977" spans="1:4">
      <c r="A9977">
        <v>1.0062009999999999</v>
      </c>
      <c r="B9977">
        <v>3.2280220000000002</v>
      </c>
      <c r="C9977">
        <f>LOG10(1.006201)</f>
        <v>2.684744607962372E-3</v>
      </c>
      <c r="D9977">
        <f>LOG10(3.228022)</f>
        <v>0.5089364859155977</v>
      </c>
    </row>
    <row r="9978" spans="1:4">
      <c r="A9978">
        <v>1.0086010000000001</v>
      </c>
      <c r="B9978">
        <v>3.0383789999999999</v>
      </c>
      <c r="C9978">
        <f>LOG10(1.008601)</f>
        <v>3.7193944142970949E-3</v>
      </c>
      <c r="D9978">
        <f>LOG10(3.038379)</f>
        <v>0.48264194574219277</v>
      </c>
    </row>
    <row r="9979" spans="1:4">
      <c r="A9979">
        <v>1.0281910000000001</v>
      </c>
      <c r="B9979">
        <v>2.9491740000000002</v>
      </c>
      <c r="C9979">
        <f>LOG10(1.028191)</f>
        <v>1.2073798064915386E-2</v>
      </c>
      <c r="D9979">
        <f>LOG10(2.949174)</f>
        <v>0.46970039649570788</v>
      </c>
    </row>
    <row r="9980" spans="1:4">
      <c r="A9980">
        <v>1.021093</v>
      </c>
      <c r="B9980">
        <v>3.2885710000000001</v>
      </c>
      <c r="C9980">
        <f>LOG10(1.021093)</f>
        <v>9.0652989404374253E-3</v>
      </c>
      <c r="D9980">
        <f>LOG10(3.288571)</f>
        <v>0.51700722268162169</v>
      </c>
    </row>
    <row r="9981" spans="1:4">
      <c r="A9981">
        <v>1.0196750000000001</v>
      </c>
      <c r="B9981">
        <v>3.0926300000000002</v>
      </c>
      <c r="C9981">
        <f>LOG10(1.019675)</f>
        <v>8.4617715679523239E-3</v>
      </c>
      <c r="D9981">
        <f>LOG10(3.09263)</f>
        <v>0.49032796443567955</v>
      </c>
    </row>
    <row r="9982" spans="1:4">
      <c r="A9982">
        <v>1.0255259999999999</v>
      </c>
      <c r="B9982">
        <v>3.0920930000000002</v>
      </c>
      <c r="C9982">
        <f>LOG10(1.025526)</f>
        <v>1.0946675443917465E-2</v>
      </c>
      <c r="D9982">
        <f>LOG10(3.092093)</f>
        <v>0.49025254759409487</v>
      </c>
    </row>
    <row r="9983" spans="1:4">
      <c r="A9983">
        <v>1.027226</v>
      </c>
      <c r="B9983">
        <v>3.1320030000000001</v>
      </c>
      <c r="C9983">
        <f>LOG10(1.027226)</f>
        <v>1.1666003241938639E-2</v>
      </c>
      <c r="D9983">
        <f>LOG10(3.132003)</f>
        <v>0.49582216937658963</v>
      </c>
    </row>
    <row r="9984" spans="1:4">
      <c r="A9984">
        <v>1.0256700000000001</v>
      </c>
      <c r="B9984">
        <v>3.032089</v>
      </c>
      <c r="C9984">
        <f>LOG10(1.02567)</f>
        <v>1.1007652947283179E-2</v>
      </c>
      <c r="D9984">
        <f>LOG10(3.032089)</f>
        <v>0.48174194486292177</v>
      </c>
    </row>
    <row r="9985" spans="1:4">
      <c r="A9985">
        <v>1.028205</v>
      </c>
      <c r="B9985">
        <v>3.3763030000000001</v>
      </c>
      <c r="C9985">
        <f>LOG10(1.028205)</f>
        <v>1.207971144224808E-2</v>
      </c>
      <c r="D9985">
        <f>LOG10(3.376303)</f>
        <v>0.52844141464885908</v>
      </c>
    </row>
    <row r="9986" spans="1:4">
      <c r="A9986">
        <v>1.0337780000000001</v>
      </c>
      <c r="B9986">
        <v>3.310584</v>
      </c>
      <c r="C9986">
        <f>LOG10(1.033778)</f>
        <v>1.4427285637566562E-2</v>
      </c>
      <c r="D9986">
        <f>LOG10(3.310584)</f>
        <v>0.51990461178346226</v>
      </c>
    </row>
    <row r="9987" spans="1:4">
      <c r="A9987">
        <v>1.0233289999999999</v>
      </c>
      <c r="B9987">
        <v>3.2311209999999999</v>
      </c>
      <c r="C9987">
        <f>LOG10(1.023329)</f>
        <v>1.0015281721622233E-2</v>
      </c>
      <c r="D9987">
        <f>LOG10(3.231121)</f>
        <v>0.50935322191375998</v>
      </c>
    </row>
    <row r="9988" spans="1:4">
      <c r="A9988">
        <v>1.028556</v>
      </c>
      <c r="B9988">
        <v>3.1080830000000002</v>
      </c>
      <c r="C9988">
        <f>LOG10(1.028556)</f>
        <v>1.2227941950924474E-2</v>
      </c>
      <c r="D9988">
        <f>LOG10(3.108083)</f>
        <v>0.49249260792832694</v>
      </c>
    </row>
    <row r="9989" spans="1:4">
      <c r="A9989">
        <v>1.043987</v>
      </c>
      <c r="B9989">
        <v>3.45824</v>
      </c>
      <c r="C9989">
        <f>LOG10(1.043987)</f>
        <v>1.8695090751093674E-2</v>
      </c>
      <c r="D9989">
        <f>LOG10(3.45824)</f>
        <v>0.53885512978775818</v>
      </c>
    </row>
    <row r="9990" spans="1:4">
      <c r="A9990">
        <v>1.0275110000000001</v>
      </c>
      <c r="B9990">
        <v>3.513245</v>
      </c>
      <c r="C9990">
        <f>LOG10(1.027511)</f>
        <v>1.1786479904534599E-2</v>
      </c>
      <c r="D9990">
        <f>LOG10(3.513245)</f>
        <v>0.54570843685093384</v>
      </c>
    </row>
    <row r="9991" spans="1:4">
      <c r="A9991">
        <v>1.005995</v>
      </c>
      <c r="B9991">
        <v>3.3888769999999999</v>
      </c>
      <c r="C9991">
        <f>LOG10(1.005995)</f>
        <v>2.5958221932626188E-3</v>
      </c>
      <c r="D9991">
        <f>LOG10(3.388877)</f>
        <v>0.53005580631431093</v>
      </c>
    </row>
    <row r="9992" spans="1:4">
      <c r="A9992">
        <v>1.003976</v>
      </c>
      <c r="B9992">
        <v>3.4175939999999998</v>
      </c>
      <c r="C9992">
        <f>LOG10(1.003976)</f>
        <v>1.7233311435162976E-3</v>
      </c>
      <c r="D9992">
        <f>LOG10(3.417594)</f>
        <v>0.53372046855657429</v>
      </c>
    </row>
    <row r="9993" spans="1:4">
      <c r="A9993">
        <v>1.0061150000000001</v>
      </c>
      <c r="B9993">
        <v>3.4966889999999999</v>
      </c>
      <c r="C9993">
        <f>LOG10(1.006115)</f>
        <v>2.6476238719881661E-3</v>
      </c>
      <c r="D9993">
        <f>LOG10(3.496689)</f>
        <v>0.54365700731921129</v>
      </c>
    </row>
    <row r="9994" spans="1:4">
      <c r="A9994">
        <v>1.0150619999999999</v>
      </c>
      <c r="B9994">
        <v>3.444966</v>
      </c>
      <c r="C9994">
        <f>LOG10(1.015062)</f>
        <v>6.492569771924462E-3</v>
      </c>
      <c r="D9994">
        <f>LOG10(3.444966)</f>
        <v>0.53718494000699701</v>
      </c>
    </row>
    <row r="9995" spans="1:4">
      <c r="A9995">
        <v>1.0039480000000001</v>
      </c>
      <c r="B9995">
        <v>3.3103319999999998</v>
      </c>
      <c r="C9995">
        <f>LOG10(1.003948)</f>
        <v>1.7112188867834301E-3</v>
      </c>
      <c r="D9995">
        <f>LOG10(3.310332)</f>
        <v>0.51987155224623427</v>
      </c>
    </row>
    <row r="9996" spans="1:4">
      <c r="A9996">
        <v>1.5267839999999999</v>
      </c>
      <c r="B9996">
        <v>3.3276439999999998</v>
      </c>
      <c r="C9996">
        <f>LOG10(1.526784)</f>
        <v>0.18377760009280647</v>
      </c>
      <c r="D9996">
        <f>LOG10(3.327644)</f>
        <v>0.52213685815189237</v>
      </c>
    </row>
    <row r="9997" spans="1:4">
      <c r="A9997">
        <v>1.0112019999999999</v>
      </c>
      <c r="B9997">
        <v>3.281606</v>
      </c>
      <c r="C9997">
        <f>LOG10(1.011202)</f>
        <v>4.837919905976735E-3</v>
      </c>
      <c r="D9997">
        <f>LOG10(3.281606)</f>
        <v>0.51608643707734725</v>
      </c>
    </row>
    <row r="9998" spans="1:4">
      <c r="A9998">
        <v>1.011919</v>
      </c>
      <c r="B9998">
        <v>3.5782250000000002</v>
      </c>
      <c r="C9998">
        <f>LOG10(1.011919)</f>
        <v>5.1457503882480788E-3</v>
      </c>
      <c r="D9998">
        <f>LOG10(3.578225)</f>
        <v>0.55366764567410109</v>
      </c>
    </row>
    <row r="9999" spans="1:4">
      <c r="A9999">
        <v>1.009074</v>
      </c>
      <c r="B9999">
        <v>3.657165</v>
      </c>
      <c r="C9999">
        <f>LOG10(1.009074)</f>
        <v>3.9230162004651346E-3</v>
      </c>
      <c r="D9999">
        <f>LOG10(3.657165)</f>
        <v>0.56314455480700321</v>
      </c>
    </row>
    <row r="10000" spans="1:4">
      <c r="A10000">
        <v>1.0115419999999999</v>
      </c>
      <c r="B10000">
        <v>3.7534689999999999</v>
      </c>
      <c r="C10000">
        <f>LOG10(1.011542)</f>
        <v>4.9839197213144733E-3</v>
      </c>
      <c r="D10000">
        <f>LOG10(3.753469)</f>
        <v>0.57443283336757422</v>
      </c>
    </row>
    <row r="10001" spans="1:4">
      <c r="A10001">
        <v>1.012748</v>
      </c>
      <c r="B10001">
        <v>3.6605979999999998</v>
      </c>
      <c r="C10001">
        <f>LOG10(1.012748)</f>
        <v>5.5013942009020985E-3</v>
      </c>
      <c r="D10001">
        <f>LOG10(3.660598)</f>
        <v>0.56355203809547572</v>
      </c>
    </row>
    <row r="10002" spans="1:4">
      <c r="A10002">
        <v>1.0089649999999999</v>
      </c>
      <c r="B10002">
        <v>3.5800749999999999</v>
      </c>
      <c r="C10002">
        <f>LOG10(1.008965)</f>
        <v>3.8761012512757995E-3</v>
      </c>
      <c r="D10002">
        <f>LOG10(3.580075)</f>
        <v>0.55389212489665629</v>
      </c>
    </row>
    <row r="10003" spans="1:4">
      <c r="A10003">
        <v>1.006086</v>
      </c>
      <c r="B10003">
        <v>3.5212680000000001</v>
      </c>
      <c r="C10003">
        <f>LOG10(1.006086)</f>
        <v>2.6351056991256228E-3</v>
      </c>
      <c r="D10003">
        <f>LOG10(3.521268)</f>
        <v>0.54669908002384582</v>
      </c>
    </row>
    <row r="10004" spans="1:4">
      <c r="A10004">
        <v>1.0072430000000001</v>
      </c>
      <c r="B10004">
        <v>3.6171359999999999</v>
      </c>
      <c r="C10004">
        <f>LOG10(1.007243)</f>
        <v>3.1342578703563791E-3</v>
      </c>
      <c r="D10004">
        <f>LOG10(3.617136)</f>
        <v>0.55836483802320558</v>
      </c>
    </row>
    <row r="10005" spans="1:4">
      <c r="A10005">
        <v>1.008008</v>
      </c>
      <c r="B10005">
        <v>3.3084609999999999</v>
      </c>
      <c r="C10005">
        <f>LOG10(1.008008)</f>
        <v>3.4639788774312669E-3</v>
      </c>
      <c r="D10005">
        <f>LOG10(3.308461)</f>
        <v>0.51962601956458543</v>
      </c>
    </row>
    <row r="10006" spans="1:4">
      <c r="A10006">
        <v>1.0059849999999999</v>
      </c>
      <c r="B10006">
        <v>3.5315210000000001</v>
      </c>
      <c r="C10006">
        <f>LOG10(1.005985)</f>
        <v>2.5915051077855301E-3</v>
      </c>
      <c r="D10006">
        <f>LOG10(3.531521)</f>
        <v>0.54796179310368154</v>
      </c>
    </row>
    <row r="10007" spans="1:4">
      <c r="A10007">
        <v>1.0047919999999999</v>
      </c>
      <c r="B10007">
        <v>3.448153</v>
      </c>
      <c r="C10007">
        <f>LOG10(1.004792)</f>
        <v>2.0761686207419528E-3</v>
      </c>
      <c r="D10007">
        <f>LOG10(3.448153)</f>
        <v>0.53758652791297945</v>
      </c>
    </row>
    <row r="10008" spans="1:4">
      <c r="A10008">
        <v>1.0251209999999999</v>
      </c>
      <c r="B10008">
        <v>3.566319</v>
      </c>
      <c r="C10008">
        <f>LOG10(1.025121)</f>
        <v>1.0775130299913931E-2</v>
      </c>
      <c r="D10008">
        <f>LOG10(3.566319)</f>
        <v>0.55222018733722811</v>
      </c>
    </row>
    <row r="10009" spans="1:4">
      <c r="A10009">
        <v>1.1776230000000001</v>
      </c>
      <c r="B10009">
        <v>3.4709599999999998</v>
      </c>
      <c r="C10009">
        <f>LOG10(1.177623)</f>
        <v>7.1006279224689314E-2</v>
      </c>
      <c r="D10009">
        <f>LOG10(3.47096)</f>
        <v>0.54044960880844062</v>
      </c>
    </row>
    <row r="10010" spans="1:4">
      <c r="A10010">
        <v>1.013828</v>
      </c>
      <c r="B10010">
        <v>3.476925</v>
      </c>
      <c r="C10010">
        <f>LOG10(1.013828)</f>
        <v>5.9642814401254188E-3</v>
      </c>
      <c r="D10010">
        <f>LOG10(3.476925)</f>
        <v>0.54119532271160387</v>
      </c>
    </row>
    <row r="10011" spans="1:4">
      <c r="A10011">
        <v>1.001395</v>
      </c>
      <c r="B10011">
        <v>3.4831590000000001</v>
      </c>
      <c r="C10011">
        <f>LOG10(1.001395)</f>
        <v>6.0541862087854967E-4</v>
      </c>
      <c r="D10011">
        <f>LOG10(3.483159)</f>
        <v>0.54197329967974917</v>
      </c>
    </row>
    <row r="10012" spans="1:4">
      <c r="A10012">
        <v>1.0129760000000001</v>
      </c>
      <c r="B10012">
        <v>3.5831599999999999</v>
      </c>
      <c r="C10012">
        <f>LOG10(1.012976)</f>
        <v>5.5991559318112633E-3</v>
      </c>
      <c r="D10012">
        <f>LOG10(3.58316)</f>
        <v>0.5542662012907732</v>
      </c>
    </row>
    <row r="10013" spans="1:4">
      <c r="A10013">
        <v>1.017406</v>
      </c>
      <c r="B10013">
        <v>3.5839650000000001</v>
      </c>
      <c r="C10013">
        <f>LOG10(1.017406)</f>
        <v>7.4942944897607618E-3</v>
      </c>
      <c r="D10013">
        <f>LOG10(3.583965)</f>
        <v>0.55436375981232888</v>
      </c>
    </row>
    <row r="10014" spans="1:4">
      <c r="A10014">
        <v>1.010804</v>
      </c>
      <c r="B10014">
        <v>3.6011009999999999</v>
      </c>
      <c r="C10014">
        <f>LOG10(1.010804)</f>
        <v>4.666951861342126E-3</v>
      </c>
      <c r="D10014">
        <f>LOG10(3.601101)</f>
        <v>0.55643530218982007</v>
      </c>
    </row>
    <row r="10015" spans="1:4">
      <c r="A10015">
        <v>1.002793</v>
      </c>
      <c r="B10015">
        <v>3.5164759999999999</v>
      </c>
      <c r="C10015">
        <f>LOG10(1.002793)</f>
        <v>1.2112937026289865E-3</v>
      </c>
      <c r="D10015">
        <f>LOG10(3.516476)</f>
        <v>0.54610765769336522</v>
      </c>
    </row>
    <row r="10016" spans="1:4">
      <c r="A10016">
        <v>1.0220590000000001</v>
      </c>
      <c r="B10016">
        <v>3.3387889999999998</v>
      </c>
      <c r="C10016">
        <f>LOG10(1.022059)</f>
        <v>9.4759668699687088E-3</v>
      </c>
      <c r="D10016">
        <f>LOG10(3.338789)</f>
        <v>0.52358897400161086</v>
      </c>
    </row>
    <row r="10017" spans="1:4">
      <c r="A10017">
        <v>1.008097</v>
      </c>
      <c r="B10017">
        <v>3.6780390000000001</v>
      </c>
      <c r="C10017">
        <f>LOG10(1.008097)</f>
        <v>3.5023223257283544E-3</v>
      </c>
      <c r="D10017">
        <f>LOG10(3.678039)</f>
        <v>0.56561632995779432</v>
      </c>
    </row>
    <row r="10018" spans="1:4">
      <c r="A10018">
        <v>1.008594</v>
      </c>
      <c r="B10018">
        <v>3.5372170000000001</v>
      </c>
      <c r="C10018">
        <f>LOG10(1.008594)</f>
        <v>3.716380267054638E-3</v>
      </c>
      <c r="D10018">
        <f>LOG10(3.537217)</f>
        <v>0.54866170358397792</v>
      </c>
    </row>
    <row r="10019" spans="1:4">
      <c r="A10019">
        <v>1.0101830000000001</v>
      </c>
      <c r="B10019">
        <v>3.6333790000000001</v>
      </c>
      <c r="C10019">
        <f>LOG10(1.010183)</f>
        <v>4.4000556549340505E-3</v>
      </c>
      <c r="D10019">
        <f>LOG10(3.633379)</f>
        <v>0.56031070175032927</v>
      </c>
    </row>
    <row r="10020" spans="1:4">
      <c r="A10020">
        <v>1.0204850000000001</v>
      </c>
      <c r="B10020">
        <v>3.307928</v>
      </c>
      <c r="C10020">
        <f>LOG10(1.020485)</f>
        <v>8.8066254508099E-3</v>
      </c>
      <c r="D10020">
        <f>LOG10(3.307928)</f>
        <v>0.51955604817706424</v>
      </c>
    </row>
    <row r="10021" spans="1:4">
      <c r="A10021">
        <v>1.009728</v>
      </c>
      <c r="B10021">
        <v>3.4475220000000002</v>
      </c>
      <c r="C10021">
        <f>LOG10(1.009728)</f>
        <v>4.2043995170069608E-3</v>
      </c>
      <c r="D10021">
        <f>LOG10(3.447522)</f>
        <v>0.53750704626140922</v>
      </c>
    </row>
    <row r="10022" spans="1:4">
      <c r="A10022">
        <v>1.002556</v>
      </c>
      <c r="B10022">
        <v>3.6500149999999998</v>
      </c>
      <c r="C10022">
        <f>LOG10(1.002556)</f>
        <v>1.1086404560466691E-3</v>
      </c>
      <c r="D10022">
        <f>LOG10(3.650015)</f>
        <v>0.56229464922465078</v>
      </c>
    </row>
    <row r="10023" spans="1:4">
      <c r="A10023">
        <v>1.01041</v>
      </c>
      <c r="B10023">
        <v>3.8018559999999999</v>
      </c>
      <c r="C10023">
        <f>LOG10(1.01041)</f>
        <v>4.4976357690953636E-3</v>
      </c>
      <c r="D10023">
        <f>LOG10(3.801856)</f>
        <v>0.57999566340008746</v>
      </c>
    </row>
    <row r="10024" spans="1:4">
      <c r="A10024">
        <v>1.013018</v>
      </c>
      <c r="B10024">
        <v>3.5492089999999998</v>
      </c>
      <c r="C10024">
        <f>LOG10(1.013018)</f>
        <v>5.6171622716548117E-3</v>
      </c>
      <c r="D10024">
        <f>LOG10(3.549209)</f>
        <v>0.55013157412194613</v>
      </c>
    </row>
    <row r="10025" spans="1:4">
      <c r="A10025">
        <v>1.009201</v>
      </c>
      <c r="B10025">
        <v>3.433989</v>
      </c>
      <c r="C10025">
        <f>LOG10(1.009201)</f>
        <v>3.9776721807200602E-3</v>
      </c>
      <c r="D10025">
        <f>LOG10(3.433989)</f>
        <v>0.53579889966387484</v>
      </c>
    </row>
    <row r="10026" spans="1:4">
      <c r="A10026">
        <v>1.0064059999999999</v>
      </c>
      <c r="B10026">
        <v>3.3284029999999998</v>
      </c>
      <c r="C10026">
        <f>LOG10(1.006406)</f>
        <v>2.773217289512291E-3</v>
      </c>
      <c r="D10026">
        <f>LOG10(3.328403)</f>
        <v>0.52223590478218007</v>
      </c>
    </row>
    <row r="10027" spans="1:4">
      <c r="A10027">
        <v>1.025657</v>
      </c>
      <c r="B10027">
        <v>3.680704</v>
      </c>
      <c r="C10027">
        <f>LOG10(1.025657)</f>
        <v>1.1002148385343679E-2</v>
      </c>
      <c r="D10027">
        <f>LOG10(3.680704)</f>
        <v>0.56593089315014167</v>
      </c>
    </row>
    <row r="10028" spans="1:4">
      <c r="A10028">
        <v>1.005627</v>
      </c>
      <c r="B10028">
        <v>3.63788</v>
      </c>
      <c r="C10028">
        <f>LOG10(1.005627)</f>
        <v>2.4369251727257494E-3</v>
      </c>
      <c r="D10028">
        <f>LOG10(3.63788)</f>
        <v>0.5608483692196683</v>
      </c>
    </row>
    <row r="10029" spans="1:4">
      <c r="A10029">
        <v>1.0084630000000001</v>
      </c>
      <c r="B10029">
        <v>3.8079830000000001</v>
      </c>
      <c r="C10029">
        <f>LOG10(1.008463)</f>
        <v>3.6599687950840737E-3</v>
      </c>
      <c r="D10029">
        <f>LOG10(3.807983)</f>
        <v>0.58069500089345771</v>
      </c>
    </row>
    <row r="10030" spans="1:4">
      <c r="A10030">
        <v>1.0063569999999999</v>
      </c>
      <c r="B10030">
        <v>3.5534560000000002</v>
      </c>
      <c r="C10030">
        <f>LOG10(1.006357)</f>
        <v>2.7520717998372043E-3</v>
      </c>
      <c r="D10030">
        <f>LOG10(3.553456)</f>
        <v>0.55065094224207101</v>
      </c>
    </row>
    <row r="10031" spans="1:4">
      <c r="A10031">
        <v>1.032867</v>
      </c>
      <c r="B10031">
        <v>3.3839329999999999</v>
      </c>
      <c r="C10031">
        <f>LOG10(1.032867)</f>
        <v>1.4044401979618301E-2</v>
      </c>
      <c r="D10031">
        <f>LOG10(3.383933)</f>
        <v>0.52942175566180116</v>
      </c>
    </row>
    <row r="10032" spans="1:4">
      <c r="A10032">
        <v>1.007385</v>
      </c>
      <c r="B10032">
        <v>3.517849</v>
      </c>
      <c r="C10032">
        <f>LOG10(1.007385)</f>
        <v>3.1954799088988093E-3</v>
      </c>
      <c r="D10032">
        <f>LOG10(3.517849)</f>
        <v>0.54627719388375318</v>
      </c>
    </row>
    <row r="10033" spans="1:4">
      <c r="A10033">
        <v>1.0092190000000001</v>
      </c>
      <c r="B10033">
        <v>3.6635599999999999</v>
      </c>
      <c r="C10033">
        <f>LOG10(1.009219)</f>
        <v>3.9854181410994638E-3</v>
      </c>
      <c r="D10033">
        <f>LOG10(3.66356)</f>
        <v>0.56390330859661109</v>
      </c>
    </row>
    <row r="10034" spans="1:4">
      <c r="A10034">
        <v>1.0060880000000001</v>
      </c>
      <c r="B10034">
        <v>3.4715630000000002</v>
      </c>
      <c r="C10034">
        <f>LOG10(1.006088)</f>
        <v>2.6359690329763054E-3</v>
      </c>
      <c r="D10034">
        <f>LOG10(3.471563)</f>
        <v>0.54052505099948456</v>
      </c>
    </row>
    <row r="10035" spans="1:4">
      <c r="A10035">
        <v>1.0164120000000001</v>
      </c>
      <c r="B10035">
        <v>3.504054</v>
      </c>
      <c r="C10035">
        <f>LOG10(1.016412)</f>
        <v>7.0697837917698151E-3</v>
      </c>
      <c r="D10035">
        <f>LOG10(3.504054)</f>
        <v>0.54457079033888456</v>
      </c>
    </row>
    <row r="10036" spans="1:4">
      <c r="A10036">
        <v>1.011779</v>
      </c>
      <c r="B10036">
        <v>3.419435</v>
      </c>
      <c r="C10036">
        <f>LOG10(1.011779)</f>
        <v>5.0856611579741303E-3</v>
      </c>
      <c r="D10036">
        <f>LOG10(3.419435)</f>
        <v>0.53395435264877511</v>
      </c>
    </row>
    <row r="10037" spans="1:4">
      <c r="A10037">
        <v>1.0014160000000001</v>
      </c>
      <c r="B10037">
        <v>3.592911</v>
      </c>
      <c r="C10037">
        <f>LOG10(1.001416)</f>
        <v>6.145260045710934E-4</v>
      </c>
      <c r="D10037">
        <f>LOG10(3.592911)</f>
        <v>0.55544645942908244</v>
      </c>
    </row>
    <row r="10038" spans="1:4">
      <c r="A10038">
        <v>1.006904</v>
      </c>
      <c r="B10038">
        <v>3.3479830000000002</v>
      </c>
      <c r="C10038">
        <f>LOG10(1.006904)</f>
        <v>2.9880661268982807E-3</v>
      </c>
      <c r="D10038">
        <f>LOG10(3.347983)</f>
        <v>0.52478324411664157</v>
      </c>
    </row>
    <row r="10039" spans="1:4">
      <c r="A10039">
        <v>1.0149250000000001</v>
      </c>
      <c r="B10039">
        <v>3.5372080000000001</v>
      </c>
      <c r="C10039">
        <f>LOG10(1.014925)</f>
        <v>6.4339503382916325E-3</v>
      </c>
      <c r="D10039">
        <f>LOG10(3.537208)</f>
        <v>0.54866059857534832</v>
      </c>
    </row>
    <row r="10040" spans="1:4">
      <c r="A10040">
        <v>1.01139</v>
      </c>
      <c r="B10040">
        <v>3.5812529999999998</v>
      </c>
      <c r="C10040">
        <f>LOG10(1.01139)</f>
        <v>4.9186552820021335E-3</v>
      </c>
      <c r="D10040">
        <f>LOG10(3.581253)</f>
        <v>0.55403500311820864</v>
      </c>
    </row>
    <row r="10041" spans="1:4">
      <c r="A10041">
        <v>1.014327</v>
      </c>
      <c r="B10041">
        <v>3.7736070000000002</v>
      </c>
      <c r="C10041">
        <f>LOG10(1.014327)</f>
        <v>6.177985965511854E-3</v>
      </c>
      <c r="D10041">
        <f>LOG10(3.773607)</f>
        <v>0.5767566688499397</v>
      </c>
    </row>
    <row r="10042" spans="1:4">
      <c r="A10042">
        <v>1.0159069999999999</v>
      </c>
      <c r="B10042">
        <v>3.570837</v>
      </c>
      <c r="C10042">
        <f>LOG10(1.015907)</f>
        <v>6.8539527948887694E-3</v>
      </c>
      <c r="D10042">
        <f>LOG10(3.570837)</f>
        <v>0.55277002616135629</v>
      </c>
    </row>
    <row r="10043" spans="1:4">
      <c r="A10043">
        <v>1.005269</v>
      </c>
      <c r="B10043">
        <v>3.5297640000000001</v>
      </c>
      <c r="C10043">
        <f>LOG10(1.005269)</f>
        <v>2.2822901979045718E-3</v>
      </c>
      <c r="D10043">
        <f>LOG10(3.529764)</f>
        <v>0.54774566943201231</v>
      </c>
    </row>
    <row r="10044" spans="1:4">
      <c r="A10044">
        <v>1.009714</v>
      </c>
      <c r="B10044">
        <v>3.3571529999999998</v>
      </c>
      <c r="C10044">
        <f>LOG10(1.009714)</f>
        <v>4.198377930106495E-3</v>
      </c>
      <c r="D10044">
        <f>LOG10(3.357153)</f>
        <v>0.52597113437925114</v>
      </c>
    </row>
    <row r="10045" spans="1:4">
      <c r="A10045">
        <v>1.006734</v>
      </c>
      <c r="B10045">
        <v>3.614808</v>
      </c>
      <c r="C10045">
        <f>LOG10(1.006734)</f>
        <v>2.9147361022374813E-3</v>
      </c>
      <c r="D10045">
        <f>LOG10(3.614808)</f>
        <v>0.55808523475504057</v>
      </c>
    </row>
    <row r="10046" spans="1:4">
      <c r="A10046">
        <v>1.0084090000000001</v>
      </c>
      <c r="B10046">
        <v>3.6509879999999999</v>
      </c>
      <c r="C10046">
        <f>LOG10(1.008409)</f>
        <v>3.6367130782826319E-3</v>
      </c>
      <c r="D10046">
        <f>LOG10(3.650988)</f>
        <v>0.56241040552098254</v>
      </c>
    </row>
    <row r="10047" spans="1:4">
      <c r="A10047">
        <v>1.0100169999999999</v>
      </c>
      <c r="B10047">
        <v>3.5327229999999998</v>
      </c>
      <c r="C10047">
        <f>LOG10(1.010017)</f>
        <v>4.3286836282453636E-3</v>
      </c>
      <c r="D10047">
        <f>LOG10(3.532723)</f>
        <v>0.54810958583912095</v>
      </c>
    </row>
    <row r="10048" spans="1:4">
      <c r="A10048">
        <v>1.005843</v>
      </c>
      <c r="B10048">
        <v>3.4550719999999999</v>
      </c>
      <c r="C10048">
        <f>LOG10(1.005843)</f>
        <v>2.5301978623027016E-3</v>
      </c>
      <c r="D10048">
        <f>LOG10(3.455072)</f>
        <v>0.5384571020363782</v>
      </c>
    </row>
    <row r="10049" spans="1:4">
      <c r="A10049">
        <v>1.009096</v>
      </c>
      <c r="B10049">
        <v>3.5227819999999999</v>
      </c>
      <c r="C10049">
        <f>LOG10(1.009096)</f>
        <v>3.9324846581294893E-3</v>
      </c>
      <c r="D10049">
        <f>LOG10(3.522782)</f>
        <v>0.54688576860661464</v>
      </c>
    </row>
    <row r="10050" spans="1:4">
      <c r="A10050">
        <v>1.0083409999999999</v>
      </c>
      <c r="B10050">
        <v>3.4920689999999999</v>
      </c>
      <c r="C10050">
        <f>LOG10(1.008341)</f>
        <v>3.6074263300186521E-3</v>
      </c>
      <c r="D10050">
        <f>LOG10(3.492069)</f>
        <v>0.54308281636892619</v>
      </c>
    </row>
    <row r="10051" spans="1:4">
      <c r="A10051">
        <v>1.009083</v>
      </c>
      <c r="B10051">
        <v>3.5242939999999998</v>
      </c>
      <c r="C10051">
        <f>LOG10(1.009083)</f>
        <v>3.926889685369553E-3</v>
      </c>
      <c r="D10051">
        <f>LOG10(3.524294)</f>
        <v>0.5470721305152173</v>
      </c>
    </row>
    <row r="10052" spans="1:4">
      <c r="A10052">
        <v>1.004955</v>
      </c>
      <c r="B10052">
        <v>3.289221</v>
      </c>
      <c r="C10052">
        <f>LOG10(1.004955)</f>
        <v>2.146615299558249E-3</v>
      </c>
      <c r="D10052">
        <f>LOG10(3.289221)</f>
        <v>0.51709305434493846</v>
      </c>
    </row>
    <row r="10053" spans="1:4">
      <c r="A10053">
        <v>1.006421</v>
      </c>
      <c r="B10053">
        <v>3.3508810000000002</v>
      </c>
      <c r="C10053">
        <f>LOG10(1.006421)</f>
        <v>2.779690192775922E-3</v>
      </c>
      <c r="D10053">
        <f>LOG10(3.350881)</f>
        <v>0.52515900498805834</v>
      </c>
    </row>
    <row r="10054" spans="1:4">
      <c r="A10054">
        <v>1.0107409999999999</v>
      </c>
      <c r="B10054">
        <v>3.232891</v>
      </c>
      <c r="C10054">
        <f>LOG10(1.010741)</f>
        <v>4.6398829092596091E-3</v>
      </c>
      <c r="D10054">
        <f>LOG10(3.232891)</f>
        <v>0.50959106220619166</v>
      </c>
    </row>
    <row r="10055" spans="1:4">
      <c r="A10055">
        <v>1.016886</v>
      </c>
      <c r="B10055">
        <v>3.5304509999999998</v>
      </c>
      <c r="C10055">
        <f>LOG10(1.016886)</f>
        <v>7.2722682167297697E-3</v>
      </c>
      <c r="D10055">
        <f>LOG10(3.530451)</f>
        <v>0.54783018819242091</v>
      </c>
    </row>
    <row r="10056" spans="1:4">
      <c r="A10056">
        <v>1.0093460000000001</v>
      </c>
      <c r="B10056">
        <v>3.3176429999999999</v>
      </c>
      <c r="C10056">
        <f>LOG10(1.009346)</f>
        <v>4.0400662691255458E-3</v>
      </c>
      <c r="D10056">
        <f>LOG10(3.317643)</f>
        <v>0.52082965128702607</v>
      </c>
    </row>
    <row r="10057" spans="1:4">
      <c r="A10057">
        <v>1.009911</v>
      </c>
      <c r="B10057">
        <v>3.4392529999999999</v>
      </c>
      <c r="C10057">
        <f>LOG10(1.009911)</f>
        <v>4.2831025826596033E-3</v>
      </c>
      <c r="D10057">
        <f>LOG10(3.439253)</f>
        <v>0.53646412477881134</v>
      </c>
    </row>
    <row r="10058" spans="1:4">
      <c r="A10058">
        <v>1.0045539999999999</v>
      </c>
      <c r="B10058">
        <v>3.3121019999999999</v>
      </c>
      <c r="C10058">
        <f>LOG10(1.004554)</f>
        <v>1.9732872979868555E-3</v>
      </c>
      <c r="D10058">
        <f>LOG10(3.312102)</f>
        <v>0.52010370291810903</v>
      </c>
    </row>
    <row r="10059" spans="1:4">
      <c r="A10059">
        <v>1.0166219999999999</v>
      </c>
      <c r="B10059">
        <v>3.4351910000000001</v>
      </c>
      <c r="C10059">
        <f>LOG10(1.016622)</f>
        <v>7.159503729089081E-3</v>
      </c>
      <c r="D10059">
        <f>LOG10(3.435191)</f>
        <v>0.53595088926745948</v>
      </c>
    </row>
    <row r="10060" spans="1:4">
      <c r="A10060">
        <v>1.0076700000000001</v>
      </c>
      <c r="B10060">
        <v>3.5090330000000001</v>
      </c>
      <c r="C10060">
        <f>LOG10(1.00767)</f>
        <v>3.3183290898569358E-3</v>
      </c>
      <c r="D10060">
        <f>LOG10(3.509033)</f>
        <v>0.54518745247032574</v>
      </c>
    </row>
    <row r="10061" spans="1:4">
      <c r="A10061">
        <v>1.006821</v>
      </c>
      <c r="B10061">
        <v>3.2237710000000002</v>
      </c>
      <c r="C10061">
        <f>LOG10(1.006821)</f>
        <v>2.9522653675906232E-3</v>
      </c>
      <c r="D10061">
        <f>LOG10(3.223771)</f>
        <v>0.50836418419738283</v>
      </c>
    </row>
    <row r="10062" spans="1:4">
      <c r="A10062">
        <v>1.0176810000000001</v>
      </c>
      <c r="B10062">
        <v>3.1795170000000001</v>
      </c>
      <c r="C10062">
        <f>LOG10(1.017681)</f>
        <v>7.6116663596123594E-3</v>
      </c>
      <c r="D10062">
        <f>LOG10(3.179517)</f>
        <v>0.50236115137858961</v>
      </c>
    </row>
    <row r="10063" spans="1:4">
      <c r="A10063">
        <v>1.0075510000000001</v>
      </c>
      <c r="B10063">
        <v>3.4660899999999999</v>
      </c>
      <c r="C10063">
        <f>LOG10(1.007551)</f>
        <v>3.2670383942890071E-3</v>
      </c>
      <c r="D10063">
        <f>LOG10(3.46609)</f>
        <v>0.53983983535305968</v>
      </c>
    </row>
    <row r="10064" spans="1:4">
      <c r="A10064">
        <v>1.006926</v>
      </c>
      <c r="B10064">
        <v>3.418542</v>
      </c>
      <c r="C10064">
        <f>LOG10(1.006926)</f>
        <v>2.9975549900120857E-3</v>
      </c>
      <c r="D10064">
        <f>LOG10(3.418542)</f>
        <v>0.53384091998453986</v>
      </c>
    </row>
    <row r="10065" spans="1:4">
      <c r="A10065">
        <v>1.004521</v>
      </c>
      <c r="B10065">
        <v>3.5196990000000001</v>
      </c>
      <c r="C10065">
        <f>LOG10(1.004521)</f>
        <v>1.9590203165112266E-3</v>
      </c>
      <c r="D10065">
        <f>LOG10(3.519699)</f>
        <v>0.54650552477685066</v>
      </c>
    </row>
    <row r="10066" spans="1:4">
      <c r="A10066">
        <v>1.014572</v>
      </c>
      <c r="B10066">
        <v>3.3980939999999999</v>
      </c>
      <c r="C10066">
        <f>LOG10(1.014572)</f>
        <v>6.2828725553159773E-3</v>
      </c>
      <c r="D10066">
        <f>LOG10(3.398094)</f>
        <v>0.5312353883990214</v>
      </c>
    </row>
    <row r="10067" spans="1:4">
      <c r="A10067">
        <v>1.0113920000000001</v>
      </c>
      <c r="B10067">
        <v>3.3805109999999998</v>
      </c>
      <c r="C10067">
        <f>LOG10(1.011392)</f>
        <v>4.9195140883033879E-3</v>
      </c>
      <c r="D10067">
        <f>LOG10(3.380511)</f>
        <v>0.5289823534451964</v>
      </c>
    </row>
    <row r="10068" spans="1:4">
      <c r="A10068">
        <v>1.005017</v>
      </c>
      <c r="B10068">
        <v>3.3306360000000002</v>
      </c>
      <c r="C10068">
        <f>LOG10(1.005017)</f>
        <v>2.1734079691939894E-3</v>
      </c>
      <c r="D10068">
        <f>LOG10(3.330636)</f>
        <v>0.52252717191980769</v>
      </c>
    </row>
    <row r="10069" spans="1:4">
      <c r="A10069">
        <v>1.0112429999999999</v>
      </c>
      <c r="B10069">
        <v>3.4085179999999999</v>
      </c>
      <c r="C10069">
        <f>LOG10(1.011243)</f>
        <v>4.8555283687635644E-3</v>
      </c>
      <c r="D10069">
        <f>LOG10(3.408518)</f>
        <v>0.53256559180081886</v>
      </c>
    </row>
    <row r="10070" spans="1:4">
      <c r="A10070">
        <v>1.015449</v>
      </c>
      <c r="B10070">
        <v>3.2791109999999999</v>
      </c>
      <c r="C10070">
        <f>LOG10(1.015449)</f>
        <v>6.6581162442476511E-3</v>
      </c>
      <c r="D10070">
        <f>LOG10(3.279111)</f>
        <v>0.51575611806356114</v>
      </c>
    </row>
    <row r="10071" spans="1:4">
      <c r="A10071">
        <v>1.009018</v>
      </c>
      <c r="B10071">
        <v>3.4077480000000002</v>
      </c>
      <c r="C10071">
        <f>LOG10(1.009018)</f>
        <v>3.8989137403266983E-3</v>
      </c>
      <c r="D10071">
        <f>LOG10(3.407748)</f>
        <v>0.53246747158294949</v>
      </c>
    </row>
    <row r="10072" spans="1:4">
      <c r="A10072">
        <v>1.0015579999999999</v>
      </c>
      <c r="B10072">
        <v>3.2836829999999999</v>
      </c>
      <c r="C10072">
        <f>LOG10(1.001558)</f>
        <v>6.7610425424734612E-4</v>
      </c>
      <c r="D10072">
        <f>LOG10(3.283683)</f>
        <v>0.5163612245753556</v>
      </c>
    </row>
    <row r="10073" spans="1:4">
      <c r="A10073">
        <v>1.021665</v>
      </c>
      <c r="B10073">
        <v>3.3397610000000002</v>
      </c>
      <c r="C10073">
        <f>LOG10(1.021665)</f>
        <v>9.3085156603242136E-3</v>
      </c>
      <c r="D10073">
        <f>LOG10(3.339761)</f>
        <v>0.52371538893880254</v>
      </c>
    </row>
    <row r="10074" spans="1:4">
      <c r="A10074">
        <v>1.0023709999999999</v>
      </c>
      <c r="B10074">
        <v>3.2071329999999998</v>
      </c>
      <c r="C10074">
        <f>LOG10(1.002371)</f>
        <v>1.0284934188925282E-3</v>
      </c>
      <c r="D10074">
        <f>LOG10(3.207133)</f>
        <v>0.50611697052039462</v>
      </c>
    </row>
    <row r="10075" spans="1:4">
      <c r="A10075">
        <v>1.007951</v>
      </c>
      <c r="B10075">
        <v>3.265577</v>
      </c>
      <c r="C10075">
        <f>LOG10(1.007951)</f>
        <v>3.4394200590474899E-3</v>
      </c>
      <c r="D10075">
        <f>LOG10(3.265577)</f>
        <v>0.51395992857475736</v>
      </c>
    </row>
    <row r="10076" spans="1:4">
      <c r="A10076">
        <v>1.010772</v>
      </c>
      <c r="B10076">
        <v>3.3547340000000001</v>
      </c>
      <c r="C10076">
        <f>LOG10(1.010772)</f>
        <v>4.6532027631909032E-3</v>
      </c>
      <c r="D10076">
        <f>LOG10(3.354734)</f>
        <v>0.52565809025404153</v>
      </c>
    </row>
    <row r="10077" spans="1:4">
      <c r="A10077">
        <v>1.0123059999999999</v>
      </c>
      <c r="B10077">
        <v>3.3980579999999998</v>
      </c>
      <c r="C10077">
        <f>LOG10(1.012306)</f>
        <v>5.311810946283157E-3</v>
      </c>
      <c r="D10077">
        <f>LOG10(3.398058)</f>
        <v>0.53123078738322638</v>
      </c>
    </row>
    <row r="10078" spans="1:4">
      <c r="A10078">
        <v>1.0051220000000001</v>
      </c>
      <c r="B10078">
        <v>3.2302960000000001</v>
      </c>
      <c r="C10078">
        <f>LOG10(1.005122)</f>
        <v>2.2187788819928809E-3</v>
      </c>
      <c r="D10078">
        <f>LOG10(3.230296)</f>
        <v>0.50924231963040101</v>
      </c>
    </row>
    <row r="10079" spans="1:4">
      <c r="A10079">
        <v>1.009034</v>
      </c>
      <c r="B10079">
        <v>3.3989050000000001</v>
      </c>
      <c r="C10079">
        <f>LOG10(1.009034)</f>
        <v>3.9058002940038136E-3</v>
      </c>
      <c r="D10079">
        <f>LOG10(3.398905)</f>
        <v>0.53133902614458972</v>
      </c>
    </row>
    <row r="10080" spans="1:4">
      <c r="A10080">
        <v>1.0060089999999999</v>
      </c>
      <c r="B10080">
        <v>3.4345819999999998</v>
      </c>
      <c r="C10080">
        <f>LOG10(1.006009)</f>
        <v>2.6018660408362077E-3</v>
      </c>
      <c r="D10080">
        <f>LOG10(3.434582)</f>
        <v>0.53587388953539505</v>
      </c>
    </row>
    <row r="10081" spans="1:4">
      <c r="A10081">
        <v>1.0111509999999999</v>
      </c>
      <c r="B10081">
        <v>3.2151589999999999</v>
      </c>
      <c r="C10081">
        <f>LOG10(1.011151)</f>
        <v>4.8160156997557923E-3</v>
      </c>
      <c r="D10081">
        <f>LOG10(3.215159)</f>
        <v>0.50720245505655559</v>
      </c>
    </row>
    <row r="10082" spans="1:4">
      <c r="A10082">
        <v>1.00722</v>
      </c>
      <c r="B10082">
        <v>3.3745530000000001</v>
      </c>
      <c r="C10082">
        <f>LOG10(1.00722)</f>
        <v>3.1243408124761846E-3</v>
      </c>
      <c r="D10082">
        <f>LOG10(3.374553)</f>
        <v>0.52821625346623136</v>
      </c>
    </row>
    <row r="10083" spans="1:4">
      <c r="A10083">
        <v>1.006211</v>
      </c>
      <c r="B10083">
        <v>3.2204809999999999</v>
      </c>
      <c r="C10083">
        <f>LOG10(1.006211)</f>
        <v>2.6890607667003409E-3</v>
      </c>
      <c r="D10083">
        <f>LOG10(3.220481)</f>
        <v>0.50792074127503894</v>
      </c>
    </row>
    <row r="10084" spans="1:4">
      <c r="A10084">
        <v>1.014059</v>
      </c>
      <c r="B10084">
        <v>3.282543</v>
      </c>
      <c r="C10084">
        <f>LOG10(1.014059)</f>
        <v>6.0632238622166041E-3</v>
      </c>
      <c r="D10084">
        <f>LOG10(3.282543)</f>
        <v>0.51621042388273741</v>
      </c>
    </row>
    <row r="10085" spans="1:4">
      <c r="A10085">
        <v>1.0133779999999999</v>
      </c>
      <c r="B10085">
        <v>3.426237</v>
      </c>
      <c r="C10085">
        <f>LOG10(1.013378)</f>
        <v>5.7714717108068511E-3</v>
      </c>
      <c r="D10085">
        <f>LOG10(3.426237)</f>
        <v>0.53481740072880968</v>
      </c>
    </row>
    <row r="10086" spans="1:4">
      <c r="A10086">
        <v>1.0092000000000001</v>
      </c>
      <c r="B10086">
        <v>3.383731</v>
      </c>
      <c r="C10086">
        <f>LOG10(1.0092)</f>
        <v>3.9772418455370443E-3</v>
      </c>
      <c r="D10086">
        <f>LOG10(3.383731)</f>
        <v>0.52939583017691583</v>
      </c>
    </row>
    <row r="10087" spans="1:4">
      <c r="A10087">
        <v>1.001733</v>
      </c>
      <c r="B10087">
        <v>3.2131859999999999</v>
      </c>
      <c r="C10087">
        <f>LOG10(1.001733)</f>
        <v>7.5198093369772078E-4</v>
      </c>
      <c r="D10087">
        <f>LOG10(3.213186)</f>
        <v>0.50693586605434715</v>
      </c>
    </row>
    <row r="10088" spans="1:4">
      <c r="A10088">
        <v>1.0138959999999999</v>
      </c>
      <c r="B10088">
        <v>3.1932969999999998</v>
      </c>
      <c r="C10088">
        <f>LOG10(1.013896)</f>
        <v>5.9934096891183525E-3</v>
      </c>
      <c r="D10088">
        <f>LOG10(3.193297)</f>
        <v>0.50423931298436908</v>
      </c>
    </row>
    <row r="10089" spans="1:4">
      <c r="A10089">
        <v>1.0404040000000001</v>
      </c>
      <c r="B10089">
        <v>3.0883409999999998</v>
      </c>
      <c r="C10089">
        <f>LOG10(1.040404)</f>
        <v>1.7202013241816885E-2</v>
      </c>
      <c r="D10089">
        <f>LOG10(3.088341)</f>
        <v>0.48972524705297493</v>
      </c>
    </row>
    <row r="10090" spans="1:4">
      <c r="A10090">
        <v>1.005261</v>
      </c>
      <c r="B10090">
        <v>3.3337080000000001</v>
      </c>
      <c r="C10090">
        <f>LOG10(1.005261)</f>
        <v>2.2788340387273919E-3</v>
      </c>
      <c r="D10090">
        <f>LOG10(3.333708)</f>
        <v>0.52292755723692297</v>
      </c>
    </row>
    <row r="10091" spans="1:4">
      <c r="A10091">
        <v>1.008856</v>
      </c>
      <c r="B10091">
        <v>3.2196859999999998</v>
      </c>
      <c r="C10091">
        <f>LOG10(1.008856)</f>
        <v>3.8291812335205459E-3</v>
      </c>
      <c r="D10091">
        <f>LOG10(3.219686)</f>
        <v>0.50781351917509443</v>
      </c>
    </row>
    <row r="10092" spans="1:4">
      <c r="A10092">
        <v>1.00339</v>
      </c>
      <c r="B10092">
        <v>3.26139</v>
      </c>
      <c r="C10092">
        <f>LOG10(1.00339)</f>
        <v>1.4697684413237687E-3</v>
      </c>
      <c r="D10092">
        <f>LOG10(3.26139)</f>
        <v>0.51340273524279811</v>
      </c>
    </row>
    <row r="10093" spans="1:4">
      <c r="A10093">
        <v>1.007978</v>
      </c>
      <c r="B10093">
        <v>3.1756679999999999</v>
      </c>
      <c r="C10093">
        <f>LOG10(1.007978)</f>
        <v>3.4510533566607378E-3</v>
      </c>
      <c r="D10093">
        <f>LOG10(3.175668)</f>
        <v>0.50183509284048844</v>
      </c>
    </row>
    <row r="10094" spans="1:4">
      <c r="A10094">
        <v>1.01206</v>
      </c>
      <c r="B10094">
        <v>3.3481000000000001</v>
      </c>
      <c r="C10094">
        <f>LOG10(1.01206)</f>
        <v>5.2062604252073527E-3</v>
      </c>
      <c r="D10094">
        <f>LOG10(3.3481)</f>
        <v>0.52479842088622097</v>
      </c>
    </row>
    <row r="10095" spans="1:4">
      <c r="A10095">
        <v>1.0101009999999999</v>
      </c>
      <c r="B10095">
        <v>3.4841600000000001</v>
      </c>
      <c r="C10095">
        <f>LOG10(1.010101)</f>
        <v>4.3648010595052078E-3</v>
      </c>
      <c r="D10095">
        <f>LOG10(3.48416)</f>
        <v>0.54209809051518432</v>
      </c>
    </row>
    <row r="10096" spans="1:4">
      <c r="A10096">
        <v>1.026254</v>
      </c>
      <c r="B10096">
        <v>3.2766799999999998</v>
      </c>
      <c r="C10096">
        <f>LOG10(1.026254)</f>
        <v>1.1254862867611324E-2</v>
      </c>
      <c r="D10096">
        <f>LOG10(3.27668)</f>
        <v>0.51543403032955681</v>
      </c>
    </row>
    <row r="10097" spans="1:4">
      <c r="A10097">
        <v>1.0082819999999999</v>
      </c>
      <c r="B10097">
        <v>3.1890230000000002</v>
      </c>
      <c r="C10097">
        <f>LOG10(1.008282)</f>
        <v>3.5820141687573593E-3</v>
      </c>
      <c r="D10097">
        <f>LOG10(3.189023)</f>
        <v>0.50365765149039199</v>
      </c>
    </row>
    <row r="10098" spans="1:4">
      <c r="A10098">
        <v>1.00122</v>
      </c>
      <c r="B10098">
        <v>3.3083339999999999</v>
      </c>
      <c r="C10098">
        <f>LOG10(1.00122)</f>
        <v>5.295163285991641E-4</v>
      </c>
      <c r="D10098">
        <f>LOG10(3.308334)</f>
        <v>0.51960934823074223</v>
      </c>
    </row>
    <row r="10099" spans="1:4">
      <c r="A10099">
        <v>1.012146</v>
      </c>
      <c r="B10099">
        <v>3.1560899999999998</v>
      </c>
      <c r="C10099">
        <f>LOG10(1.012146)</f>
        <v>5.2431631173900312E-3</v>
      </c>
      <c r="D10099">
        <f>LOG10(3.15609)</f>
        <v>0.49914937918442476</v>
      </c>
    </row>
    <row r="10100" spans="1:4">
      <c r="A10100">
        <v>1.0207200000000001</v>
      </c>
      <c r="B10100">
        <v>3.260821</v>
      </c>
      <c r="C10100">
        <f>LOG10(1.02072)</f>
        <v>8.9066244256293548E-3</v>
      </c>
      <c r="D10100">
        <f>LOG10(3.260821)</f>
        <v>0.51332695923345717</v>
      </c>
    </row>
    <row r="10101" spans="1:4">
      <c r="A10101">
        <v>1.009504</v>
      </c>
      <c r="B10101">
        <v>3.075923</v>
      </c>
      <c r="C10101">
        <f>LOG10(1.009504)</f>
        <v>4.1080441062910193E-3</v>
      </c>
      <c r="D10101">
        <f>LOG10(3.075923)</f>
        <v>0.48797545951246707</v>
      </c>
    </row>
    <row r="10102" spans="1:4">
      <c r="A10102">
        <v>1.006186</v>
      </c>
      <c r="B10102">
        <v>3.1466289999999999</v>
      </c>
      <c r="C10102">
        <f>LOG10(1.006186)</f>
        <v>2.6782702894256136E-3</v>
      </c>
      <c r="D10102">
        <f>LOG10(3.146629)</f>
        <v>0.49784554089512462</v>
      </c>
    </row>
    <row r="10103" spans="1:4">
      <c r="A10103">
        <v>1.018343</v>
      </c>
      <c r="B10103">
        <v>3.1797300000000002</v>
      </c>
      <c r="C10103">
        <f>LOG10(1.018343)</f>
        <v>7.894082438353444E-3</v>
      </c>
      <c r="D10103">
        <f>LOG10(3.17973)</f>
        <v>0.50239024435915169</v>
      </c>
    </row>
    <row r="10104" spans="1:4">
      <c r="A10104">
        <v>1.014472</v>
      </c>
      <c r="B10104">
        <v>3.1166489999999998</v>
      </c>
      <c r="C10104">
        <f>LOG10(1.014472)</f>
        <v>6.240064761866961E-3</v>
      </c>
      <c r="D10104">
        <f>LOG10(3.116649)</f>
        <v>0.49368789436967048</v>
      </c>
    </row>
    <row r="10105" spans="1:4">
      <c r="A10105">
        <v>1.008859</v>
      </c>
      <c r="B10105">
        <v>3.1748560000000001</v>
      </c>
      <c r="C10105">
        <f>LOG10(1.008859)</f>
        <v>3.8304726779967977E-3</v>
      </c>
      <c r="D10105">
        <f>LOG10(3.174856)</f>
        <v>0.50172403204574856</v>
      </c>
    </row>
    <row r="10106" spans="1:4">
      <c r="A10106">
        <v>1.0186679999999999</v>
      </c>
      <c r="B10106">
        <v>3.195811</v>
      </c>
      <c r="C10106">
        <f>LOG10(1.018668)</f>
        <v>8.0326636318925632E-3</v>
      </c>
      <c r="D10106">
        <f>LOG10(3.195811)</f>
        <v>0.50458108726142092</v>
      </c>
    </row>
    <row r="10107" spans="1:4">
      <c r="A10107">
        <v>1.0051810000000001</v>
      </c>
      <c r="B10107">
        <v>3.1912530000000001</v>
      </c>
      <c r="C10107">
        <f>LOG10(1.005181)</f>
        <v>2.2442709341259793E-3</v>
      </c>
      <c r="D10107">
        <f>LOG10(3.191253)</f>
        <v>0.5039612360795479</v>
      </c>
    </row>
    <row r="10108" spans="1:4">
      <c r="A10108">
        <v>1.026831</v>
      </c>
      <c r="B10108">
        <v>3.162328</v>
      </c>
      <c r="C10108">
        <f>LOG10(1.026831)</f>
        <v>1.1498971535937923E-2</v>
      </c>
      <c r="D10108">
        <f>LOG10(3.162328)</f>
        <v>0.50000691341477022</v>
      </c>
    </row>
    <row r="10109" spans="1:4">
      <c r="A10109">
        <v>1.002985</v>
      </c>
      <c r="B10109">
        <v>3.3134459999999999</v>
      </c>
      <c r="C10109">
        <f>LOG10(1.002985)</f>
        <v>1.2944380394200919E-3</v>
      </c>
      <c r="D10109">
        <f>LOG10(3.313446)</f>
        <v>0.52027989718662349</v>
      </c>
    </row>
    <row r="10110" spans="1:4">
      <c r="A10110">
        <v>1.015088</v>
      </c>
      <c r="B10110">
        <v>3.0661</v>
      </c>
      <c r="C10110">
        <f>LOG10(1.015088)</f>
        <v>6.5036937347155242E-3</v>
      </c>
      <c r="D10110">
        <f>LOG10(3.0661)</f>
        <v>0.48658631514326273</v>
      </c>
    </row>
    <row r="10111" spans="1:4">
      <c r="A10111">
        <v>1.0209790000000001</v>
      </c>
      <c r="B10111">
        <v>3.2011889999999998</v>
      </c>
      <c r="C10111">
        <f>LOG10(1.020979)</f>
        <v>9.0168093955160112E-3</v>
      </c>
      <c r="D10111">
        <f>LOG10(3.201189)</f>
        <v>0.5053113158916982</v>
      </c>
    </row>
    <row r="10112" spans="1:4">
      <c r="A10112">
        <v>1.0295449999999999</v>
      </c>
      <c r="B10112">
        <v>3.181956</v>
      </c>
      <c r="C10112">
        <f>LOG10(1.029545)</f>
        <v>1.2645333785108973E-2</v>
      </c>
      <c r="D10112">
        <f>LOG10(3.181956)</f>
        <v>0.50269416993993976</v>
      </c>
    </row>
    <row r="10113" spans="1:4">
      <c r="A10113">
        <v>1.0059070000000001</v>
      </c>
      <c r="B10113">
        <v>3.3789169999999999</v>
      </c>
      <c r="C10113">
        <f>LOG10(1.005907)</f>
        <v>2.557830368181874E-3</v>
      </c>
      <c r="D10113">
        <f>LOG10(3.378917)</f>
        <v>0.52877752385991605</v>
      </c>
    </row>
    <row r="10114" spans="1:4">
      <c r="A10114">
        <v>1.0072179999999999</v>
      </c>
      <c r="B10114">
        <v>3.1545200000000002</v>
      </c>
      <c r="C10114">
        <f>LOG10(1.007218)</f>
        <v>3.1234784489149021E-3</v>
      </c>
      <c r="D10114">
        <f>LOG10(3.15452)</f>
        <v>0.49893328522499597</v>
      </c>
    </row>
    <row r="10115" spans="1:4">
      <c r="A10115">
        <v>1.025741</v>
      </c>
      <c r="B10115">
        <v>3.2048239999999999</v>
      </c>
      <c r="C10115">
        <f>LOG10(1.025741)</f>
        <v>1.1037715093023271E-2</v>
      </c>
      <c r="D10115">
        <f>LOG10(3.204824)</f>
        <v>0.50580418426744223</v>
      </c>
    </row>
    <row r="10116" spans="1:4">
      <c r="A10116">
        <v>1.0047980000000001</v>
      </c>
      <c r="B10116">
        <v>3.2003159999999999</v>
      </c>
      <c r="C10116">
        <f>LOG10(1.004798)</f>
        <v>2.0787619526071613E-3</v>
      </c>
      <c r="D10116">
        <f>LOG10(3.200316)</f>
        <v>0.50519286278260844</v>
      </c>
    </row>
    <row r="10117" spans="1:4">
      <c r="A10117">
        <v>1.009868</v>
      </c>
      <c r="B10117">
        <v>3.3028230000000001</v>
      </c>
      <c r="C10117">
        <f>LOG10(1.009868)</f>
        <v>4.264610794474195E-3</v>
      </c>
      <c r="D10117">
        <f>LOG10(3.302823)</f>
        <v>0.51888530024817625</v>
      </c>
    </row>
    <row r="10118" spans="1:4">
      <c r="A10118">
        <v>1.0103869999999999</v>
      </c>
      <c r="B10118">
        <v>3.4787530000000002</v>
      </c>
      <c r="C10118">
        <f>LOG10(1.010387)</f>
        <v>4.4877497953095232E-3</v>
      </c>
      <c r="D10118">
        <f>LOG10(3.478753)</f>
        <v>0.54142359386826078</v>
      </c>
    </row>
    <row r="10119" spans="1:4">
      <c r="A10119">
        <v>1.0305150000000001</v>
      </c>
      <c r="B10119">
        <v>3.2576960000000001</v>
      </c>
      <c r="C10119">
        <f>LOG10(1.030515)</f>
        <v>1.3054317677402442E-2</v>
      </c>
      <c r="D10119">
        <f>LOG10(3.257696)</f>
        <v>0.51291055459420576</v>
      </c>
    </row>
    <row r="10120" spans="1:4">
      <c r="A10120">
        <v>1.013441</v>
      </c>
      <c r="B10120">
        <v>3.259611</v>
      </c>
      <c r="C10120">
        <f>LOG10(1.013441)</f>
        <v>5.7984702265783923E-3</v>
      </c>
      <c r="D10120">
        <f>LOG10(3.259611)</f>
        <v>0.51316577472018099</v>
      </c>
    </row>
    <row r="10121" spans="1:4">
      <c r="A10121">
        <v>1.0106040000000001</v>
      </c>
      <c r="B10121">
        <v>3.0908880000000001</v>
      </c>
      <c r="C10121">
        <f>LOG10(1.010604)</f>
        <v>4.5810128557934489E-3</v>
      </c>
      <c r="D10121">
        <f>LOG10(3.090888)</f>
        <v>0.49008326845274891</v>
      </c>
    </row>
    <row r="10122" spans="1:4">
      <c r="A10122">
        <v>1.014467</v>
      </c>
      <c r="B10122">
        <v>3.200151</v>
      </c>
      <c r="C10122">
        <f>LOG10(1.014467)</f>
        <v>6.2379242614285201E-3</v>
      </c>
      <c r="D10122">
        <f>LOG10(3.200151)</f>
        <v>0.50517047110727287</v>
      </c>
    </row>
    <row r="10123" spans="1:4">
      <c r="A10123">
        <v>1.0261389999999999</v>
      </c>
      <c r="B10123">
        <v>3.1954660000000001</v>
      </c>
      <c r="C10123">
        <f>LOG10(1.026139)</f>
        <v>1.1206193957250414E-2</v>
      </c>
      <c r="D10123">
        <f>LOG10(3.195466)</f>
        <v>0.50453420098301294</v>
      </c>
    </row>
    <row r="10124" spans="1:4">
      <c r="A10124">
        <v>1.005946</v>
      </c>
      <c r="B10124">
        <v>3.3947479999999999</v>
      </c>
      <c r="C10124">
        <f>LOG10(1.005946)</f>
        <v>2.5746680643717102E-3</v>
      </c>
      <c r="D10124">
        <f>LOG10(3.394748)</f>
        <v>0.53080754112862261</v>
      </c>
    </row>
    <row r="10125" spans="1:4">
      <c r="A10125">
        <v>1.005959</v>
      </c>
      <c r="B10125">
        <v>3.2058200000000001</v>
      </c>
      <c r="C10125">
        <f>LOG10(1.005959)</f>
        <v>2.5802804847045177E-3</v>
      </c>
      <c r="D10125">
        <f>LOG10(3.20582)</f>
        <v>0.50593913398776857</v>
      </c>
    </row>
    <row r="10126" spans="1:4">
      <c r="A10126">
        <v>1.0103409999999999</v>
      </c>
      <c r="B10126">
        <v>3.3283160000000001</v>
      </c>
      <c r="C10126">
        <f>LOG10(1.010341)</f>
        <v>4.4679771726002853E-3</v>
      </c>
      <c r="D10126">
        <f>LOG10(3.328316)</f>
        <v>0.52222455275727786</v>
      </c>
    </row>
    <row r="10127" spans="1:4">
      <c r="A10127">
        <v>1.026683</v>
      </c>
      <c r="B10127">
        <v>3.0623170000000002</v>
      </c>
      <c r="C10127">
        <f>LOG10(1.026683)</f>
        <v>1.1436370956216541E-2</v>
      </c>
      <c r="D10127">
        <f>LOG10(3.062317)</f>
        <v>0.48605014528611451</v>
      </c>
    </row>
    <row r="10128" spans="1:4">
      <c r="A10128">
        <v>1.0067159999999999</v>
      </c>
      <c r="B10128">
        <v>3.1818979999999999</v>
      </c>
      <c r="C10128">
        <f>LOG10(1.006716)</f>
        <v>2.9069710217293995E-3</v>
      </c>
      <c r="D10128">
        <f>LOG10(3.181898)</f>
        <v>0.50268625364269248</v>
      </c>
    </row>
    <row r="10129" spans="1:4">
      <c r="A10129">
        <v>1.01237</v>
      </c>
      <c r="B10129">
        <v>3.2774450000000002</v>
      </c>
      <c r="C10129">
        <f>LOG10(1.01237)</f>
        <v>5.3392670398518007E-3</v>
      </c>
      <c r="D10129">
        <f>LOG10(3.277445)</f>
        <v>0.51553541236916234</v>
      </c>
    </row>
    <row r="10130" spans="1:4">
      <c r="A10130">
        <v>1.0192509999999999</v>
      </c>
      <c r="B10130">
        <v>3.3201510000000001</v>
      </c>
      <c r="C10130">
        <f>LOG10(1.019251)</f>
        <v>8.2811462161922166E-3</v>
      </c>
      <c r="D10130">
        <f>LOG10(3.320151)</f>
        <v>0.52115783580508901</v>
      </c>
    </row>
    <row r="10131" spans="1:4">
      <c r="A10131">
        <v>1.0109429999999999</v>
      </c>
      <c r="B10131">
        <v>3.3108569999999999</v>
      </c>
      <c r="C10131">
        <f>LOG10(1.010943)</f>
        <v>4.7266694551653101E-3</v>
      </c>
      <c r="D10131">
        <f>LOG10(3.310857)</f>
        <v>0.51994042344247327</v>
      </c>
    </row>
    <row r="10132" spans="1:4">
      <c r="A10132">
        <v>1.0037940000000001</v>
      </c>
      <c r="B10132">
        <v>3.5023140000000001</v>
      </c>
      <c r="C10132">
        <f>LOG10(1.003794)</f>
        <v>1.6445954358178601E-3</v>
      </c>
      <c r="D10132">
        <f>LOG10(3.502314)</f>
        <v>0.54435508016949374</v>
      </c>
    </row>
    <row r="10133" spans="1:4">
      <c r="A10133">
        <v>1.0080830000000001</v>
      </c>
      <c r="B10133">
        <v>3.4266740000000002</v>
      </c>
      <c r="C10133">
        <f>LOG10(1.008083)</f>
        <v>3.4962909964356076E-3</v>
      </c>
      <c r="D10133">
        <f>LOG10(3.426674)</f>
        <v>0.53487278936258853</v>
      </c>
    </row>
    <row r="10134" spans="1:4">
      <c r="A10134">
        <v>1.0237780000000001</v>
      </c>
      <c r="B10134">
        <v>3.5016050000000001</v>
      </c>
      <c r="C10134">
        <f>LOG10(1.023778)</f>
        <v>1.0205792745717772E-2</v>
      </c>
      <c r="D10134">
        <f>LOG10(3.501605)</f>
        <v>0.544267153741812</v>
      </c>
    </row>
    <row r="10135" spans="1:4">
      <c r="A10135">
        <v>1.0054019999999999</v>
      </c>
      <c r="B10135">
        <v>3.4063129999999999</v>
      </c>
      <c r="C10135">
        <f>LOG10(1.005402)</f>
        <v>2.3397448149725547E-3</v>
      </c>
      <c r="D10135">
        <f>LOG10(3.406313)</f>
        <v>0.5322845520021755</v>
      </c>
    </row>
    <row r="10136" spans="1:4">
      <c r="A10136">
        <v>1.00444</v>
      </c>
      <c r="B10136">
        <v>3.4811290000000001</v>
      </c>
      <c r="C10136">
        <f>LOG10(1.00444)</f>
        <v>1.9239993747873956E-3</v>
      </c>
      <c r="D10136">
        <f>LOG10(3.481129)</f>
        <v>0.54172011720848079</v>
      </c>
    </row>
    <row r="10137" spans="1:4">
      <c r="A10137">
        <v>1.0184359999999999</v>
      </c>
      <c r="B10137">
        <v>3.3233999999999999</v>
      </c>
      <c r="C10137">
        <f>LOG10(1.018436)</f>
        <v>7.9337424965581164E-3</v>
      </c>
      <c r="D10137">
        <f>LOG10(3.3234)</f>
        <v>0.52158261553032725</v>
      </c>
    </row>
    <row r="10138" spans="1:4">
      <c r="A10138">
        <v>1.0134909999999999</v>
      </c>
      <c r="B10138">
        <v>3.4752000000000001</v>
      </c>
      <c r="C10138">
        <f>LOG10(1.013491)</f>
        <v>5.8198964254834538E-3</v>
      </c>
      <c r="D10138">
        <f>LOG10(3.4752)</f>
        <v>0.54097980357273412</v>
      </c>
    </row>
    <row r="10139" spans="1:4">
      <c r="A10139">
        <v>1.01614</v>
      </c>
      <c r="B10139">
        <v>3.212323</v>
      </c>
      <c r="C10139">
        <f>LOG10(1.01614)</f>
        <v>6.9535475530090214E-3</v>
      </c>
      <c r="D10139">
        <f>LOG10(3.212323)</f>
        <v>0.50681920723708107</v>
      </c>
    </row>
    <row r="10140" spans="1:4">
      <c r="A10140">
        <v>1.0131870000000001</v>
      </c>
      <c r="B10140">
        <v>3.4211710000000002</v>
      </c>
      <c r="C10140">
        <f>LOG10(1.013187)</f>
        <v>5.6896088085174549E-3</v>
      </c>
      <c r="D10140">
        <f>LOG10(3.421171)</f>
        <v>0.53417478201914648</v>
      </c>
    </row>
    <row r="10141" spans="1:4">
      <c r="A10141">
        <v>1.0127429999999999</v>
      </c>
      <c r="B10141">
        <v>3.5154700000000001</v>
      </c>
      <c r="C10141">
        <f>LOG10(1.012743)</f>
        <v>5.4992500566827121E-3</v>
      </c>
      <c r="D10141">
        <f>LOG10(3.51547)</f>
        <v>0.54598339614420788</v>
      </c>
    </row>
    <row r="10142" spans="1:4">
      <c r="A10142">
        <v>1.0068239999999999</v>
      </c>
      <c r="B10142">
        <v>3.4337430000000002</v>
      </c>
      <c r="C10142">
        <f>LOG10(1.006824)</f>
        <v>2.9535594223477424E-3</v>
      </c>
      <c r="D10142">
        <f>LOG10(3.433743)</f>
        <v>0.53576778708039208</v>
      </c>
    </row>
    <row r="10143" spans="1:4">
      <c r="A10143">
        <v>1.003925</v>
      </c>
      <c r="B10143">
        <v>3.4188299999999998</v>
      </c>
      <c r="C10143">
        <f>LOG10(1.003925)</f>
        <v>1.7012692803249959E-3</v>
      </c>
      <c r="D10143">
        <f>LOG10(3.41883)</f>
        <v>0.5338775062082709</v>
      </c>
    </row>
    <row r="10144" spans="1:4">
      <c r="A10144">
        <v>1.0071859999999999</v>
      </c>
      <c r="B10144">
        <v>3.5548760000000001</v>
      </c>
      <c r="C10144">
        <f>LOG10(1.007186)</f>
        <v>3.1096803990479567E-3</v>
      </c>
      <c r="D10144">
        <f>LOG10(3.554876)</f>
        <v>0.55082445641459588</v>
      </c>
    </row>
    <row r="10145" spans="1:4">
      <c r="A10145">
        <v>1.0166569999999999</v>
      </c>
      <c r="B10145">
        <v>3.3542779999999999</v>
      </c>
      <c r="C10145">
        <f>LOG10(1.016657)</f>
        <v>7.1744552501229559E-3</v>
      </c>
      <c r="D10145">
        <f>LOG10(3.354278)</f>
        <v>0.52559905375684857</v>
      </c>
    </row>
    <row r="10146" spans="1:4">
      <c r="A10146">
        <v>1.0063930000000001</v>
      </c>
      <c r="B10146">
        <v>3.5180419999999999</v>
      </c>
      <c r="C10146">
        <f>LOG10(1.006393)</f>
        <v>2.7676073619787999E-3</v>
      </c>
      <c r="D10146">
        <f>LOG10(3.518042)</f>
        <v>0.54630101995923619</v>
      </c>
    </row>
    <row r="10147" spans="1:4">
      <c r="A10147">
        <v>1</v>
      </c>
      <c r="B10147">
        <v>3.1777129999999998</v>
      </c>
      <c r="C10147">
        <f>LOG10(1)</f>
        <v>0</v>
      </c>
      <c r="D10147">
        <f>LOG10(3.177713)</f>
        <v>0.5021146706735079</v>
      </c>
    </row>
    <row r="10148" spans="1:4">
      <c r="A10148">
        <v>1.0066440000000001</v>
      </c>
      <c r="B10148">
        <v>3.6979820000000001</v>
      </c>
      <c r="C10148">
        <f>LOG10(1.006644)</f>
        <v>2.8759093112451358E-3</v>
      </c>
      <c r="D10148">
        <f>LOG10(3.697982)</f>
        <v>0.56796479289138047</v>
      </c>
    </row>
    <row r="10149" spans="1:4">
      <c r="A10149">
        <v>1.003179</v>
      </c>
      <c r="B10149">
        <v>3.5095209999999999</v>
      </c>
      <c r="C10149">
        <f>LOG10(1.003179)</f>
        <v>1.3784322988643521E-3</v>
      </c>
      <c r="D10149">
        <f>LOG10(3.509521)</f>
        <v>0.5452478454536982</v>
      </c>
    </row>
    <row r="10150" spans="1:4">
      <c r="A10150">
        <v>1.0049490000000001</v>
      </c>
      <c r="B10150">
        <v>3.3370630000000001</v>
      </c>
      <c r="C10150">
        <f>LOG10(1.004949)</f>
        <v>2.1440223728399523E-3</v>
      </c>
      <c r="D10150">
        <f>LOG10(3.337063)</f>
        <v>0.52336440572404364</v>
      </c>
    </row>
    <row r="10151" spans="1:4">
      <c r="A10151">
        <v>1.014254</v>
      </c>
      <c r="B10151">
        <v>3.2584599999999999</v>
      </c>
      <c r="C10151">
        <f>LOG10(1.014254)</f>
        <v>6.1467291439280796E-3</v>
      </c>
      <c r="D10151">
        <f>LOG10(3.25846)</f>
        <v>0.51301239407923171</v>
      </c>
    </row>
    <row r="10152" spans="1:4">
      <c r="A10152">
        <v>1.0072099999999999</v>
      </c>
      <c r="B10152">
        <v>3.508826</v>
      </c>
      <c r="C10152">
        <f>LOG10(1.00721)</f>
        <v>3.1200289775461087E-3</v>
      </c>
      <c r="D10152">
        <f>LOG10(3.508826)</f>
        <v>0.54516183241789096</v>
      </c>
    </row>
    <row r="10153" spans="1:4">
      <c r="A10153">
        <v>1.0200629999999999</v>
      </c>
      <c r="B10153">
        <v>3.3369279999999999</v>
      </c>
      <c r="C10153">
        <f>LOG10(1.020063)</f>
        <v>8.6269950045023015E-3</v>
      </c>
      <c r="D10153">
        <f>LOG10(3.336928)</f>
        <v>0.52334683610039112</v>
      </c>
    </row>
    <row r="10154" spans="1:4">
      <c r="A10154">
        <v>1.0197689999999999</v>
      </c>
      <c r="B10154">
        <v>3.5753910000000002</v>
      </c>
      <c r="C10154">
        <f>LOG10(1.019769)</f>
        <v>8.5018056962027026E-3</v>
      </c>
      <c r="D10154">
        <f>LOG10(3.575391)</f>
        <v>0.55332354260060568</v>
      </c>
    </row>
    <row r="10155" spans="1:4">
      <c r="A10155">
        <v>1.017021</v>
      </c>
      <c r="B10155">
        <v>3.5915010000000001</v>
      </c>
      <c r="C10155">
        <f>LOG10(1.017021)</f>
        <v>7.3299205628233107E-3</v>
      </c>
      <c r="D10155">
        <f>LOG10(3.591501)</f>
        <v>0.55527599169216935</v>
      </c>
    </row>
    <row r="10156" spans="1:4">
      <c r="A10156">
        <v>1.021288</v>
      </c>
      <c r="B10156">
        <v>3.5274350000000001</v>
      </c>
      <c r="C10156">
        <f>LOG10(1.021288)</f>
        <v>9.1482290345074758E-3</v>
      </c>
      <c r="D10156">
        <f>LOG10(3.527435)</f>
        <v>0.5474590197612087</v>
      </c>
    </row>
    <row r="10157" spans="1:4">
      <c r="A10157">
        <v>1.0309090000000001</v>
      </c>
      <c r="B10157">
        <v>3.5054720000000001</v>
      </c>
      <c r="C10157">
        <f>LOG10(1.030909)</f>
        <v>1.3220331101087718E-2</v>
      </c>
      <c r="D10157">
        <f>LOG10(3.505472)</f>
        <v>0.54474650252933499</v>
      </c>
    </row>
    <row r="10158" spans="1:4">
      <c r="A10158">
        <v>1.016267</v>
      </c>
      <c r="B10158">
        <v>3.7315849999999999</v>
      </c>
      <c r="C10158">
        <f>LOG10(1.016267)</f>
        <v>7.0078234921034013E-3</v>
      </c>
      <c r="D10158">
        <f>LOG10(3.731585)</f>
        <v>0.57189333865654102</v>
      </c>
    </row>
    <row r="10159" spans="1:4">
      <c r="A10159">
        <v>1.0203409999999999</v>
      </c>
      <c r="B10159">
        <v>3.5160200000000001</v>
      </c>
      <c r="C10159">
        <f>LOG10(1.020341)</f>
        <v>8.7453381039239667E-3</v>
      </c>
      <c r="D10159">
        <f>LOG10(3.51602)</f>
        <v>0.54605133678425255</v>
      </c>
    </row>
    <row r="10160" spans="1:4">
      <c r="A10160">
        <v>1.019449</v>
      </c>
      <c r="B10160">
        <v>3.3843009999999998</v>
      </c>
      <c r="C10160">
        <f>LOG10(1.019449)</f>
        <v>8.365504196951791E-3</v>
      </c>
      <c r="D10160">
        <f>LOG10(3.384301)</f>
        <v>0.52946898227054373</v>
      </c>
    </row>
    <row r="10161" spans="1:4">
      <c r="A10161">
        <v>1.0261169999999999</v>
      </c>
      <c r="B10161">
        <v>3.3773360000000001</v>
      </c>
      <c r="C10161">
        <f>LOG10(1.026117)</f>
        <v>1.1196882761568957E-2</v>
      </c>
      <c r="D10161">
        <f>LOG10(3.377336)</f>
        <v>0.52857426930789686</v>
      </c>
    </row>
    <row r="10162" spans="1:4">
      <c r="A10162">
        <v>1.013018</v>
      </c>
      <c r="B10162">
        <v>3.716936</v>
      </c>
      <c r="C10162">
        <f>LOG10(1.013018)</f>
        <v>5.6171622716548117E-3</v>
      </c>
      <c r="D10162">
        <f>LOG10(3.716936)</f>
        <v>0.57018508326787198</v>
      </c>
    </row>
    <row r="10163" spans="1:4">
      <c r="A10163">
        <v>1.0097419999999999</v>
      </c>
      <c r="B10163">
        <v>3.727182</v>
      </c>
      <c r="C10163">
        <f>LOG10(1.009742)</f>
        <v>4.2104210204179796E-3</v>
      </c>
      <c r="D10163">
        <f>LOG10(3.727182)</f>
        <v>0.57138060006960467</v>
      </c>
    </row>
    <row r="10164" spans="1:4">
      <c r="A10164">
        <v>1.0132509999999999</v>
      </c>
      <c r="B10164">
        <v>3.4642309999999998</v>
      </c>
      <c r="C10164">
        <f>LOG10(1.013251)</f>
        <v>5.7170410288478876E-3</v>
      </c>
      <c r="D10164">
        <f>LOG10(3.464231)</f>
        <v>0.53960684370340239</v>
      </c>
    </row>
    <row r="10165" spans="1:4">
      <c r="A10165">
        <v>1.011004</v>
      </c>
      <c r="B10165">
        <v>3.5198010000000002</v>
      </c>
      <c r="C10165">
        <f>LOG10(1.011004)</f>
        <v>4.7528738644838277E-3</v>
      </c>
      <c r="D10165">
        <f>LOG10(3.519801)</f>
        <v>0.54651811034035858</v>
      </c>
    </row>
    <row r="10166" spans="1:4">
      <c r="A10166">
        <v>1.0059659999999999</v>
      </c>
      <c r="B10166">
        <v>3.6952880000000001</v>
      </c>
      <c r="C10166">
        <f>LOG10(1.005966)</f>
        <v>2.5833025271497158E-3</v>
      </c>
      <c r="D10166">
        <f>LOG10(3.695288)</f>
        <v>0.56764829169880127</v>
      </c>
    </row>
    <row r="10167" spans="1:4">
      <c r="A10167">
        <v>1.0054050000000001</v>
      </c>
      <c r="B10167">
        <v>3.7106059999999998</v>
      </c>
      <c r="C10167">
        <f>LOG10(1.005405)</f>
        <v>2.3410406961245464E-3</v>
      </c>
      <c r="D10167">
        <f>LOG10(3.710606)</f>
        <v>0.56944484248942795</v>
      </c>
    </row>
    <row r="10168" spans="1:4">
      <c r="A10168">
        <v>1.0118929999999999</v>
      </c>
      <c r="B10168">
        <v>3.8907959999999999</v>
      </c>
      <c r="C10168">
        <f>LOG10(1.011893)</f>
        <v>5.1345915883890588E-3</v>
      </c>
      <c r="D10168">
        <f>LOG10(3.890796)</f>
        <v>0.59003846071973398</v>
      </c>
    </row>
    <row r="10169" spans="1:4">
      <c r="A10169">
        <v>1.0051620000000001</v>
      </c>
      <c r="B10169">
        <v>3.459727</v>
      </c>
      <c r="C10169">
        <f>LOG10(1.005162)</f>
        <v>2.2360617925452604E-3</v>
      </c>
      <c r="D10169">
        <f>LOG10(3.459727)</f>
        <v>0.53904183085312496</v>
      </c>
    </row>
    <row r="10170" spans="1:4">
      <c r="A10170">
        <v>1.001096</v>
      </c>
      <c r="B10170">
        <v>3.525417</v>
      </c>
      <c r="C10170">
        <f>LOG10(1.001096)</f>
        <v>4.7572610185687931E-4</v>
      </c>
      <c r="D10170">
        <f>LOG10(3.525417)</f>
        <v>0.5472104944019931</v>
      </c>
    </row>
    <row r="10171" spans="1:4">
      <c r="A10171">
        <v>1.0006440000000001</v>
      </c>
      <c r="B10171">
        <v>3.455406</v>
      </c>
      <c r="C10171">
        <f>LOG10(1.000644)</f>
        <v>2.7959562621417919E-4</v>
      </c>
      <c r="D10171">
        <f>LOG10(3.455406)</f>
        <v>0.53849908302729343</v>
      </c>
    </row>
    <row r="10172" spans="1:4">
      <c r="A10172">
        <v>1.0062070000000001</v>
      </c>
      <c r="B10172">
        <v>3.7291690000000002</v>
      </c>
      <c r="C10172">
        <f>LOG10(1.006207)</f>
        <v>2.6873343083526529E-3</v>
      </c>
      <c r="D10172">
        <f>LOG10(3.729169)</f>
        <v>0.5716120653415504</v>
      </c>
    </row>
    <row r="10173" spans="1:4">
      <c r="A10173">
        <v>1.0024390000000001</v>
      </c>
      <c r="B10173">
        <v>3.6318320000000002</v>
      </c>
      <c r="C10173">
        <f>LOG10(1.002439)</f>
        <v>1.0579545895579021E-3</v>
      </c>
      <c r="D10173">
        <f>LOG10(3.631832)</f>
        <v>0.56012575087315364</v>
      </c>
    </row>
    <row r="10174" spans="1:4">
      <c r="A10174">
        <v>1.0019439999999999</v>
      </c>
      <c r="B10174">
        <v>3.6013470000000001</v>
      </c>
      <c r="C10174">
        <f>LOG10(1.001944)</f>
        <v>8.4344890585121696E-4</v>
      </c>
      <c r="D10174">
        <f>LOG10(3.601347)</f>
        <v>0.55646496889274943</v>
      </c>
    </row>
    <row r="10175" spans="1:4">
      <c r="A10175">
        <v>1.010324</v>
      </c>
      <c r="B10175">
        <v>3.6046279999999999</v>
      </c>
      <c r="C10175">
        <f>LOG10(1.010324)</f>
        <v>4.4606696711663512E-3</v>
      </c>
      <c r="D10175">
        <f>LOG10(3.604628)</f>
        <v>0.55686045188945499</v>
      </c>
    </row>
    <row r="10176" spans="1:4">
      <c r="A10176">
        <v>1.0093300000000001</v>
      </c>
      <c r="B10176">
        <v>3.301736</v>
      </c>
      <c r="C10176">
        <f>LOG10(1.00933)</f>
        <v>4.0331818441751285E-3</v>
      </c>
      <c r="D10176">
        <f>LOG10(3.301736)</f>
        <v>0.51874234502403749</v>
      </c>
    </row>
    <row r="10177" spans="1:4">
      <c r="A10177">
        <v>1.004141</v>
      </c>
      <c r="B10177">
        <v>3.9342239999999999</v>
      </c>
      <c r="C10177">
        <f>LOG10(1.004141)</f>
        <v>1.7947000823533151E-3</v>
      </c>
      <c r="D10177">
        <f>LOG10(3.934224)</f>
        <v>0.59485908339075522</v>
      </c>
    </row>
    <row r="10178" spans="1:4">
      <c r="A10178">
        <v>1.0021949999999999</v>
      </c>
      <c r="B10178">
        <v>3.8943829999999999</v>
      </c>
      <c r="C10178">
        <f>LOG10(1.002195)</f>
        <v>9.5223169539591012E-4</v>
      </c>
      <c r="D10178">
        <f>LOG10(3.894383)</f>
        <v>0.59043866074514695</v>
      </c>
    </row>
    <row r="10179" spans="1:4">
      <c r="A10179">
        <v>1.003978</v>
      </c>
      <c r="B10179">
        <v>3.5186060000000001</v>
      </c>
      <c r="C10179">
        <f>LOG10(1.003978)</f>
        <v>1.7241962917854629E-3</v>
      </c>
      <c r="D10179">
        <f>LOG10(3.518606)</f>
        <v>0.54637063892790372</v>
      </c>
    </row>
    <row r="10180" spans="1:4">
      <c r="A10180">
        <v>1.012974</v>
      </c>
      <c r="B10180">
        <v>3.5085250000000001</v>
      </c>
      <c r="C10180">
        <f>LOG10(1.012974)</f>
        <v>5.5982984684347422E-3</v>
      </c>
      <c r="D10180">
        <f>LOG10(3.508525)</f>
        <v>0.54512457544182313</v>
      </c>
    </row>
    <row r="10181" spans="1:4">
      <c r="A10181">
        <v>1.005012</v>
      </c>
      <c r="B10181">
        <v>3.6364920000000001</v>
      </c>
      <c r="C10181">
        <f>LOG10(1.005012)</f>
        <v>2.1712473313031579E-3</v>
      </c>
      <c r="D10181">
        <f>LOG10(3.636492)</f>
        <v>0.56068263649436989</v>
      </c>
    </row>
    <row r="10182" spans="1:4">
      <c r="A10182">
        <v>1.0129980000000001</v>
      </c>
      <c r="B10182">
        <v>3.4411550000000002</v>
      </c>
      <c r="C10182">
        <f>LOG10(1.012998)</f>
        <v>5.6085879172190056E-3</v>
      </c>
      <c r="D10182">
        <f>LOG10(3.441155)</f>
        <v>0.53670423499483955</v>
      </c>
    </row>
    <row r="10183" spans="1:4">
      <c r="A10183">
        <v>1.0157670000000001</v>
      </c>
      <c r="B10183">
        <v>3.5688179999999998</v>
      </c>
      <c r="C10183">
        <f>LOG10(1.015767)</f>
        <v>6.7940994645192239E-3</v>
      </c>
      <c r="D10183">
        <f>LOG10(3.568818)</f>
        <v>0.5525244006844009</v>
      </c>
    </row>
    <row r="10184" spans="1:4">
      <c r="A10184">
        <v>1.0041359999999999</v>
      </c>
      <c r="B10184">
        <v>3.6415950000000001</v>
      </c>
      <c r="C10184">
        <f>LOG10(1.004136)</f>
        <v>1.7925375595444248E-3</v>
      </c>
      <c r="D10184">
        <f>LOG10(3.641595)</f>
        <v>0.56129164408230292</v>
      </c>
    </row>
    <row r="10185" spans="1:4">
      <c r="A10185">
        <v>1.001647</v>
      </c>
      <c r="B10185">
        <v>3.7690299999999999</v>
      </c>
      <c r="C10185">
        <f>LOG10(1.001647)</f>
        <v>7.1469462209768997E-4</v>
      </c>
      <c r="D10185">
        <f>LOG10(3.76903)</f>
        <v>0.57622959427704057</v>
      </c>
    </row>
    <row r="10186" spans="1:4">
      <c r="A10186">
        <v>1.022977</v>
      </c>
      <c r="B10186">
        <v>3.7049919999999998</v>
      </c>
      <c r="C10186">
        <f>LOG10(1.022977)</f>
        <v>9.8658694058319975E-3</v>
      </c>
      <c r="D10186">
        <f>LOG10(3.704992)</f>
        <v>0.56878727456646538</v>
      </c>
    </row>
    <row r="10187" spans="1:4">
      <c r="A10187">
        <v>1.0218370000000001</v>
      </c>
      <c r="B10187">
        <v>3.9490850000000002</v>
      </c>
      <c r="C10187">
        <f>LOG10(1.021837)</f>
        <v>9.3816241290840038E-3</v>
      </c>
      <c r="D10187">
        <f>LOG10(3.949085)</f>
        <v>0.59649648157996782</v>
      </c>
    </row>
    <row r="10188" spans="1:4">
      <c r="A10188">
        <v>1.0085040000000001</v>
      </c>
      <c r="B10188">
        <v>3.4698020000000001</v>
      </c>
      <c r="C10188">
        <f>LOG10(1.008504)</f>
        <v>3.6776250817367232E-3</v>
      </c>
      <c r="D10188">
        <f>LOG10(3.469802)</f>
        <v>0.54030469301541673</v>
      </c>
    </row>
    <row r="10189" spans="1:4">
      <c r="A10189">
        <v>1.0070809999999999</v>
      </c>
      <c r="B10189">
        <v>3.5757409999999998</v>
      </c>
      <c r="C10189">
        <f>LOG10(1.007081)</f>
        <v>3.0644024685241925E-3</v>
      </c>
      <c r="D10189">
        <f>LOG10(3.575741)</f>
        <v>0.5533660542110157</v>
      </c>
    </row>
    <row r="10190" spans="1:4">
      <c r="A10190">
        <v>1.0057160000000001</v>
      </c>
      <c r="B10190">
        <v>3.9032019999999998</v>
      </c>
      <c r="C10190">
        <f>LOG10(1.005716)</f>
        <v>2.475359401909552E-3</v>
      </c>
      <c r="D10190">
        <f>LOG10(3.903202)</f>
        <v>0.59142102763668092</v>
      </c>
    </row>
    <row r="10191" spans="1:4">
      <c r="A10191">
        <v>1.009714</v>
      </c>
      <c r="B10191">
        <v>3.5731869999999999</v>
      </c>
      <c r="C10191">
        <f>LOG10(1.009714)</f>
        <v>4.198377930106495E-3</v>
      </c>
      <c r="D10191">
        <f>LOG10(3.573187)</f>
        <v>0.55305574526568291</v>
      </c>
    </row>
    <row r="10192" spans="1:4">
      <c r="A10192">
        <v>1.015091</v>
      </c>
      <c r="B10192">
        <v>3.4516170000000002</v>
      </c>
      <c r="C10192">
        <f>LOG10(1.015091)</f>
        <v>6.5049772505490541E-3</v>
      </c>
      <c r="D10192">
        <f>LOG10(3.451617)</f>
        <v>0.53802259932165164</v>
      </c>
    </row>
    <row r="10193" spans="1:4">
      <c r="A10193">
        <v>1.0129870000000001</v>
      </c>
      <c r="B10193">
        <v>3.517795</v>
      </c>
      <c r="C10193">
        <f>LOG10(1.012987)</f>
        <v>5.6038719501205567E-3</v>
      </c>
      <c r="D10193">
        <f>LOG10(3.517795)</f>
        <v>0.5462705272866305</v>
      </c>
    </row>
    <row r="10194" spans="1:4">
      <c r="A10194">
        <v>1.005641</v>
      </c>
      <c r="B10194">
        <v>3.4647199999999998</v>
      </c>
      <c r="C10194">
        <f>LOG10(1.005641)</f>
        <v>2.4429712319746664E-3</v>
      </c>
      <c r="D10194">
        <f>LOG10(3.46472)</f>
        <v>0.53966814302620125</v>
      </c>
    </row>
    <row r="10195" spans="1:4">
      <c r="A10195">
        <v>1.0022599999999999</v>
      </c>
      <c r="B10195">
        <v>3.6670560000000001</v>
      </c>
      <c r="C10195">
        <f>LOG10(1.00226)</f>
        <v>9.8039809607200251E-4</v>
      </c>
      <c r="D10195">
        <f>LOG10(3.667056)</f>
        <v>0.56431754216820706</v>
      </c>
    </row>
    <row r="10196" spans="1:4">
      <c r="A10196">
        <v>1.000402</v>
      </c>
      <c r="B10196">
        <v>3.5743670000000001</v>
      </c>
      <c r="C10196">
        <f>LOG10(1.000402)</f>
        <v>1.7455129926417096E-4</v>
      </c>
      <c r="D10196">
        <f>LOG10(3.574367)</f>
        <v>0.55319914187193497</v>
      </c>
    </row>
    <row r="10197" spans="1:4">
      <c r="A10197">
        <v>1</v>
      </c>
      <c r="B10197">
        <v>3.4456639999999998</v>
      </c>
      <c r="C10197">
        <f>LOG10(1)</f>
        <v>0</v>
      </c>
      <c r="D10197">
        <f>LOG10(3.445664)</f>
        <v>0.53727292544502092</v>
      </c>
    </row>
    <row r="10198" spans="1:4">
      <c r="A10198">
        <v>1.0104610000000001</v>
      </c>
      <c r="B10198">
        <v>3.5229020000000002</v>
      </c>
      <c r="C10198">
        <f>LOG10(1.010461)</f>
        <v>4.5195560387036446E-3</v>
      </c>
      <c r="D10198">
        <f>LOG10(3.522902)</f>
        <v>0.54690056215620719</v>
      </c>
    </row>
    <row r="10199" spans="1:4">
      <c r="A10199">
        <v>1.002553</v>
      </c>
      <c r="B10199">
        <v>3.2963870000000002</v>
      </c>
      <c r="C10199">
        <f>LOG10(1.002553)</f>
        <v>1.1073408923364669E-3</v>
      </c>
      <c r="D10199">
        <f>LOG10(3.296387)</f>
        <v>0.51803819273933183</v>
      </c>
    </row>
    <row r="10200" spans="1:4">
      <c r="A10200">
        <v>1.021787</v>
      </c>
      <c r="B10200">
        <v>3.4759890000000002</v>
      </c>
      <c r="C10200">
        <f>LOG10(1.021787)</f>
        <v>9.3603729360078412E-3</v>
      </c>
      <c r="D10200">
        <f>LOG10(3.475989)</f>
        <v>0.541078393424828</v>
      </c>
    </row>
    <row r="10201" spans="1:4">
      <c r="A10201">
        <v>1.002796</v>
      </c>
      <c r="B10201">
        <v>3.45797</v>
      </c>
      <c r="C10201">
        <f>LOG10(1.002796)</f>
        <v>1.2125929553130608E-3</v>
      </c>
      <c r="D10201">
        <f>LOG10(3.45797)</f>
        <v>0.53882122118458575</v>
      </c>
    </row>
    <row r="10202" spans="1:4">
      <c r="A10202">
        <v>1.0020640000000001</v>
      </c>
      <c r="B10202">
        <v>3.4363009999999998</v>
      </c>
      <c r="C10202">
        <f>LOG10(1.002064)</f>
        <v>8.9546001348225518E-4</v>
      </c>
      <c r="D10202">
        <f>LOG10(3.436301)</f>
        <v>0.53609119849844034</v>
      </c>
    </row>
    <row r="10203" spans="1:4">
      <c r="A10203">
        <v>1.0045869999999999</v>
      </c>
      <c r="B10203">
        <v>3.4410729999999998</v>
      </c>
      <c r="C10203">
        <f>LOG10(1.004587)</f>
        <v>1.987553810794144E-3</v>
      </c>
      <c r="D10203">
        <f>LOG10(3.441073)</f>
        <v>0.5366938859777719</v>
      </c>
    </row>
    <row r="10204" spans="1:4">
      <c r="A10204">
        <v>1.005376</v>
      </c>
      <c r="B10204">
        <v>3.4905469999999998</v>
      </c>
      <c r="C10204">
        <f>LOG10(1.005376)</f>
        <v>2.3285136830126342E-3</v>
      </c>
      <c r="D10204">
        <f>LOG10(3.490547)</f>
        <v>0.54289349013018562</v>
      </c>
    </row>
    <row r="10205" spans="1:4">
      <c r="A10205">
        <v>1.0037039999999999</v>
      </c>
      <c r="B10205">
        <v>3.650029</v>
      </c>
      <c r="C10205">
        <f>LOG10(1.003704)</f>
        <v>1.6056549204125719E-3</v>
      </c>
      <c r="D10205">
        <f>LOG10(3.650029)</f>
        <v>0.56229631500166444</v>
      </c>
    </row>
    <row r="10206" spans="1:4">
      <c r="A10206">
        <v>1.0025999999999999</v>
      </c>
      <c r="B10206">
        <v>3.2145579999999998</v>
      </c>
      <c r="C10206">
        <f>LOG10(1.0026)</f>
        <v>1.1277002770349424E-3</v>
      </c>
      <c r="D10206">
        <f>LOG10(3.214558)</f>
        <v>0.50712126610706243</v>
      </c>
    </row>
    <row r="10207" spans="1:4">
      <c r="A10207">
        <v>1.0099590000000001</v>
      </c>
      <c r="B10207">
        <v>3.4285559999999999</v>
      </c>
      <c r="C10207">
        <f>LOG10(1.009959)</f>
        <v>4.3037436488027724E-3</v>
      </c>
      <c r="D10207">
        <f>LOG10(3.428556)</f>
        <v>0.53511124736778337</v>
      </c>
    </row>
    <row r="10208" spans="1:4">
      <c r="A10208">
        <v>1.002766</v>
      </c>
      <c r="B10208">
        <v>3.4641609999999998</v>
      </c>
      <c r="C10208">
        <f>LOG10(1.002766)</f>
        <v>1.1996002535585818E-3</v>
      </c>
      <c r="D10208">
        <f>LOG10(3.464161)</f>
        <v>0.53959806804124755</v>
      </c>
    </row>
    <row r="10209" spans="1:4">
      <c r="A10209">
        <v>1.0048239999999999</v>
      </c>
      <c r="B10209">
        <v>3.4859580000000001</v>
      </c>
      <c r="C10209">
        <f>LOG10(1.004824)</f>
        <v>2.0899995450798289E-3</v>
      </c>
      <c r="D10209">
        <f>LOG10(3.485958)</f>
        <v>0.54232215027881592</v>
      </c>
    </row>
    <row r="10210" spans="1:4">
      <c r="A10210">
        <v>1.001493</v>
      </c>
      <c r="B10210">
        <v>3.505341</v>
      </c>
      <c r="C10210">
        <f>LOG10(1.001493)</f>
        <v>6.4791811087544775E-4</v>
      </c>
      <c r="D10210">
        <f>LOG10(3.505341)</f>
        <v>0.54473027257793394</v>
      </c>
    </row>
    <row r="10211" spans="1:4">
      <c r="A10211">
        <v>1.0070749999999999</v>
      </c>
      <c r="B10211">
        <v>3.5071560000000002</v>
      </c>
      <c r="C10211">
        <f>LOG10(1.007075)</f>
        <v>3.0618150156244113E-3</v>
      </c>
      <c r="D10211">
        <f>LOG10(3.507156)</f>
        <v>0.54495508394035042</v>
      </c>
    </row>
    <row r="10212" spans="1:4">
      <c r="A10212">
        <v>1.0035780000000001</v>
      </c>
      <c r="B10212">
        <v>3.3946710000000002</v>
      </c>
      <c r="C10212">
        <f>LOG10(1.003578)</f>
        <v>1.551132332364041E-3</v>
      </c>
      <c r="D10212">
        <f>LOG10(3.394671)</f>
        <v>0.53079769030777679</v>
      </c>
    </row>
    <row r="10213" spans="1:4">
      <c r="A10213">
        <v>1.003001</v>
      </c>
      <c r="B10213">
        <v>3.2976030000000001</v>
      </c>
      <c r="C10213">
        <f>LOG10(1.003001)</f>
        <v>1.3013660156976994E-3</v>
      </c>
      <c r="D10213">
        <f>LOG10(3.297603)</f>
        <v>0.51819836953546916</v>
      </c>
    </row>
    <row r="10214" spans="1:4">
      <c r="A10214">
        <v>1.00787</v>
      </c>
      <c r="B10214">
        <v>3.4342410000000001</v>
      </c>
      <c r="C10214">
        <f>LOG10(1.00787)</f>
        <v>3.404518296387913E-3</v>
      </c>
      <c r="D10214">
        <f>LOG10(3.434241)</f>
        <v>0.53583076877993208</v>
      </c>
    </row>
    <row r="10215" spans="1:4">
      <c r="A10215">
        <v>1.001714</v>
      </c>
      <c r="B10215">
        <v>3.188987</v>
      </c>
      <c r="C10215">
        <f>LOG10(1.001714)</f>
        <v>7.4374353569677009E-4</v>
      </c>
      <c r="D10215">
        <f>LOG10(3.188987)</f>
        <v>0.50365274883224354</v>
      </c>
    </row>
    <row r="10216" spans="1:4">
      <c r="A10216">
        <v>1.0015369999999999</v>
      </c>
      <c r="B10216">
        <v>3.4282560000000002</v>
      </c>
      <c r="C10216">
        <f>LOG10(1.001537)</f>
        <v>6.6699816180507696E-4</v>
      </c>
      <c r="D10216">
        <f>LOG10(3.428256)</f>
        <v>0.53507324476696716</v>
      </c>
    </row>
    <row r="10217" spans="1:4">
      <c r="A10217">
        <v>1.0031589999999999</v>
      </c>
      <c r="B10217">
        <v>3.1820439999999999</v>
      </c>
      <c r="C10217">
        <f>LOG10(1.003159)</f>
        <v>1.3697738478571841E-3</v>
      </c>
      <c r="D10217">
        <f>LOG10(3.182044)</f>
        <v>0.50270618059814531</v>
      </c>
    </row>
    <row r="10218" spans="1:4">
      <c r="A10218">
        <v>1.004194</v>
      </c>
      <c r="B10218">
        <v>3.2798620000000001</v>
      </c>
      <c r="C10218">
        <f>LOG10(1.004194)</f>
        <v>1.817622162132088E-3</v>
      </c>
      <c r="D10218">
        <f>LOG10(3.279862)</f>
        <v>0.5158555711813998</v>
      </c>
    </row>
    <row r="10219" spans="1:4">
      <c r="A10219">
        <v>1.0072920000000001</v>
      </c>
      <c r="B10219">
        <v>3.2224379999999999</v>
      </c>
      <c r="C10219">
        <f>LOG10(1.007292)</f>
        <v>3.1553847603011465E-3</v>
      </c>
      <c r="D10219">
        <f>LOG10(3.222438)</f>
        <v>0.50818457024051955</v>
      </c>
    </row>
    <row r="10220" spans="1:4">
      <c r="A10220">
        <v>1.002151</v>
      </c>
      <c r="B10220">
        <v>3.352814</v>
      </c>
      <c r="C10220">
        <f>LOG10(1.002151)</f>
        <v>9.3316417191764494E-4</v>
      </c>
      <c r="D10220">
        <f>LOG10(3.352814)</f>
        <v>0.52540946126829946</v>
      </c>
    </row>
    <row r="10221" spans="1:4">
      <c r="A10221">
        <v>1.0057659999999999</v>
      </c>
      <c r="B10221">
        <v>3.3495539999999999</v>
      </c>
      <c r="C10221">
        <f>LOG10(1.005766)</f>
        <v>2.4969501733900666E-3</v>
      </c>
      <c r="D10221">
        <f>LOG10(3.349554)</f>
        <v>0.5249869836834653</v>
      </c>
    </row>
    <row r="10222" spans="1:4">
      <c r="A10222">
        <v>1.0101819999999999</v>
      </c>
      <c r="B10222">
        <v>3.2047490000000001</v>
      </c>
      <c r="C10222">
        <f>LOG10(1.010182)</f>
        <v>4.3996257380804482E-3</v>
      </c>
      <c r="D10222">
        <f>LOG10(3.204749)</f>
        <v>0.50579402069300616</v>
      </c>
    </row>
    <row r="10223" spans="1:4">
      <c r="A10223">
        <v>1.007366</v>
      </c>
      <c r="B10223">
        <v>3.1606380000000001</v>
      </c>
      <c r="C10223">
        <f>LOG10(1.007366)</f>
        <v>3.1872887277986112E-3</v>
      </c>
      <c r="D10223">
        <f>LOG10(3.160638)</f>
        <v>0.49977475727415704</v>
      </c>
    </row>
    <row r="10224" spans="1:4">
      <c r="A10224">
        <v>1.0056689999999999</v>
      </c>
      <c r="B10224">
        <v>3.1480999999999999</v>
      </c>
      <c r="C10224">
        <f>LOG10(1.005669)</f>
        <v>2.4550630979665233E-3</v>
      </c>
      <c r="D10224">
        <f>LOG10(3.1481)</f>
        <v>0.49804851935361227</v>
      </c>
    </row>
    <row r="10225" spans="1:4">
      <c r="A10225">
        <v>1.004435</v>
      </c>
      <c r="B10225">
        <v>3.2085319999999999</v>
      </c>
      <c r="C10225">
        <f>LOG10(1.004435)</f>
        <v>1.9218374957162389E-3</v>
      </c>
      <c r="D10225">
        <f>LOG10(3.208532)</f>
        <v>0.50630637504504261</v>
      </c>
    </row>
    <row r="10226" spans="1:4">
      <c r="A10226">
        <v>1.0047980000000001</v>
      </c>
      <c r="B10226">
        <v>3.1157240000000002</v>
      </c>
      <c r="C10226">
        <f>LOG10(1.004798)</f>
        <v>2.0787619526071613E-3</v>
      </c>
      <c r="D10226">
        <f>LOG10(3.115724)</f>
        <v>0.49355897962123996</v>
      </c>
    </row>
    <row r="10227" spans="1:4">
      <c r="A10227">
        <v>1.001938</v>
      </c>
      <c r="B10227">
        <v>3.246</v>
      </c>
      <c r="C10227">
        <f>LOG10(1.001938)</f>
        <v>8.4084818695518836E-4</v>
      </c>
      <c r="D10227">
        <f>LOG10(3.246)</f>
        <v>0.5113485154902131</v>
      </c>
    </row>
    <row r="10228" spans="1:4">
      <c r="A10228">
        <v>1.0035829999999999</v>
      </c>
      <c r="B10228">
        <v>3.0258349999999998</v>
      </c>
      <c r="C10228">
        <f>LOG10(1.003583)</f>
        <v>1.5532960575554318E-3</v>
      </c>
      <c r="D10228">
        <f>LOG10(3.025835)</f>
        <v>0.48084524208000845</v>
      </c>
    </row>
    <row r="10229" spans="1:4">
      <c r="A10229">
        <v>1.0083679999999999</v>
      </c>
      <c r="B10229">
        <v>3.2422029999999999</v>
      </c>
      <c r="C10229">
        <f>LOG10(1.008368)</f>
        <v>3.6190551282360333E-3</v>
      </c>
      <c r="D10229">
        <f>LOG10(3.242203)</f>
        <v>0.51084020330083268</v>
      </c>
    </row>
    <row r="10230" spans="1:4">
      <c r="A10230">
        <v>1.007738</v>
      </c>
      <c r="B10230">
        <v>3.297247</v>
      </c>
      <c r="C10230">
        <f>LOG10(1.007738)</f>
        <v>3.3476353392918978E-3</v>
      </c>
      <c r="D10230">
        <f>LOG10(3.297247)</f>
        <v>0.51815148178648085</v>
      </c>
    </row>
    <row r="10231" spans="1:4">
      <c r="A10231">
        <v>1.0006489999999999</v>
      </c>
      <c r="B10231">
        <v>3.2958750000000001</v>
      </c>
      <c r="C10231">
        <f>LOG10(1.000649)</f>
        <v>2.8176569567371217E-4</v>
      </c>
      <c r="D10231">
        <f>LOG10(3.295875)</f>
        <v>0.51797073219993528</v>
      </c>
    </row>
    <row r="10232" spans="1:4">
      <c r="A10232">
        <v>1.00267</v>
      </c>
      <c r="B10232">
        <v>3.1191970000000002</v>
      </c>
      <c r="C10232">
        <f>LOG10(1.00267)</f>
        <v>1.158020995686877E-3</v>
      </c>
      <c r="D10232">
        <f>LOG10(3.119197)</f>
        <v>0.49404280448177845</v>
      </c>
    </row>
    <row r="10233" spans="1:4">
      <c r="A10233">
        <v>1.0103169999999999</v>
      </c>
      <c r="B10233">
        <v>2.915667</v>
      </c>
      <c r="C10233">
        <f>LOG10(1.010317)</f>
        <v>4.457660664248869E-3</v>
      </c>
      <c r="D10233">
        <f>LOG10(2.915667)</f>
        <v>0.46473792145638643</v>
      </c>
    </row>
    <row r="10234" spans="1:4">
      <c r="A10234">
        <v>1.003633</v>
      </c>
      <c r="B10234">
        <v>3.0013610000000002</v>
      </c>
      <c r="C10234">
        <f>LOG10(1.003633)</f>
        <v>1.5749327165893372E-3</v>
      </c>
      <c r="D10234">
        <f>LOG10(3.001361)</f>
        <v>0.47731823497130982</v>
      </c>
    </row>
    <row r="10235" spans="1:4">
      <c r="A10235">
        <v>1.002297</v>
      </c>
      <c r="B10235">
        <v>3.2096490000000002</v>
      </c>
      <c r="C10235">
        <f>LOG10(1.002297)</f>
        <v>9.9643046215814853E-4</v>
      </c>
      <c r="D10235">
        <f>LOG10(3.209649)</f>
        <v>0.50645754153323719</v>
      </c>
    </row>
    <row r="10236" spans="1:4">
      <c r="A10236">
        <v>1.0032859999999999</v>
      </c>
      <c r="B10236">
        <v>3.2292679999999998</v>
      </c>
      <c r="C10236">
        <f>LOG10(1.003286)</f>
        <v>1.4247520797801782E-3</v>
      </c>
      <c r="D10236">
        <f>LOG10(3.229268)</f>
        <v>0.50910408902190618</v>
      </c>
    </row>
    <row r="10237" spans="1:4">
      <c r="A10237">
        <v>1.0072049999999999</v>
      </c>
      <c r="B10237">
        <v>3.1748370000000001</v>
      </c>
      <c r="C10237">
        <f>LOG10(1.007205)</f>
        <v>3.1178730440274095E-3</v>
      </c>
      <c r="D10237">
        <f>LOG10(3.174837)</f>
        <v>0.50172143299248528</v>
      </c>
    </row>
    <row r="10238" spans="1:4">
      <c r="A10238">
        <v>1.0128649999999999</v>
      </c>
      <c r="B10238">
        <v>3.0351889999999999</v>
      </c>
      <c r="C10238">
        <f>LOG10(1.012865)</f>
        <v>5.5515641538389678E-3</v>
      </c>
      <c r="D10238">
        <f>LOG10(3.035189)</f>
        <v>0.48218573959626182</v>
      </c>
    </row>
    <row r="10239" spans="1:4">
      <c r="A10239">
        <v>1.0083359999999999</v>
      </c>
      <c r="B10239">
        <v>3.4257240000000002</v>
      </c>
      <c r="C10239">
        <f>LOG10(1.008336)</f>
        <v>3.6052728146966301E-3</v>
      </c>
      <c r="D10239">
        <f>LOG10(3.425724)</f>
        <v>0.53475237027413181</v>
      </c>
    </row>
    <row r="10240" spans="1:4">
      <c r="A10240">
        <v>1.0026029999999999</v>
      </c>
      <c r="B10240">
        <v>3.231331</v>
      </c>
      <c r="C10240">
        <f>LOG10(1.002603)</f>
        <v>1.1289997798241364E-3</v>
      </c>
      <c r="D10240">
        <f>LOG10(3.231331)</f>
        <v>0.50938144706459498</v>
      </c>
    </row>
    <row r="10241" spans="1:4">
      <c r="A10241">
        <v>1.018124</v>
      </c>
      <c r="B10241">
        <v>3.0861890000000001</v>
      </c>
      <c r="C10241">
        <f>LOG10(1.018124)</f>
        <v>7.8006750893480931E-3</v>
      </c>
      <c r="D10241">
        <f>LOG10(3.086189)</f>
        <v>0.48942251898690403</v>
      </c>
    </row>
    <row r="10242" spans="1:4">
      <c r="A10242">
        <v>1.0063200000000001</v>
      </c>
      <c r="B10242">
        <v>3.0901930000000002</v>
      </c>
      <c r="C10242">
        <f>LOG10(1.00632)</f>
        <v>2.7361041151742782E-3</v>
      </c>
      <c r="D10242">
        <f>LOG10(3.090193)</f>
        <v>0.48998560441430816</v>
      </c>
    </row>
    <row r="10243" spans="1:4">
      <c r="A10243">
        <v>1.0014529999999999</v>
      </c>
      <c r="B10243">
        <v>3.06209</v>
      </c>
      <c r="C10243">
        <f>LOG10(1.001453)</f>
        <v>6.3057188259125346E-4</v>
      </c>
      <c r="D10243">
        <f>LOG10(3.06209)</f>
        <v>0.48601795119860947</v>
      </c>
    </row>
    <row r="10244" spans="1:4">
      <c r="A10244">
        <v>1.0041359999999999</v>
      </c>
      <c r="B10244">
        <v>3.0974089999999999</v>
      </c>
      <c r="C10244">
        <f>LOG10(1.004136)</f>
        <v>1.7925375595444248E-3</v>
      </c>
      <c r="D10244">
        <f>LOG10(3.097409)</f>
        <v>0.49099855592674641</v>
      </c>
    </row>
    <row r="10245" spans="1:4">
      <c r="A10245">
        <v>1.0210429999999999</v>
      </c>
      <c r="B10245">
        <v>3.0290539999999999</v>
      </c>
      <c r="C10245">
        <f>LOG10(1.021043)</f>
        <v>9.0440322627043587E-3</v>
      </c>
      <c r="D10245">
        <f>LOG10(3.029054)</f>
        <v>0.48130701572076556</v>
      </c>
    </row>
    <row r="10246" spans="1:4">
      <c r="A10246">
        <v>1.0037590000000001</v>
      </c>
      <c r="B10246">
        <v>2.8849480000000001</v>
      </c>
      <c r="C10246">
        <f>LOG10(1.003759)</f>
        <v>1.6294523169381521E-3</v>
      </c>
      <c r="D10246">
        <f>LOG10(2.884948)</f>
        <v>0.46013798958305518</v>
      </c>
    </row>
    <row r="10247" spans="1:4">
      <c r="A10247">
        <v>1.0050939999999999</v>
      </c>
      <c r="B10247">
        <v>3.2090450000000001</v>
      </c>
      <c r="C10247">
        <f>LOG10(1.005094)</f>
        <v>2.2066804353641227E-3</v>
      </c>
      <c r="D10247">
        <f>LOG10(3.209045)</f>
        <v>0.50637580719044295</v>
      </c>
    </row>
    <row r="10248" spans="1:4">
      <c r="A10248">
        <v>1.0131810000000001</v>
      </c>
      <c r="B10248">
        <v>3.1177359999999998</v>
      </c>
      <c r="C10248">
        <f>LOG10(1.013181)</f>
        <v>5.687036949021642E-3</v>
      </c>
      <c r="D10248">
        <f>LOG10(3.117736)</f>
        <v>0.49383933772987765</v>
      </c>
    </row>
    <row r="10249" spans="1:4">
      <c r="A10249">
        <v>1.003906</v>
      </c>
      <c r="B10249">
        <v>3.0179130000000001</v>
      </c>
      <c r="C10249">
        <f>LOG10(1.003906)</f>
        <v>1.6930498682764675E-3</v>
      </c>
      <c r="D10249">
        <f>LOG10(3.017913)</f>
        <v>0.47970671583568403</v>
      </c>
    </row>
    <row r="10250" spans="1:4">
      <c r="A10250">
        <v>1.003571</v>
      </c>
      <c r="B10250">
        <v>3.0584799999999999</v>
      </c>
      <c r="C10250">
        <f>LOG10(1.003571)</f>
        <v>1.5481030989853788E-3</v>
      </c>
      <c r="D10250">
        <f>LOG10(3.05848)</f>
        <v>0.48550564490639359</v>
      </c>
    </row>
    <row r="10251" spans="1:4">
      <c r="A10251">
        <v>1.0092589999999999</v>
      </c>
      <c r="B10251">
        <v>3.1643979999999998</v>
      </c>
      <c r="C10251">
        <f>LOG10(1.009259)</f>
        <v>4.0026308917743038E-3</v>
      </c>
      <c r="D10251">
        <f>LOG10(3.164398)</f>
        <v>0.50029110135324528</v>
      </c>
    </row>
    <row r="10252" spans="1:4">
      <c r="A10252">
        <v>1.0135590000000001</v>
      </c>
      <c r="B10252">
        <v>2.9449540000000001</v>
      </c>
      <c r="C10252">
        <f>LOG10(1.013559)</f>
        <v>5.8490343597037012E-3</v>
      </c>
      <c r="D10252">
        <f>LOG10(2.944954)</f>
        <v>0.46907851552305568</v>
      </c>
    </row>
    <row r="10253" spans="1:4">
      <c r="A10253">
        <v>1.006704</v>
      </c>
      <c r="B10253">
        <v>3.155529</v>
      </c>
      <c r="C10253">
        <f>LOG10(1.006704)</f>
        <v>2.9017942242575779E-3</v>
      </c>
      <c r="D10253">
        <f>LOG10(3.155529)</f>
        <v>0.49907217579018021</v>
      </c>
    </row>
    <row r="10254" spans="1:4">
      <c r="A10254">
        <v>1.0048710000000001</v>
      </c>
      <c r="B10254">
        <v>3.1314730000000002</v>
      </c>
      <c r="C10254">
        <f>LOG10(1.004871)</f>
        <v>2.110312916664304E-3</v>
      </c>
      <c r="D10254">
        <f>LOG10(3.131473)</f>
        <v>0.49574867150545288</v>
      </c>
    </row>
    <row r="10255" spans="1:4">
      <c r="A10255">
        <v>1.0027779999999999</v>
      </c>
      <c r="B10255">
        <v>3.0573649999999999</v>
      </c>
      <c r="C10255">
        <f>LOG10(1.002778)</f>
        <v>1.2047973809044372E-3</v>
      </c>
      <c r="D10255">
        <f>LOG10(3.057365)</f>
        <v>0.48534728956786322</v>
      </c>
    </row>
    <row r="10256" spans="1:4">
      <c r="A10256">
        <v>1.0157350000000001</v>
      </c>
      <c r="B10256">
        <v>3.1776019999999998</v>
      </c>
      <c r="C10256">
        <f>LOG10(1.015735)</f>
        <v>6.7804175450113255E-3</v>
      </c>
      <c r="D10256">
        <f>LOG10(3.177602)</f>
        <v>0.50209950016268468</v>
      </c>
    </row>
    <row r="10257" spans="1:4">
      <c r="A10257">
        <v>1.0109950000000001</v>
      </c>
      <c r="B10257">
        <v>3.0108069999999998</v>
      </c>
      <c r="C10257">
        <f>LOG10(1.010995)</f>
        <v>4.7490077395875019E-3</v>
      </c>
      <c r="D10257">
        <f>LOG10(3.010807)</f>
        <v>0.47868291707986499</v>
      </c>
    </row>
    <row r="10258" spans="1:4">
      <c r="A10258">
        <v>1.005752</v>
      </c>
      <c r="B10258">
        <v>3.3098390000000002</v>
      </c>
      <c r="C10258">
        <f>LOG10(1.005752)</f>
        <v>2.4909048655710705E-3</v>
      </c>
      <c r="D10258">
        <f>LOG10(3.309839)</f>
        <v>0.51980686896842354</v>
      </c>
    </row>
    <row r="10259" spans="1:4">
      <c r="A10259">
        <v>1.005952</v>
      </c>
      <c r="B10259">
        <v>2.9525190000000001</v>
      </c>
      <c r="C10259">
        <f>LOG10(1.005952)</f>
        <v>2.5772584212301651E-3</v>
      </c>
      <c r="D10259">
        <f>LOG10(2.952519)</f>
        <v>0.47019270105900063</v>
      </c>
    </row>
    <row r="10260" spans="1:4">
      <c r="A10260">
        <v>1.0114050000000001</v>
      </c>
      <c r="B10260">
        <v>3.125311</v>
      </c>
      <c r="C10260">
        <f>LOG10(1.011405)</f>
        <v>4.9250962878665053E-3</v>
      </c>
      <c r="D10260">
        <f>LOG10(3.125311)</f>
        <v>0.49489324051639938</v>
      </c>
    </row>
    <row r="10261" spans="1:4">
      <c r="A10261">
        <v>1.007339</v>
      </c>
      <c r="B10261">
        <v>3.1862089999999998</v>
      </c>
      <c r="C10261">
        <f>LOG10(1.007339)</f>
        <v>3.1756483625718515E-3</v>
      </c>
      <c r="D10261">
        <f>LOG10(3.186209)</f>
        <v>0.50327426003061648</v>
      </c>
    </row>
    <row r="10262" spans="1:4">
      <c r="A10262">
        <v>1.003458</v>
      </c>
      <c r="B10262">
        <v>3.3161360000000002</v>
      </c>
      <c r="C10262">
        <f>LOG10(1.003458)</f>
        <v>1.499199693497032E-3</v>
      </c>
      <c r="D10262">
        <f>LOG10(3.316136)</f>
        <v>0.52063233334939618</v>
      </c>
    </row>
    <row r="10263" spans="1:4">
      <c r="A10263">
        <v>1.0029889999999999</v>
      </c>
      <c r="B10263">
        <v>3.2495579999999999</v>
      </c>
      <c r="C10263">
        <f>LOG10(1.002989)</f>
        <v>1.2961700438504273E-3</v>
      </c>
      <c r="D10263">
        <f>LOG10(3.249558)</f>
        <v>0.511824292912616</v>
      </c>
    </row>
    <row r="10264" spans="1:4">
      <c r="A10264">
        <v>1.025452</v>
      </c>
      <c r="B10264">
        <v>3.147545</v>
      </c>
      <c r="C10264">
        <f>LOG10(1.025452)</f>
        <v>1.0915336451812483E-2</v>
      </c>
      <c r="D10264">
        <f>LOG10(3.147545)</f>
        <v>0.49797194787028354</v>
      </c>
    </row>
    <row r="10265" spans="1:4">
      <c r="A10265">
        <v>1.001377</v>
      </c>
      <c r="B10265">
        <v>3.1145399999999999</v>
      </c>
      <c r="C10265">
        <f>LOG10(1.001377)</f>
        <v>5.9761213998656495E-4</v>
      </c>
      <c r="D10265">
        <f>LOG10(3.11454)</f>
        <v>0.49339391288481793</v>
      </c>
    </row>
    <row r="10266" spans="1:4">
      <c r="A10266">
        <v>1.0017579999999999</v>
      </c>
      <c r="B10266">
        <v>3.0983260000000001</v>
      </c>
      <c r="C10266">
        <f>LOG10(1.001758)</f>
        <v>7.6281937724263272E-4</v>
      </c>
      <c r="D10266">
        <f>LOG10(3.098326)</f>
        <v>0.49112711147110499</v>
      </c>
    </row>
    <row r="10267" spans="1:4">
      <c r="A10267">
        <v>1.005323</v>
      </c>
      <c r="B10267">
        <v>3.0459000000000001</v>
      </c>
      <c r="C10267">
        <f>LOG10(1.005323)</f>
        <v>2.3056185529645879E-3</v>
      </c>
      <c r="D10267">
        <f>LOG10(3.0459)</f>
        <v>0.48371564090379954</v>
      </c>
    </row>
    <row r="10268" spans="1:4">
      <c r="A10268">
        <v>1.013307</v>
      </c>
      <c r="B10268">
        <v>3.2620019999999998</v>
      </c>
      <c r="C10268">
        <f>LOG10(1.013307)</f>
        <v>5.7410428003173411E-3</v>
      </c>
      <c r="D10268">
        <f>LOG10(3.262002)</f>
        <v>0.51348422297914897</v>
      </c>
    </row>
    <row r="10269" spans="1:4">
      <c r="A10269">
        <v>1</v>
      </c>
      <c r="B10269">
        <v>3.286883</v>
      </c>
      <c r="C10269">
        <f>LOG10(1)</f>
        <v>0</v>
      </c>
      <c r="D10269">
        <f>LOG10(3.286883)</f>
        <v>0.51678424519548716</v>
      </c>
    </row>
    <row r="10270" spans="1:4">
      <c r="A10270">
        <v>1.0068269999999999</v>
      </c>
      <c r="B10270">
        <v>3.0456289999999999</v>
      </c>
      <c r="C10270">
        <f>LOG10(1.006827)</f>
        <v>2.9548534732490158E-3</v>
      </c>
      <c r="D10270">
        <f>LOG10(3.045629)</f>
        <v>0.48367699910970369</v>
      </c>
    </row>
    <row r="10271" spans="1:4">
      <c r="A10271">
        <v>1.0156609999999999</v>
      </c>
      <c r="B10271">
        <v>3.1770740000000002</v>
      </c>
      <c r="C10271">
        <f>LOG10(1.015661)</f>
        <v>6.7487764551646262E-3</v>
      </c>
      <c r="D10271">
        <f>LOG10(3.177074)</f>
        <v>0.5020273304763081</v>
      </c>
    </row>
    <row r="10272" spans="1:4">
      <c r="A10272">
        <v>1.007009</v>
      </c>
      <c r="B10272">
        <v>2.9962140000000002</v>
      </c>
      <c r="C10272">
        <f>LOG10(1.007009)</f>
        <v>3.033352016250174E-3</v>
      </c>
      <c r="D10272">
        <f>LOG10(2.996214)</f>
        <v>0.47657282895400921</v>
      </c>
    </row>
    <row r="10273" spans="1:4">
      <c r="A10273">
        <v>1</v>
      </c>
      <c r="B10273">
        <v>3.230731</v>
      </c>
      <c r="C10273">
        <f>LOG10(1)</f>
        <v>0</v>
      </c>
      <c r="D10273">
        <f>LOG10(3.230731)</f>
        <v>0.50930079890928759</v>
      </c>
    </row>
    <row r="10274" spans="1:4">
      <c r="A10274">
        <v>1.003819</v>
      </c>
      <c r="B10274">
        <v>3.3903270000000001</v>
      </c>
      <c r="C10274">
        <f>LOG10(1.003819)</f>
        <v>1.6554116260379045E-3</v>
      </c>
      <c r="D10274">
        <f>LOG10(3.390327)</f>
        <v>0.53024158830534196</v>
      </c>
    </row>
    <row r="10275" spans="1:4">
      <c r="A10275">
        <v>1.0188809999999999</v>
      </c>
      <c r="B10275">
        <v>3.2639610000000001</v>
      </c>
      <c r="C10275">
        <f>LOG10(1.018881)</f>
        <v>8.1234636322678831E-3</v>
      </c>
      <c r="D10275">
        <f>LOG10(3.263961)</f>
        <v>0.51374496087043142</v>
      </c>
    </row>
    <row r="10276" spans="1:4">
      <c r="A10276">
        <v>1.008734</v>
      </c>
      <c r="B10276">
        <v>3.3896790000000001</v>
      </c>
      <c r="C10276">
        <f>LOG10(1.008734)</f>
        <v>3.776659237617757E-3</v>
      </c>
      <c r="D10276">
        <f>LOG10(3.389679)</f>
        <v>0.53015857279617273</v>
      </c>
    </row>
    <row r="10277" spans="1:4">
      <c r="A10277">
        <v>1.004848</v>
      </c>
      <c r="B10277">
        <v>3.6786729999999999</v>
      </c>
      <c r="C10277">
        <f>LOG10(1.004848)</f>
        <v>2.1003724492812945E-3</v>
      </c>
      <c r="D10277">
        <f>LOG10(3.678673)</f>
        <v>0.56569118478484437</v>
      </c>
    </row>
    <row r="10278" spans="1:4">
      <c r="A10278">
        <v>1.004402</v>
      </c>
      <c r="B10278">
        <v>3.6463179999999999</v>
      </c>
      <c r="C10278">
        <f>LOG10(1.004402)</f>
        <v>1.9075688239384146E-3</v>
      </c>
      <c r="D10278">
        <f>LOG10(3.646318)</f>
        <v>0.56185454134114243</v>
      </c>
    </row>
    <row r="10279" spans="1:4">
      <c r="A10279">
        <v>1.0127710000000001</v>
      </c>
      <c r="B10279">
        <v>3.4988459999999999</v>
      </c>
      <c r="C10279">
        <f>LOG10(1.012771)</f>
        <v>5.511257127968446E-3</v>
      </c>
      <c r="D10279">
        <f>LOG10(3.498846)</f>
        <v>0.54392482764379058</v>
      </c>
    </row>
    <row r="10280" spans="1:4">
      <c r="A10280">
        <v>1.0155289999999999</v>
      </c>
      <c r="B10280">
        <v>3.5127290000000002</v>
      </c>
      <c r="C10280">
        <f>LOG10(1.015529)</f>
        <v>6.6923298679995259E-3</v>
      </c>
      <c r="D10280">
        <f>LOG10(3.512729)</f>
        <v>0.54564464613577746</v>
      </c>
    </row>
    <row r="10281" spans="1:4">
      <c r="A10281">
        <v>1.0176270000000001</v>
      </c>
      <c r="B10281">
        <v>3.589264</v>
      </c>
      <c r="C10281">
        <f>LOG10(1.017627)</f>
        <v>7.5886212951520636E-3</v>
      </c>
      <c r="D10281">
        <f>LOG10(3.589264)</f>
        <v>0.55500540303275891</v>
      </c>
    </row>
    <row r="10282" spans="1:4">
      <c r="A10282">
        <v>1.010421</v>
      </c>
      <c r="B10282">
        <v>3.3385660000000001</v>
      </c>
      <c r="C10282">
        <f>LOG10(1.010421)</f>
        <v>4.5023637639657671E-3</v>
      </c>
      <c r="D10282">
        <f>LOG10(3.338566)</f>
        <v>0.52355996620750667</v>
      </c>
    </row>
    <row r="10283" spans="1:4">
      <c r="A10283">
        <v>1.0216590000000001</v>
      </c>
      <c r="B10283">
        <v>3.5546160000000002</v>
      </c>
      <c r="C10283">
        <f>LOG10(1.021659)</f>
        <v>9.3059651427446176E-3</v>
      </c>
      <c r="D10283">
        <f>LOG10(3.554616)</f>
        <v>0.55079269139809539</v>
      </c>
    </row>
    <row r="10284" spans="1:4">
      <c r="A10284">
        <v>1.0133810000000001</v>
      </c>
      <c r="B10284">
        <v>3.309186</v>
      </c>
      <c r="C10284">
        <f>LOG10(1.013381)</f>
        <v>5.7727573924747713E-3</v>
      </c>
      <c r="D10284">
        <f>LOG10(3.309186)</f>
        <v>0.51972117831229125</v>
      </c>
    </row>
    <row r="10285" spans="1:4">
      <c r="A10285">
        <v>1.0090570000000001</v>
      </c>
      <c r="B10285">
        <v>3.5761440000000002</v>
      </c>
      <c r="C10285">
        <f>LOG10(1.009057)</f>
        <v>3.9156995236066935E-3</v>
      </c>
      <c r="D10285">
        <f>LOG10(3.576144)</f>
        <v>0.55341499814017348</v>
      </c>
    </row>
    <row r="10286" spans="1:4">
      <c r="A10286">
        <v>1.027083</v>
      </c>
      <c r="B10286">
        <v>3.6407639999999999</v>
      </c>
      <c r="C10286">
        <f>LOG10(1.027083)</f>
        <v>1.1605540954120714E-2</v>
      </c>
      <c r="D10286">
        <f>LOG10(3.640764)</f>
        <v>0.56119252820075194</v>
      </c>
    </row>
    <row r="10287" spans="1:4">
      <c r="A10287">
        <v>1.010529</v>
      </c>
      <c r="B10287">
        <v>3.4480170000000001</v>
      </c>
      <c r="C10287">
        <f>LOG10(1.010529)</f>
        <v>4.548781343906092E-3</v>
      </c>
      <c r="D10287">
        <f>LOG10(3.448017)</f>
        <v>0.53756939839049189</v>
      </c>
    </row>
    <row r="10288" spans="1:4">
      <c r="A10288">
        <v>1.006653</v>
      </c>
      <c r="B10288">
        <v>3.5727150000000001</v>
      </c>
      <c r="C10288">
        <f>LOG10(1.006653)</f>
        <v>2.879792146551723E-3</v>
      </c>
      <c r="D10288">
        <f>LOG10(3.572715)</f>
        <v>0.55299837336336566</v>
      </c>
    </row>
    <row r="10289" spans="1:4">
      <c r="A10289">
        <v>1.0083580000000001</v>
      </c>
      <c r="B10289">
        <v>3.7438189999999998</v>
      </c>
      <c r="C10289">
        <f>LOG10(1.008358)</f>
        <v>3.6147482022391452E-3</v>
      </c>
      <c r="D10289">
        <f>LOG10(3.743819)</f>
        <v>0.57331484401868993</v>
      </c>
    </row>
    <row r="10290" spans="1:4">
      <c r="A10290">
        <v>1.0181009999999999</v>
      </c>
      <c r="B10290">
        <v>3.412623</v>
      </c>
      <c r="C10290">
        <f>LOG10(1.018101)</f>
        <v>7.7908640192706257E-3</v>
      </c>
      <c r="D10290">
        <f>LOG10(3.412623)</f>
        <v>0.53308831345792462</v>
      </c>
    </row>
    <row r="10291" spans="1:4">
      <c r="A10291">
        <v>1.0231760000000001</v>
      </c>
      <c r="B10291">
        <v>3.247144</v>
      </c>
      <c r="C10291">
        <f>LOG10(1.023176)</f>
        <v>9.9503446158199713E-3</v>
      </c>
      <c r="D10291">
        <f>LOG10(3.247144)</f>
        <v>0.51150154856400232</v>
      </c>
    </row>
    <row r="10292" spans="1:4">
      <c r="A10292">
        <v>1.008197</v>
      </c>
      <c r="B10292">
        <v>3.6743060000000001</v>
      </c>
      <c r="C10292">
        <f>LOG10(1.008197)</f>
        <v>3.5454008135142913E-3</v>
      </c>
      <c r="D10292">
        <f>LOG10(3.674306)</f>
        <v>0.56517532196911702</v>
      </c>
    </row>
    <row r="10293" spans="1:4">
      <c r="A10293">
        <v>1.028567</v>
      </c>
      <c r="B10293">
        <v>3.691643</v>
      </c>
      <c r="C10293">
        <f>LOG10(1.028567)</f>
        <v>1.2232586533966881E-2</v>
      </c>
      <c r="D10293">
        <f>LOG10(3.691643)</f>
        <v>0.56721969597616217</v>
      </c>
    </row>
    <row r="10294" spans="1:4">
      <c r="A10294">
        <v>1.034694</v>
      </c>
      <c r="B10294">
        <v>3.4900069999999999</v>
      </c>
      <c r="C10294">
        <f>LOG10(1.034694)</f>
        <v>1.481193070061595E-2</v>
      </c>
      <c r="D10294">
        <f>LOG10(3.490007)</f>
        <v>0.54282629803606375</v>
      </c>
    </row>
    <row r="10295" spans="1:4">
      <c r="A10295">
        <v>1.01407</v>
      </c>
      <c r="B10295">
        <v>3.2710560000000002</v>
      </c>
      <c r="C10295">
        <f>LOG10(1.01407)</f>
        <v>6.0679348439154754E-3</v>
      </c>
      <c r="D10295">
        <f>LOG10(3.271056)</f>
        <v>0.51468797924659704</v>
      </c>
    </row>
    <row r="10296" spans="1:4">
      <c r="A10296">
        <v>1.007449</v>
      </c>
      <c r="B10296">
        <v>3.8269850000000001</v>
      </c>
      <c r="C10296">
        <f>LOG10(1.007449)</f>
        <v>3.2230701191604825E-3</v>
      </c>
      <c r="D10296">
        <f>LOG10(3.826985)</f>
        <v>0.5828567599956006</v>
      </c>
    </row>
    <row r="10297" spans="1:4">
      <c r="A10297">
        <v>1.014294</v>
      </c>
      <c r="B10297">
        <v>3.6932049999999998</v>
      </c>
      <c r="C10297">
        <f>LOG10(1.014294)</f>
        <v>6.1638564480671967E-3</v>
      </c>
      <c r="D10297">
        <f>LOG10(3.693205)</f>
        <v>0.56740341485320589</v>
      </c>
    </row>
    <row r="10298" spans="1:4">
      <c r="A10298">
        <v>1.017007</v>
      </c>
      <c r="B10298">
        <v>4.0923080000000001</v>
      </c>
      <c r="C10298">
        <f>LOG10(1.017007)</f>
        <v>7.3239421566787307E-3</v>
      </c>
      <c r="D10298">
        <f>LOG10(4.092308)</f>
        <v>0.61196831264193063</v>
      </c>
    </row>
    <row r="10299" spans="1:4">
      <c r="A10299">
        <v>1.012869</v>
      </c>
      <c r="B10299">
        <v>3.7557269999999998</v>
      </c>
      <c r="C10299">
        <f>LOG10(1.012869)</f>
        <v>5.5532792634512516E-3</v>
      </c>
      <c r="D10299">
        <f>LOG10(3.755727)</f>
        <v>0.57469401631437533</v>
      </c>
    </row>
    <row r="10300" spans="1:4">
      <c r="A10300">
        <v>1.000626</v>
      </c>
      <c r="B10300">
        <v>3.6026030000000002</v>
      </c>
      <c r="C10300">
        <f>LOG10(1.000626)</f>
        <v>2.7178328637547552E-4</v>
      </c>
      <c r="D10300">
        <f>LOG10(3.602603)</f>
        <v>0.55661640633326404</v>
      </c>
    </row>
    <row r="10301" spans="1:4">
      <c r="A10301">
        <v>1.0268200000000001</v>
      </c>
      <c r="B10301">
        <v>3.675138</v>
      </c>
      <c r="C10301">
        <f>LOG10(1.02682)</f>
        <v>1.1494319100542645E-2</v>
      </c>
      <c r="D10301">
        <f>LOG10(3.675138)</f>
        <v>0.56527365131497964</v>
      </c>
    </row>
    <row r="10302" spans="1:4">
      <c r="A10302">
        <v>1.0085839999999999</v>
      </c>
      <c r="B10302">
        <v>3.7307920000000001</v>
      </c>
      <c r="C10302">
        <f>LOG10(1.008584)</f>
        <v>3.7120743061338896E-3</v>
      </c>
      <c r="D10302">
        <f>LOG10(3.730792)</f>
        <v>0.57180103682685712</v>
      </c>
    </row>
    <row r="10303" spans="1:4">
      <c r="A10303">
        <v>1.0192950000000001</v>
      </c>
      <c r="B10303">
        <v>3.7422420000000001</v>
      </c>
      <c r="C10303">
        <f>LOG10(1.019295)</f>
        <v>8.29989385024784E-3</v>
      </c>
      <c r="D10303">
        <f>LOG10(3.742242)</f>
        <v>0.57313186864403232</v>
      </c>
    </row>
    <row r="10304" spans="1:4">
      <c r="A10304">
        <v>1.0078929999999999</v>
      </c>
      <c r="B10304">
        <v>3.8855620000000002</v>
      </c>
      <c r="C10304">
        <f>LOG10(1.007893)</f>
        <v>3.4144289585879418E-3</v>
      </c>
      <c r="D10304">
        <f>LOG10(3.885562)</f>
        <v>0.58945384317472582</v>
      </c>
    </row>
    <row r="10305" spans="1:4">
      <c r="A10305">
        <v>1.012599</v>
      </c>
      <c r="B10305">
        <v>3.553515</v>
      </c>
      <c r="C10305">
        <f>LOG10(1.012599)</f>
        <v>5.4374941601482863E-3</v>
      </c>
      <c r="D10305">
        <f>LOG10(3.553515)</f>
        <v>0.55065815301426435</v>
      </c>
    </row>
    <row r="10306" spans="1:4">
      <c r="A10306">
        <v>1.015954</v>
      </c>
      <c r="B10306">
        <v>3.5019650000000002</v>
      </c>
      <c r="C10306">
        <f>LOG10(1.015954)</f>
        <v>6.8740445636201446E-3</v>
      </c>
      <c r="D10306">
        <f>LOG10(3.501965)</f>
        <v>0.54431180126118373</v>
      </c>
    </row>
    <row r="10307" spans="1:4">
      <c r="A10307">
        <v>1.010901</v>
      </c>
      <c r="B10307">
        <v>3.5213570000000001</v>
      </c>
      <c r="C10307">
        <f>LOG10(1.010901)</f>
        <v>4.7086261558380556E-3</v>
      </c>
      <c r="D10307">
        <f>LOG10(3.521357)</f>
        <v>0.54671005667215278</v>
      </c>
    </row>
    <row r="10308" spans="1:4">
      <c r="A10308">
        <v>1.020929</v>
      </c>
      <c r="B10308">
        <v>3.659316</v>
      </c>
      <c r="C10308">
        <f>LOG10(1.020929)</f>
        <v>8.995540343139952E-3</v>
      </c>
      <c r="D10308">
        <f>LOG10(3.659316)</f>
        <v>0.56339991457831617</v>
      </c>
    </row>
    <row r="10309" spans="1:4">
      <c r="A10309">
        <v>1.0022990000000001</v>
      </c>
      <c r="B10309">
        <v>3.6865749999999999</v>
      </c>
      <c r="C10309">
        <f>LOG10(1.002299)</f>
        <v>9.9729705968087316E-4</v>
      </c>
      <c r="D10309">
        <f>LOG10(3.686575)</f>
        <v>0.56662307365341702</v>
      </c>
    </row>
    <row r="10310" spans="1:4">
      <c r="A10310">
        <v>1.0129520000000001</v>
      </c>
      <c r="B10310">
        <v>4.4709589999999997</v>
      </c>
      <c r="C10310">
        <f>LOG10(1.012952)</f>
        <v>5.5888662595562017E-3</v>
      </c>
      <c r="D10310">
        <f>LOG10(4.470959)</f>
        <v>0.65040068727903577</v>
      </c>
    </row>
    <row r="10311" spans="1:4">
      <c r="A10311">
        <v>1.004683</v>
      </c>
      <c r="B10311">
        <v>3.6508880000000001</v>
      </c>
      <c r="C10311">
        <f>LOG10(1.004683)</f>
        <v>2.0290537289678876E-3</v>
      </c>
      <c r="D10311">
        <f>LOG10(3.650888)</f>
        <v>0.56239851009898612</v>
      </c>
    </row>
    <row r="10312" spans="1:4">
      <c r="A10312">
        <v>1.0191730000000001</v>
      </c>
      <c r="B10312">
        <v>3.652822</v>
      </c>
      <c r="C10312">
        <f>LOG10(1.019173)</f>
        <v>8.2479097849052028E-3</v>
      </c>
      <c r="D10312">
        <f>LOG10(3.652822)</f>
        <v>0.56262850979712087</v>
      </c>
    </row>
    <row r="10313" spans="1:4">
      <c r="A10313">
        <v>1.0137929999999999</v>
      </c>
      <c r="B10313">
        <v>3.6594989999999998</v>
      </c>
      <c r="C10313">
        <f>LOG10(1.013793)</f>
        <v>5.9492881974354626E-3</v>
      </c>
      <c r="D10313">
        <f>LOG10(3.659499)</f>
        <v>0.56342163281827851</v>
      </c>
    </row>
    <row r="10314" spans="1:4">
      <c r="A10314">
        <v>1.023601</v>
      </c>
      <c r="B10314">
        <v>3.6002519999999998</v>
      </c>
      <c r="C10314">
        <f>LOG10(1.023601)</f>
        <v>1.0130701496380522E-2</v>
      </c>
      <c r="D10314">
        <f>LOG10(3.600252)</f>
        <v>0.55633290031704863</v>
      </c>
    </row>
    <row r="10315" spans="1:4">
      <c r="A10315">
        <v>1.0068029999999999</v>
      </c>
      <c r="B10315">
        <v>3.6667149999999999</v>
      </c>
      <c r="C10315">
        <f>LOG10(1.006803)</f>
        <v>2.9445009580737532E-3</v>
      </c>
      <c r="D10315">
        <f>LOG10(3.666715)</f>
        <v>0.56427715519172916</v>
      </c>
    </row>
    <row r="10316" spans="1:4">
      <c r="A10316">
        <v>1.004842</v>
      </c>
      <c r="B10316">
        <v>3.7344680000000001</v>
      </c>
      <c r="C10316">
        <f>LOG10(1.004842)</f>
        <v>2.0977792464575698E-3</v>
      </c>
      <c r="D10316">
        <f>LOG10(3.734468)</f>
        <v>0.57222874239759647</v>
      </c>
    </row>
    <row r="10317" spans="1:4">
      <c r="A10317">
        <v>1.011943</v>
      </c>
      <c r="B10317">
        <v>3.6565349999999999</v>
      </c>
      <c r="C10317">
        <f>LOG10(1.011943)</f>
        <v>5.1560505644124384E-3</v>
      </c>
      <c r="D10317">
        <f>LOG10(3.656535)</f>
        <v>0.56306973480501354</v>
      </c>
    </row>
    <row r="10318" spans="1:4">
      <c r="A10318">
        <v>1.003431</v>
      </c>
      <c r="B10318">
        <v>3.882314</v>
      </c>
      <c r="C10318">
        <f>LOG10(1.003431)</f>
        <v>1.4875139938772773E-3</v>
      </c>
      <c r="D10318">
        <f>LOG10(3.882314)</f>
        <v>0.58909065803649019</v>
      </c>
    </row>
    <row r="10319" spans="1:4">
      <c r="A10319">
        <v>1.008483</v>
      </c>
      <c r="B10319">
        <v>3.6827329999999998</v>
      </c>
      <c r="C10319">
        <f>LOG10(1.008483)</f>
        <v>3.6685817075153533E-3</v>
      </c>
      <c r="D10319">
        <f>LOG10(3.682733)</f>
        <v>0.56617023342726602</v>
      </c>
    </row>
    <row r="10320" spans="1:4">
      <c r="A10320">
        <v>1.0092190000000001</v>
      </c>
      <c r="B10320">
        <v>3.6744789999999998</v>
      </c>
      <c r="C10320">
        <f>LOG10(1.009219)</f>
        <v>3.9854181410994638E-3</v>
      </c>
      <c r="D10320">
        <f>LOG10(3.674479)</f>
        <v>0.5651957696881299</v>
      </c>
    </row>
    <row r="10321" spans="1:4">
      <c r="A10321">
        <v>1.018772</v>
      </c>
      <c r="B10321">
        <v>3.6500970000000001</v>
      </c>
      <c r="C10321">
        <f>LOG10(1.018772)</f>
        <v>8.0770002760707591E-3</v>
      </c>
      <c r="D10321">
        <f>LOG10(3.650097)</f>
        <v>0.56230440582770502</v>
      </c>
    </row>
    <row r="10322" spans="1:4">
      <c r="A10322">
        <v>1.002345</v>
      </c>
      <c r="B10322">
        <v>3.575952</v>
      </c>
      <c r="C10322">
        <f>LOG10(1.002345)</f>
        <v>1.0172283254528025E-3</v>
      </c>
      <c r="D10322">
        <f>LOG10(3.575952)</f>
        <v>0.55339168062862287</v>
      </c>
    </row>
    <row r="10323" spans="1:4">
      <c r="A10323">
        <v>1.0205660000000001</v>
      </c>
      <c r="B10323">
        <v>3.6727509999999999</v>
      </c>
      <c r="C10323">
        <f>LOG10(1.020566)</f>
        <v>8.8410957830579728E-3</v>
      </c>
      <c r="D10323">
        <f>LOG10(3.672751)</f>
        <v>0.56499148565766788</v>
      </c>
    </row>
    <row r="10324" spans="1:4">
      <c r="A10324">
        <v>1.003036</v>
      </c>
      <c r="B10324">
        <v>3.7045979999999998</v>
      </c>
      <c r="C10324">
        <f>LOG10(1.003036)</f>
        <v>1.3165205785179857E-3</v>
      </c>
      <c r="D10324">
        <f>LOG10(3.704598)</f>
        <v>0.56874108792832989</v>
      </c>
    </row>
    <row r="10325" spans="1:4">
      <c r="A10325">
        <v>1.017776</v>
      </c>
      <c r="B10325">
        <v>3.682626</v>
      </c>
      <c r="C10325">
        <f>LOG10(1.017776)</f>
        <v>7.6522056348814985E-3</v>
      </c>
      <c r="D10325">
        <f>LOG10(3.682626)</f>
        <v>0.56615761503091444</v>
      </c>
    </row>
    <row r="10326" spans="1:4">
      <c r="A10326">
        <v>1.006227</v>
      </c>
      <c r="B10326">
        <v>3.5067390000000001</v>
      </c>
      <c r="C10326">
        <f>LOG10(1.006227)</f>
        <v>2.6959665314599066E-3</v>
      </c>
      <c r="D10326">
        <f>LOG10(3.506739)</f>
        <v>0.54490344336142327</v>
      </c>
    </row>
    <row r="10327" spans="1:4">
      <c r="A10327">
        <v>1.0066250000000001</v>
      </c>
      <c r="B10327">
        <v>3.6037159999999999</v>
      </c>
      <c r="C10327">
        <f>LOG10(1.006625)</f>
        <v>2.8677121004835305E-3</v>
      </c>
      <c r="D10327">
        <f>LOG10(3.603716)</f>
        <v>0.55675055797495554</v>
      </c>
    </row>
    <row r="10328" spans="1:4">
      <c r="A10328">
        <v>1.004745</v>
      </c>
      <c r="B10328">
        <v>3.873828</v>
      </c>
      <c r="C10328">
        <f>LOG10(1.004745)</f>
        <v>2.0558536520171823E-3</v>
      </c>
      <c r="D10328">
        <f>LOG10(3.873828)</f>
        <v>0.58814033390782294</v>
      </c>
    </row>
    <row r="10329" spans="1:4">
      <c r="A10329">
        <v>1.005819</v>
      </c>
      <c r="B10329">
        <v>3.5066709999999999</v>
      </c>
      <c r="C10329">
        <f>LOG10(1.005819)</f>
        <v>2.5198352193078217E-3</v>
      </c>
      <c r="D10329">
        <f>LOG10(3.506671)</f>
        <v>0.54489502177341675</v>
      </c>
    </row>
    <row r="10330" spans="1:4">
      <c r="A10330">
        <v>1.0096480000000001</v>
      </c>
      <c r="B10330">
        <v>3.7207170000000001</v>
      </c>
      <c r="C10330">
        <f>LOG10(1.009648)</f>
        <v>4.1699893243827297E-3</v>
      </c>
      <c r="D10330">
        <f>LOG10(3.720717)</f>
        <v>0.57062663857504459</v>
      </c>
    </row>
    <row r="10331" spans="1:4">
      <c r="A10331">
        <v>1.0216750000000001</v>
      </c>
      <c r="B10331">
        <v>3.7470439999999998</v>
      </c>
      <c r="C10331">
        <f>LOG10(1.021675)</f>
        <v>9.3127664896713556E-3</v>
      </c>
      <c r="D10331">
        <f>LOG10(3.747044)</f>
        <v>0.5736887928656178</v>
      </c>
    </row>
    <row r="10332" spans="1:4">
      <c r="A10332">
        <v>1.014726</v>
      </c>
      <c r="B10332">
        <v>3.6720269999999999</v>
      </c>
      <c r="C10332">
        <f>LOG10(1.014726)</f>
        <v>6.3487883058282093E-3</v>
      </c>
      <c r="D10332">
        <f>LOG10(3.672027)</f>
        <v>0.56490586585924329</v>
      </c>
    </row>
    <row r="10333" spans="1:4">
      <c r="A10333">
        <v>1.0077119999999999</v>
      </c>
      <c r="B10333">
        <v>3.9349050000000001</v>
      </c>
      <c r="C10333">
        <f>LOG10(1.007712)</f>
        <v>3.3364302421372708E-3</v>
      </c>
      <c r="D10333">
        <f>LOG10(3.934905)</f>
        <v>0.59493425169538316</v>
      </c>
    </row>
    <row r="10334" spans="1:4">
      <c r="A10334">
        <v>1.005566</v>
      </c>
      <c r="B10334">
        <v>3.8419699999999999</v>
      </c>
      <c r="C10334">
        <f>LOG10(1.005566)</f>
        <v>2.41058064646272E-3</v>
      </c>
      <c r="D10334">
        <f>LOG10(3.84197)</f>
        <v>0.58455396935302395</v>
      </c>
    </row>
    <row r="10335" spans="1:4">
      <c r="A10335">
        <v>1.007433</v>
      </c>
      <c r="B10335">
        <v>3.5506470000000001</v>
      </c>
      <c r="C10335">
        <f>LOG10(1.007433)</f>
        <v>3.216172730915806E-3</v>
      </c>
      <c r="D10335">
        <f>LOG10(3.550647)</f>
        <v>0.5503074975416653</v>
      </c>
    </row>
    <row r="10336" spans="1:4">
      <c r="A10336">
        <v>1.006696</v>
      </c>
      <c r="B10336">
        <v>3.4740229999999999</v>
      </c>
      <c r="C10336">
        <f>LOG10(1.006696)</f>
        <v>2.8983429916607287E-3</v>
      </c>
      <c r="D10336">
        <f>LOG10(3.474023)</f>
        <v>0.54083268939605911</v>
      </c>
    </row>
    <row r="10337" spans="1:4">
      <c r="A10337">
        <v>1.0039530000000001</v>
      </c>
      <c r="B10337">
        <v>3.440509</v>
      </c>
      <c r="C10337">
        <f>LOG10(1.003953)</f>
        <v>1.7133818145468357E-3</v>
      </c>
      <c r="D10337">
        <f>LOG10(3.440509)</f>
        <v>0.536622698251362</v>
      </c>
    </row>
    <row r="10338" spans="1:4">
      <c r="A10338">
        <v>1.0067280000000001</v>
      </c>
      <c r="B10338">
        <v>3.7957480000000001</v>
      </c>
      <c r="C10338">
        <f>LOG10(1.006728)</f>
        <v>2.9121477574945405E-3</v>
      </c>
      <c r="D10338">
        <f>LOG10(3.795748)</f>
        <v>0.57929737186845387</v>
      </c>
    </row>
    <row r="10339" spans="1:4">
      <c r="A10339">
        <v>1.0122739999999999</v>
      </c>
      <c r="B10339">
        <v>3.6029779999999998</v>
      </c>
      <c r="C10339">
        <f>LOG10(1.012274)</f>
        <v>5.298082248556147E-3</v>
      </c>
      <c r="D10339">
        <f>LOG10(3.602978)</f>
        <v>0.55666161030248185</v>
      </c>
    </row>
    <row r="10340" spans="1:4">
      <c r="A10340">
        <v>1.0101059999999999</v>
      </c>
      <c r="B10340">
        <v>3.6090409999999999</v>
      </c>
      <c r="C10340">
        <f>LOG10(1.010106)</f>
        <v>4.3669508118915077E-3</v>
      </c>
      <c r="D10340">
        <f>LOG10(3.609041)</f>
        <v>0.55739181582858888</v>
      </c>
    </row>
    <row r="10341" spans="1:4">
      <c r="A10341">
        <v>1.0096069999999999</v>
      </c>
      <c r="B10341">
        <v>3.4085109999999998</v>
      </c>
      <c r="C10341">
        <f>LOG10(1.009607)</f>
        <v>4.152353043912399E-3</v>
      </c>
      <c r="D10341">
        <f>LOG10(3.408511)</f>
        <v>0.53256469989867994</v>
      </c>
    </row>
    <row r="10342" spans="1:4">
      <c r="A10342">
        <v>1.004958</v>
      </c>
      <c r="B10342">
        <v>3.305933</v>
      </c>
      <c r="C10342">
        <f>LOG10(1.004958)</f>
        <v>2.1479117571120833E-3</v>
      </c>
      <c r="D10342">
        <f>LOG10(3.305933)</f>
        <v>0.51929404765492615</v>
      </c>
    </row>
    <row r="10343" spans="1:4">
      <c r="A10343">
        <v>1.0092909999999999</v>
      </c>
      <c r="B10343">
        <v>3.372236</v>
      </c>
      <c r="C10343">
        <f>LOG10(1.009291)</f>
        <v>4.0164006011420006E-3</v>
      </c>
      <c r="D10343">
        <f>LOG10(3.372236)</f>
        <v>0.52791796035105343</v>
      </c>
    </row>
    <row r="10344" spans="1:4">
      <c r="A10344">
        <v>1.0042199999999999</v>
      </c>
      <c r="B10344">
        <v>3.5275599999999998</v>
      </c>
      <c r="C10344">
        <f>LOG10(1.00422)</f>
        <v>1.8288665136752004E-3</v>
      </c>
      <c r="D10344">
        <f>LOG10(3.52756)</f>
        <v>0.54747440937105063</v>
      </c>
    </row>
    <row r="10345" spans="1:4">
      <c r="A10345">
        <v>1.0060770000000001</v>
      </c>
      <c r="B10345">
        <v>3.523085</v>
      </c>
      <c r="C10345">
        <f>LOG10(1.006077)</f>
        <v>2.6312206755593182E-3</v>
      </c>
      <c r="D10345">
        <f>LOG10(3.523085)</f>
        <v>0.54692312134917931</v>
      </c>
    </row>
    <row r="10346" spans="1:4">
      <c r="A10346">
        <v>1.005484</v>
      </c>
      <c r="B10346">
        <v>3.6185070000000001</v>
      </c>
      <c r="C10346">
        <f>LOG10(1.005484)</f>
        <v>2.3751641749321603E-3</v>
      </c>
      <c r="D10346">
        <f>LOG10(3.618507)</f>
        <v>0.55852941710534521</v>
      </c>
    </row>
    <row r="10347" spans="1:4">
      <c r="A10347">
        <v>1.0064690000000001</v>
      </c>
      <c r="B10347">
        <v>3.4330989999999999</v>
      </c>
      <c r="C10347">
        <f>LOG10(1.006469)</f>
        <v>2.8004028349325506E-3</v>
      </c>
      <c r="D10347">
        <f>LOG10(3.433099)</f>
        <v>0.53568632732140364</v>
      </c>
    </row>
    <row r="10348" spans="1:4">
      <c r="A10348">
        <v>1.0022070000000001</v>
      </c>
      <c r="B10348">
        <v>3.393751</v>
      </c>
      <c r="C10348">
        <f>LOG10(1.002207)</f>
        <v>9.5743178378432197E-4</v>
      </c>
      <c r="D10348">
        <f>LOG10(3.393751)</f>
        <v>0.5306799749018114</v>
      </c>
    </row>
    <row r="10349" spans="1:4">
      <c r="A10349">
        <v>1.00346</v>
      </c>
      <c r="B10349">
        <v>3.5669029999999999</v>
      </c>
      <c r="C10349">
        <f>LOG10(1.00346)</f>
        <v>1.5000652883682044E-3</v>
      </c>
      <c r="D10349">
        <f>LOG10(3.566903)</f>
        <v>0.55229129909514008</v>
      </c>
    </row>
    <row r="10350" spans="1:4">
      <c r="A10350">
        <v>1.013363</v>
      </c>
      <c r="B10350">
        <v>3.694734</v>
      </c>
      <c r="C10350">
        <f>LOG10(1.013363)</f>
        <v>5.7650432453752896E-3</v>
      </c>
      <c r="D10350">
        <f>LOG10(3.694734)</f>
        <v>0.56758317710416939</v>
      </c>
    </row>
    <row r="10351" spans="1:4">
      <c r="A10351">
        <v>1.007328</v>
      </c>
      <c r="B10351">
        <v>3.5578789999999998</v>
      </c>
      <c r="C10351">
        <f>LOG10(1.007328)</f>
        <v>3.1709059021047111E-3</v>
      </c>
      <c r="D10351">
        <f>LOG10(3.557879)</f>
        <v>0.55119117406665807</v>
      </c>
    </row>
    <row r="10352" spans="1:4">
      <c r="A10352">
        <v>1.0047729999999999</v>
      </c>
      <c r="B10352">
        <v>3.424194</v>
      </c>
      <c r="C10352">
        <f>LOG10(1.004773)</f>
        <v>2.0679563010046927E-3</v>
      </c>
      <c r="D10352">
        <f>LOG10(3.424194)</f>
        <v>0.5345583619463351</v>
      </c>
    </row>
    <row r="10353" spans="1:4">
      <c r="A10353">
        <v>1.006793</v>
      </c>
      <c r="B10353">
        <v>3.5168249999999999</v>
      </c>
      <c r="C10353">
        <f>LOG10(1.006793)</f>
        <v>2.9401873372491187E-3</v>
      </c>
      <c r="D10353">
        <f>LOG10(3.516825)</f>
        <v>0.54615075801689994</v>
      </c>
    </row>
    <row r="10354" spans="1:4">
      <c r="A10354">
        <v>1.0173490000000001</v>
      </c>
      <c r="B10354">
        <v>3.3770639999999998</v>
      </c>
      <c r="C10354">
        <f>LOG10(1.017349)</f>
        <v>7.4699625328667378E-3</v>
      </c>
      <c r="D10354">
        <f>LOG10(3.377064)</f>
        <v>0.5285392911901835</v>
      </c>
    </row>
    <row r="10355" spans="1:4">
      <c r="A10355">
        <v>1.0090429999999999</v>
      </c>
      <c r="B10355">
        <v>3.3180689999999999</v>
      </c>
      <c r="C10355">
        <f>LOG10(1.009043)</f>
        <v>3.9096739324597524E-3</v>
      </c>
      <c r="D10355">
        <f>LOG10(3.318069)</f>
        <v>0.52088541303483704</v>
      </c>
    </row>
    <row r="10356" spans="1:4">
      <c r="A10356">
        <v>1.0047980000000001</v>
      </c>
      <c r="B10356">
        <v>3.25</v>
      </c>
      <c r="C10356">
        <f>LOG10(1.004798)</f>
        <v>2.0787619526071613E-3</v>
      </c>
      <c r="D10356">
        <f>LOG10(3.25)</f>
        <v>0.51188336097887432</v>
      </c>
    </row>
    <row r="10357" spans="1:4">
      <c r="A10357">
        <v>1.0162899999999999</v>
      </c>
      <c r="B10357">
        <v>3.730127</v>
      </c>
      <c r="C10357">
        <f>LOG10(1.01629)</f>
        <v>7.0176522674677833E-3</v>
      </c>
      <c r="D10357">
        <f>LOG10(3.730127)</f>
        <v>0.5717236185272534</v>
      </c>
    </row>
    <row r="10358" spans="1:4">
      <c r="A10358">
        <v>1.007134</v>
      </c>
      <c r="B10358">
        <v>3.4827859999999999</v>
      </c>
      <c r="C10358">
        <f>LOG10(1.007134)</f>
        <v>3.0872576329889789E-3</v>
      </c>
      <c r="D10358">
        <f>LOG10(3.482786)</f>
        <v>0.54192679002688671</v>
      </c>
    </row>
    <row r="10359" spans="1:4">
      <c r="A10359">
        <v>1.004594</v>
      </c>
      <c r="B10359">
        <v>3.094217</v>
      </c>
      <c r="C10359">
        <f>LOG10(1.004594)</f>
        <v>1.9905799805353215E-3</v>
      </c>
      <c r="D10359">
        <f>LOG10(3.094217)</f>
        <v>0.49055076786298168</v>
      </c>
    </row>
    <row r="10360" spans="1:4">
      <c r="A10360">
        <v>1.001922</v>
      </c>
      <c r="B10360">
        <v>3.3205640000000001</v>
      </c>
      <c r="C10360">
        <f>LOG10(1.001922)</f>
        <v>8.3391286042478537E-4</v>
      </c>
      <c r="D10360">
        <f>LOG10(3.320564)</f>
        <v>0.52121185517536983</v>
      </c>
    </row>
    <row r="10361" spans="1:4">
      <c r="A10361">
        <v>1.006974</v>
      </c>
      <c r="B10361">
        <v>3.1673269999999998</v>
      </c>
      <c r="C10361">
        <f>LOG10(1.006974)</f>
        <v>3.0182572444788659E-3</v>
      </c>
      <c r="D10361">
        <f>LOG10(3.167327)</f>
        <v>0.50069290295651447</v>
      </c>
    </row>
    <row r="10362" spans="1:4">
      <c r="A10362">
        <v>1.0044759999999999</v>
      </c>
      <c r="B10362">
        <v>3.2741739999999999</v>
      </c>
      <c r="C10362">
        <f>LOG10(1.004476)</f>
        <v>1.9395645864240774E-3</v>
      </c>
      <c r="D10362">
        <f>LOG10(3.274174)</f>
        <v>0.51510175547661718</v>
      </c>
    </row>
    <row r="10363" spans="1:4">
      <c r="A10363">
        <v>1.0087360000000001</v>
      </c>
      <c r="B10363">
        <v>3.2907609999999998</v>
      </c>
      <c r="C10363">
        <f>LOG10(1.008736)</f>
        <v>3.7775203051566364E-3</v>
      </c>
      <c r="D10363">
        <f>LOG10(3.290761)</f>
        <v>0.51729634168351868</v>
      </c>
    </row>
    <row r="10364" spans="1:4">
      <c r="A10364">
        <v>1.007388</v>
      </c>
      <c r="B10364">
        <v>3.4478330000000001</v>
      </c>
      <c r="C10364">
        <f>LOG10(1.007388)</f>
        <v>3.1967732391605308E-3</v>
      </c>
      <c r="D10364">
        <f>LOG10(3.447833)</f>
        <v>0.53754622207874225</v>
      </c>
    </row>
    <row r="10365" spans="1:4">
      <c r="A10365">
        <v>1.020723</v>
      </c>
      <c r="B10365">
        <v>3.3305910000000001</v>
      </c>
      <c r="C10365">
        <f>LOG10(1.020723)</f>
        <v>8.907900859451607E-3</v>
      </c>
      <c r="D10365">
        <f>LOG10(3.330591)</f>
        <v>0.52252130415650044</v>
      </c>
    </row>
    <row r="10366" spans="1:4">
      <c r="A10366">
        <v>1.0076590000000001</v>
      </c>
      <c r="B10366">
        <v>3.34476</v>
      </c>
      <c r="C10366">
        <f>LOG10(1.007659)</f>
        <v>3.3135881872043407E-3</v>
      </c>
      <c r="D10366">
        <f>LOG10(3.34476)</f>
        <v>0.52436496084373652</v>
      </c>
    </row>
    <row r="10367" spans="1:4">
      <c r="A10367">
        <v>1.0029459999999999</v>
      </c>
      <c r="B10367">
        <v>3.1439140000000001</v>
      </c>
      <c r="C10367">
        <f>LOG10(1.002946)</f>
        <v>1.2775506342237875E-3</v>
      </c>
      <c r="D10367">
        <f>LOG10(3.143914)</f>
        <v>0.49747065764845366</v>
      </c>
    </row>
    <row r="10368" spans="1:4">
      <c r="A10368">
        <v>1.000302</v>
      </c>
      <c r="B10368">
        <v>3.2000389999999999</v>
      </c>
      <c r="C10368">
        <f>LOG10(1.000302)</f>
        <v>1.3113713282427166E-4</v>
      </c>
      <c r="D10368">
        <f>LOG10(3.200039)</f>
        <v>0.50515527125165038</v>
      </c>
    </row>
    <row r="10369" spans="1:4">
      <c r="A10369">
        <v>1.0189550000000001</v>
      </c>
      <c r="B10369">
        <v>3.2280030000000002</v>
      </c>
      <c r="C10369">
        <f>LOG10(1.018955)</f>
        <v>8.1550047294661095E-3</v>
      </c>
      <c r="D10369">
        <f>LOG10(3.228003)</f>
        <v>0.50893392966925222</v>
      </c>
    </row>
    <row r="10370" spans="1:4">
      <c r="A10370">
        <v>1.0098370000000001</v>
      </c>
      <c r="B10370">
        <v>3.2737050000000001</v>
      </c>
      <c r="C10370">
        <f>LOG10(1.009837)</f>
        <v>4.2512790168729997E-3</v>
      </c>
      <c r="D10370">
        <f>LOG10(3.273705)</f>
        <v>0.5150395417086594</v>
      </c>
    </row>
    <row r="10371" spans="1:4">
      <c r="A10371">
        <v>1.00528</v>
      </c>
      <c r="B10371">
        <v>3.2626529999999998</v>
      </c>
      <c r="C10371">
        <f>LOG10(1.00528)</f>
        <v>2.2870423718639988E-3</v>
      </c>
      <c r="D10371">
        <f>LOG10(3.262653)</f>
        <v>0.51357088678241736</v>
      </c>
    </row>
    <row r="10372" spans="1:4">
      <c r="A10372">
        <v>1.0091950000000001</v>
      </c>
      <c r="B10372">
        <v>3.2981820000000002</v>
      </c>
      <c r="C10372">
        <f>LOG10(1.009195)</f>
        <v>3.975090163225569E-3</v>
      </c>
      <c r="D10372">
        <f>LOG10(3.298182)</f>
        <v>0.51827461717109335</v>
      </c>
    </row>
    <row r="10373" spans="1:4">
      <c r="A10373">
        <v>1.017056</v>
      </c>
      <c r="B10373">
        <v>3.3210850000000001</v>
      </c>
      <c r="C10373">
        <f>LOG10(1.017056)</f>
        <v>7.344866218143258E-3</v>
      </c>
      <c r="D10373">
        <f>LOG10(3.321085)</f>
        <v>0.52127999109328294</v>
      </c>
    </row>
    <row r="10374" spans="1:4">
      <c r="A10374">
        <v>1.032081</v>
      </c>
      <c r="B10374">
        <v>3.6325020000000001</v>
      </c>
      <c r="C10374">
        <f>LOG10(1.032081)</f>
        <v>1.3713783020436927E-2</v>
      </c>
      <c r="D10374">
        <f>LOG10(3.632502)</f>
        <v>0.56020586208601919</v>
      </c>
    </row>
    <row r="10375" spans="1:4">
      <c r="A10375">
        <v>1.0037259999999999</v>
      </c>
      <c r="B10375">
        <v>3.563069</v>
      </c>
      <c r="C10375">
        <f>LOG10(1.003726)</f>
        <v>1.6151740355022533E-3</v>
      </c>
      <c r="D10375">
        <f>LOG10(3.563069)</f>
        <v>0.55182423268755665</v>
      </c>
    </row>
    <row r="10376" spans="1:4">
      <c r="A10376">
        <v>1.0125459999999999</v>
      </c>
      <c r="B10376">
        <v>3.4188719999999999</v>
      </c>
      <c r="C10376">
        <f>LOG10(1.012546)</f>
        <v>5.4147623483065043E-3</v>
      </c>
      <c r="D10376">
        <f>LOG10(3.418872)</f>
        <v>0.53388284144172804</v>
      </c>
    </row>
    <row r="10377" spans="1:4">
      <c r="A10377">
        <v>1.0064390000000001</v>
      </c>
      <c r="B10377">
        <v>3.1141000000000001</v>
      </c>
      <c r="C10377">
        <f>LOG10(1.006439)</f>
        <v>2.7874575493476647E-3</v>
      </c>
      <c r="D10377">
        <f>LOG10(3.1141)</f>
        <v>0.49333255452332803</v>
      </c>
    </row>
    <row r="10378" spans="1:4">
      <c r="A10378">
        <v>1.0107729999999999</v>
      </c>
      <c r="B10378">
        <v>3.1609630000000002</v>
      </c>
      <c r="C10378">
        <f>LOG10(1.010773)</f>
        <v>4.6536324290967993E-3</v>
      </c>
      <c r="D10378">
        <f>LOG10(3.160963)</f>
        <v>0.49981941232490856</v>
      </c>
    </row>
    <row r="10379" spans="1:4">
      <c r="A10379">
        <v>1.001465</v>
      </c>
      <c r="B10379">
        <v>3.3070050000000002</v>
      </c>
      <c r="C10379">
        <f>LOG10(1.001465)</f>
        <v>6.357758238239498E-4</v>
      </c>
      <c r="D10379">
        <f>LOG10(3.307005)</f>
        <v>0.51943485154229918</v>
      </c>
    </row>
    <row r="10380" spans="1:4">
      <c r="A10380">
        <v>1.01962</v>
      </c>
      <c r="B10380">
        <v>3.2202660000000001</v>
      </c>
      <c r="C10380">
        <f>LOG10(1.01962)</f>
        <v>8.4383456325084275E-3</v>
      </c>
      <c r="D10380">
        <f>LOG10(3.220266)</f>
        <v>0.50789174671473603</v>
      </c>
    </row>
    <row r="10381" spans="1:4">
      <c r="A10381">
        <v>1.0086329999999999</v>
      </c>
      <c r="B10381">
        <v>3.448604</v>
      </c>
      <c r="C10381">
        <f>LOG10(1.008633)</f>
        <v>3.7331731067264187E-3</v>
      </c>
      <c r="D10381">
        <f>LOG10(3.448604)</f>
        <v>0.53764332759770583</v>
      </c>
    </row>
    <row r="10382" spans="1:4">
      <c r="A10382">
        <v>1.00448</v>
      </c>
      <c r="B10382">
        <v>3.2580330000000002</v>
      </c>
      <c r="C10382">
        <f>LOG10(1.00448)</f>
        <v>1.9412940199484206E-3</v>
      </c>
      <c r="D10382">
        <f>LOG10(3.258033)</f>
        <v>0.51295547888142889</v>
      </c>
    </row>
    <row r="10383" spans="1:4">
      <c r="A10383">
        <v>1.004016</v>
      </c>
      <c r="B10383">
        <v>3.1499239999999999</v>
      </c>
      <c r="C10383">
        <f>LOG10(1.004016)</f>
        <v>1.7406337814535456E-3</v>
      </c>
      <c r="D10383">
        <f>LOG10(3.149924)</f>
        <v>0.49830007544712329</v>
      </c>
    </row>
    <row r="10384" spans="1:4">
      <c r="A10384">
        <v>1.013431</v>
      </c>
      <c r="B10384">
        <v>3.1994180000000001</v>
      </c>
      <c r="C10384">
        <f>LOG10(1.013431)</f>
        <v>5.7941848599453779E-3</v>
      </c>
      <c r="D10384">
        <f>LOG10(3.199418)</f>
        <v>0.50507098382723037</v>
      </c>
    </row>
    <row r="10385" spans="1:4">
      <c r="A10385">
        <v>1.0158959999999999</v>
      </c>
      <c r="B10385">
        <v>3.1994099999999999</v>
      </c>
      <c r="C10385">
        <f>LOG10(1.015896)</f>
        <v>6.8492503318045286E-3</v>
      </c>
      <c r="D10385">
        <f>LOG10(3.19941)</f>
        <v>0.50506989789216372</v>
      </c>
    </row>
    <row r="10386" spans="1:4">
      <c r="A10386">
        <v>1.0037309999999999</v>
      </c>
      <c r="B10386">
        <v>3.2391350000000001</v>
      </c>
      <c r="C10386">
        <f>LOG10(1.003731)</f>
        <v>1.6173374416519591E-3</v>
      </c>
      <c r="D10386">
        <f>LOG10(3.239135)</f>
        <v>0.51042904882316265</v>
      </c>
    </row>
    <row r="10387" spans="1:4">
      <c r="A10387">
        <v>1.0106120000000001</v>
      </c>
      <c r="B10387">
        <v>3.3943349999999999</v>
      </c>
      <c r="C10387">
        <f>LOG10(1.010612)</f>
        <v>4.584450742546025E-3</v>
      </c>
      <c r="D10387">
        <f>LOG10(3.394335)</f>
        <v>0.53075470229273047</v>
      </c>
    </row>
    <row r="10388" spans="1:4">
      <c r="A10388">
        <v>1.024375</v>
      </c>
      <c r="B10388">
        <v>3.2419959999999999</v>
      </c>
      <c r="C10388">
        <f>LOG10(1.024375)</f>
        <v>1.0458970914574314E-2</v>
      </c>
      <c r="D10388">
        <f>LOG10(3.241996)</f>
        <v>0.51081247467690105</v>
      </c>
    </row>
    <row r="10389" spans="1:4">
      <c r="A10389">
        <v>1.0089140000000001</v>
      </c>
      <c r="B10389">
        <v>3.1945790000000001</v>
      </c>
      <c r="C10389">
        <f>LOG10(1.008914)</f>
        <v>3.854148479497417E-3</v>
      </c>
      <c r="D10389">
        <f>LOG10(3.194579)</f>
        <v>0.5044136324399362</v>
      </c>
    </row>
    <row r="10390" spans="1:4">
      <c r="A10390">
        <v>1.0016780000000001</v>
      </c>
      <c r="B10390">
        <v>3.1729889999999998</v>
      </c>
      <c r="C10390">
        <f>LOG10(1.001678)</f>
        <v>7.2813540573501794E-4</v>
      </c>
      <c r="D10390">
        <f>LOG10(3.172989)</f>
        <v>0.50146856650709937</v>
      </c>
    </row>
    <row r="10391" spans="1:4">
      <c r="A10391">
        <v>1.0034689999999999</v>
      </c>
      <c r="B10391">
        <v>3.2062750000000002</v>
      </c>
      <c r="C10391">
        <f>LOG10(1.003469)</f>
        <v>1.5039604439388531E-3</v>
      </c>
      <c r="D10391">
        <f>LOG10(3.206275)</f>
        <v>0.50600076875443933</v>
      </c>
    </row>
    <row r="10392" spans="1:4">
      <c r="A10392">
        <v>1.019441</v>
      </c>
      <c r="B10392">
        <v>3.1344310000000002</v>
      </c>
      <c r="C10392">
        <f>LOG10(1.019441)</f>
        <v>8.3620961113216215E-3</v>
      </c>
      <c r="D10392">
        <f>LOG10(3.134431)</f>
        <v>0.49615871391047567</v>
      </c>
    </row>
    <row r="10393" spans="1:4">
      <c r="A10393">
        <v>1.0111479999999999</v>
      </c>
      <c r="B10393">
        <v>3.1776300000000002</v>
      </c>
      <c r="C10393">
        <f>LOG10(1.011148)</f>
        <v>4.8147271826317669E-3</v>
      </c>
      <c r="D10393">
        <f>LOG10(3.17763)</f>
        <v>0.50210332700818572</v>
      </c>
    </row>
    <row r="10394" spans="1:4">
      <c r="A10394">
        <v>1.0063230000000001</v>
      </c>
      <c r="B10394">
        <v>3.2590240000000001</v>
      </c>
      <c r="C10394">
        <f>LOG10(1.006323)</f>
        <v>2.7373988141802122E-3</v>
      </c>
      <c r="D10394">
        <f>LOG10(3.259024)</f>
        <v>0.51308755869441303</v>
      </c>
    </row>
    <row r="10395" spans="1:4">
      <c r="A10395">
        <v>1.014535</v>
      </c>
      <c r="B10395">
        <v>3.101505</v>
      </c>
      <c r="C10395">
        <f>LOG10(1.014535)</f>
        <v>6.2670341635187683E-3</v>
      </c>
      <c r="D10395">
        <f>LOG10(3.101505)</f>
        <v>0.4915724856366161</v>
      </c>
    </row>
    <row r="10396" spans="1:4">
      <c r="A10396">
        <v>1.010777</v>
      </c>
      <c r="B10396">
        <v>3.1529120000000002</v>
      </c>
      <c r="C10396">
        <f>LOG10(1.010777)</f>
        <v>4.6553510884697214E-3</v>
      </c>
      <c r="D10396">
        <f>LOG10(3.152912)</f>
        <v>0.49871184945144192</v>
      </c>
    </row>
    <row r="10397" spans="1:4">
      <c r="A10397">
        <v>1.0194000000000001</v>
      </c>
      <c r="B10397">
        <v>3.2490359999999998</v>
      </c>
      <c r="C10397">
        <f>LOG10(1.0194)</f>
        <v>8.3446292526892767E-3</v>
      </c>
      <c r="D10397">
        <f>LOG10(3.249036)</f>
        <v>0.51175452344554628</v>
      </c>
    </row>
    <row r="10398" spans="1:4">
      <c r="A10398">
        <v>1.008969</v>
      </c>
      <c r="B10398">
        <v>3.1786729999999999</v>
      </c>
      <c r="C10398">
        <f>LOG10(1.008969)</f>
        <v>3.8778229903690159E-3</v>
      </c>
      <c r="D10398">
        <f>LOG10(3.178673)</f>
        <v>0.50224585298553148</v>
      </c>
    </row>
    <row r="10399" spans="1:4">
      <c r="A10399">
        <v>1.0111349999999999</v>
      </c>
      <c r="B10399">
        <v>3.2674759999999998</v>
      </c>
      <c r="C10399">
        <f>LOG10(1.011135)</f>
        <v>4.8091435642511173E-3</v>
      </c>
      <c r="D10399">
        <f>LOG10(3.267476)</f>
        <v>0.51421240631965304</v>
      </c>
    </row>
    <row r="10400" spans="1:4">
      <c r="A10400">
        <v>1.024246</v>
      </c>
      <c r="B10400">
        <v>3.3052730000000001</v>
      </c>
      <c r="C10400">
        <f>LOG10(1.024246)</f>
        <v>1.0404276573122588E-2</v>
      </c>
      <c r="D10400">
        <f>LOG10(3.305273)</f>
        <v>0.51920733598416335</v>
      </c>
    </row>
    <row r="10401" spans="1:4">
      <c r="A10401">
        <v>1.0023</v>
      </c>
      <c r="B10401">
        <v>3.1271580000000001</v>
      </c>
      <c r="C10401">
        <f>LOG10(1.0023)</f>
        <v>9.9773035779373003E-4</v>
      </c>
      <c r="D10401">
        <f>LOG10(3.127158)</f>
        <v>0.495149824573484</v>
      </c>
    </row>
    <row r="10402" spans="1:4">
      <c r="A10402">
        <v>1.020567</v>
      </c>
      <c r="B10402">
        <v>3.267833</v>
      </c>
      <c r="C10402">
        <f>LOG10(1.020567)</f>
        <v>8.8415213256187643E-3</v>
      </c>
      <c r="D10402">
        <f>LOG10(3.267833)</f>
        <v>0.51425985415423714</v>
      </c>
    </row>
    <row r="10403" spans="1:4">
      <c r="A10403">
        <v>1.018089</v>
      </c>
      <c r="B10403">
        <v>3.3456100000000002</v>
      </c>
      <c r="C10403">
        <f>LOG10(1.018089)</f>
        <v>7.7857451121127906E-3</v>
      </c>
      <c r="D10403">
        <f>LOG10(3.34561)</f>
        <v>0.52447531357807076</v>
      </c>
    </row>
    <row r="10404" spans="1:4">
      <c r="A10404">
        <v>1.0152319999999999</v>
      </c>
      <c r="B10404">
        <v>3.2814939999999999</v>
      </c>
      <c r="C10404">
        <f>LOG10(1.015232)</f>
        <v>6.565298216273995E-3</v>
      </c>
      <c r="D10404">
        <f>LOG10(3.281494)</f>
        <v>0.516071614514236</v>
      </c>
    </row>
    <row r="10405" spans="1:4">
      <c r="A10405">
        <v>1.021339</v>
      </c>
      <c r="B10405">
        <v>3.2080329999999999</v>
      </c>
      <c r="C10405">
        <f>LOG10(1.021339)</f>
        <v>9.1699158315405888E-3</v>
      </c>
      <c r="D10405">
        <f>LOG10(3.208033)</f>
        <v>0.50623882708225987</v>
      </c>
    </row>
    <row r="10406" spans="1:4">
      <c r="A10406">
        <v>1.0201830000000001</v>
      </c>
      <c r="B10406">
        <v>3.1988690000000002</v>
      </c>
      <c r="C10406">
        <f>LOG10(1.020183)</f>
        <v>8.6780823124921608E-3</v>
      </c>
      <c r="D10406">
        <f>LOG10(3.198869)</f>
        <v>0.50499645523195169</v>
      </c>
    </row>
    <row r="10407" spans="1:4">
      <c r="A10407">
        <v>1.0203759999999999</v>
      </c>
      <c r="B10407">
        <v>3.3373569999999999</v>
      </c>
      <c r="C10407">
        <f>LOG10(1.020376)</f>
        <v>8.7602351296929559E-3</v>
      </c>
      <c r="D10407">
        <f>LOG10(3.337357)</f>
        <v>0.52340266600067054</v>
      </c>
    </row>
    <row r="10408" spans="1:4">
      <c r="A10408">
        <v>1.0105580000000001</v>
      </c>
      <c r="B10408">
        <v>3.5415480000000001</v>
      </c>
      <c r="C10408">
        <f>LOG10(1.010558)</f>
        <v>4.5612444788192185E-3</v>
      </c>
      <c r="D10408">
        <f>LOG10(3.541548)</f>
        <v>0.54919313233908507</v>
      </c>
    </row>
    <row r="10409" spans="1:4">
      <c r="A10409">
        <v>1.0110079999999999</v>
      </c>
      <c r="B10409">
        <v>3.3183950000000002</v>
      </c>
      <c r="C10409">
        <f>LOG10(1.011008)</f>
        <v>4.7545921311682674E-3</v>
      </c>
      <c r="D10409">
        <f>LOG10(3.318395)</f>
        <v>0.52092808033513871</v>
      </c>
    </row>
    <row r="10410" spans="1:4">
      <c r="A10410">
        <v>1.014143</v>
      </c>
      <c r="B10410">
        <v>3.031412</v>
      </c>
      <c r="C10410">
        <f>LOG10(1.014143)</f>
        <v>6.0991973367528875E-3</v>
      </c>
      <c r="D10410">
        <f>LOG10(3.031412)</f>
        <v>0.48164496545598501</v>
      </c>
    </row>
    <row r="10411" spans="1:4">
      <c r="A10411">
        <v>1.024359</v>
      </c>
      <c r="B10411">
        <v>3.2877839999999998</v>
      </c>
      <c r="C10411">
        <f>LOG10(1.024359)</f>
        <v>1.04521874944616E-2</v>
      </c>
      <c r="D10411">
        <f>LOG10(3.287784)</f>
        <v>0.51690327763641364</v>
      </c>
    </row>
    <row r="10412" spans="1:4">
      <c r="A10412">
        <v>1.0022979999999999</v>
      </c>
      <c r="B10412">
        <v>3.2009310000000002</v>
      </c>
      <c r="C10412">
        <f>LOG10(1.002298)</f>
        <v>9.9686376113561543E-4</v>
      </c>
      <c r="D10412">
        <f>LOG10(3.200931)</f>
        <v>0.50527631249395133</v>
      </c>
    </row>
    <row r="10413" spans="1:4">
      <c r="A10413">
        <v>1.009585</v>
      </c>
      <c r="B10413">
        <v>3.1968230000000002</v>
      </c>
      <c r="C10413">
        <f>LOG10(1.009585)</f>
        <v>4.142889378642098E-3</v>
      </c>
      <c r="D10413">
        <f>LOG10(3.196823)</f>
        <v>0.50471859115085294</v>
      </c>
    </row>
    <row r="10414" spans="1:4">
      <c r="A10414">
        <v>1.0094700000000001</v>
      </c>
      <c r="B10414">
        <v>3.2392850000000002</v>
      </c>
      <c r="C10414">
        <f>LOG10(1.00947)</f>
        <v>4.0934168625661876E-3</v>
      </c>
      <c r="D10414">
        <f>LOG10(3.239285)</f>
        <v>0.51044915995281992</v>
      </c>
    </row>
    <row r="10415" spans="1:4">
      <c r="A10415">
        <v>1.0094799999999999</v>
      </c>
      <c r="B10415">
        <v>3.1984840000000001</v>
      </c>
      <c r="C10415">
        <f>LOG10(1.00948)</f>
        <v>4.0977190442140739E-3</v>
      </c>
      <c r="D10415">
        <f>LOG10(3.198484)</f>
        <v>0.50494418255738316</v>
      </c>
    </row>
    <row r="10416" spans="1:4">
      <c r="A10416">
        <v>1.0060690000000001</v>
      </c>
      <c r="B10416">
        <v>3.276211</v>
      </c>
      <c r="C10416">
        <f>LOG10(1.006069)</f>
        <v>2.6277672921018081E-3</v>
      </c>
      <c r="D10416">
        <f>LOG10(3.276211)</f>
        <v>0.515371864146002</v>
      </c>
    </row>
    <row r="10417" spans="1:4">
      <c r="A10417">
        <v>1.0006870000000001</v>
      </c>
      <c r="B10417">
        <v>3.5303059999999999</v>
      </c>
      <c r="C10417">
        <f>LOG10(1.000687)</f>
        <v>2.9825786921618141E-4</v>
      </c>
      <c r="D10417">
        <f>LOG10(3.530306)</f>
        <v>0.54781235081326041</v>
      </c>
    </row>
    <row r="10418" spans="1:4">
      <c r="A10418">
        <v>1.0163169999999999</v>
      </c>
      <c r="B10418">
        <v>3.3734160000000002</v>
      </c>
      <c r="C10418">
        <f>LOG10(1.016317)</f>
        <v>7.0291901112438573E-3</v>
      </c>
      <c r="D10418">
        <f>LOG10(3.373416)</f>
        <v>0.52806990044338942</v>
      </c>
    </row>
    <row r="10419" spans="1:4">
      <c r="A10419">
        <v>1.0193950000000001</v>
      </c>
      <c r="B10419">
        <v>3.239414</v>
      </c>
      <c r="C10419">
        <f>LOG10(1.019395)</f>
        <v>8.3424990999181204E-3</v>
      </c>
      <c r="D10419">
        <f>LOG10(3.239414)</f>
        <v>0.51046645477950436</v>
      </c>
    </row>
    <row r="10420" spans="1:4">
      <c r="A10420">
        <v>1.0067520000000001</v>
      </c>
      <c r="B10420">
        <v>3.392687</v>
      </c>
      <c r="C10420">
        <f>LOG10(1.006752)</f>
        <v>2.9225010439102805E-3</v>
      </c>
      <c r="D10420">
        <f>LOG10(3.392687)</f>
        <v>0.53054379467515023</v>
      </c>
    </row>
    <row r="10421" spans="1:4">
      <c r="A10421">
        <v>1.0154639999999999</v>
      </c>
      <c r="B10421">
        <v>3.5087980000000001</v>
      </c>
      <c r="C10421">
        <f>LOG10(1.015464)</f>
        <v>6.6645315040136915E-3</v>
      </c>
      <c r="D10421">
        <f>LOG10(3.508798)</f>
        <v>0.54515836678750285</v>
      </c>
    </row>
    <row r="10422" spans="1:4">
      <c r="A10422">
        <v>1.028877</v>
      </c>
      <c r="B10422">
        <v>3.2030400000000001</v>
      </c>
      <c r="C10422">
        <f>LOG10(1.028877)</f>
        <v>1.2363458908047372E-2</v>
      </c>
      <c r="D10422">
        <f>LOG10(3.20304)</f>
        <v>0.50556236222635853</v>
      </c>
    </row>
    <row r="10423" spans="1:4">
      <c r="A10423">
        <v>1.0059439999999999</v>
      </c>
      <c r="B10423">
        <v>3.34538</v>
      </c>
      <c r="C10423">
        <f>LOG10(1.005944)</f>
        <v>2.5738046086521311E-3</v>
      </c>
      <c r="D10423">
        <f>LOG10(3.34538)</f>
        <v>0.52444545619347527</v>
      </c>
    </row>
    <row r="10424" spans="1:4">
      <c r="A10424">
        <v>1.0202960000000001</v>
      </c>
      <c r="B10424">
        <v>3.4190070000000001</v>
      </c>
      <c r="C10424">
        <f>LOG10(1.020296)</f>
        <v>8.7261840342008849E-3</v>
      </c>
      <c r="D10424">
        <f>LOG10(3.419007)</f>
        <v>0.53389998996250898</v>
      </c>
    </row>
    <row r="10425" spans="1:4">
      <c r="A10425">
        <v>1.011892</v>
      </c>
      <c r="B10425">
        <v>3.4474230000000001</v>
      </c>
      <c r="C10425">
        <f>LOG10(1.011892)</f>
        <v>5.1341623980532599E-3</v>
      </c>
      <c r="D10425">
        <f>LOG10(3.447423)</f>
        <v>0.53749457476128515</v>
      </c>
    </row>
    <row r="10426" spans="1:4">
      <c r="A10426">
        <v>1.012076</v>
      </c>
      <c r="B10426">
        <v>3.2519740000000001</v>
      </c>
      <c r="C10426">
        <f>LOG10(1.012076)</f>
        <v>5.2131262797849142E-3</v>
      </c>
      <c r="D10426">
        <f>LOG10(3.251974)</f>
        <v>0.51214706468904514</v>
      </c>
    </row>
    <row r="10427" spans="1:4">
      <c r="A10427">
        <v>1.006216</v>
      </c>
      <c r="B10427">
        <v>3.2954750000000002</v>
      </c>
      <c r="C10427">
        <f>LOG10(1.006216)</f>
        <v>2.6912188299836647E-3</v>
      </c>
      <c r="D10427">
        <f>LOG10(3.295475)</f>
        <v>0.51791802136134391</v>
      </c>
    </row>
    <row r="10428" spans="1:4">
      <c r="A10428">
        <v>1.0065329999999999</v>
      </c>
      <c r="B10428">
        <v>3.454523</v>
      </c>
      <c r="C10428">
        <f>LOG10(1.006533)</f>
        <v>2.8280181545905585E-3</v>
      </c>
      <c r="D10428">
        <f>LOG10(3.454523)</f>
        <v>0.5383880885352782</v>
      </c>
    </row>
    <row r="10429" spans="1:4">
      <c r="A10429">
        <v>1.0095959999999999</v>
      </c>
      <c r="B10429">
        <v>3.3448889999999998</v>
      </c>
      <c r="C10429">
        <f>LOG10(1.009596)</f>
        <v>4.1476212370549648E-3</v>
      </c>
      <c r="D10429">
        <f>LOG10(3.344889)</f>
        <v>0.52438171029895375</v>
      </c>
    </row>
    <row r="10430" spans="1:4">
      <c r="A10430">
        <v>1.253546</v>
      </c>
      <c r="B10430">
        <v>3.425548</v>
      </c>
      <c r="C10430">
        <f>LOG10(1.253546)</f>
        <v>9.8140275413992839E-2</v>
      </c>
      <c r="D10430">
        <f>LOG10(3.425548)</f>
        <v>0.53473005738717239</v>
      </c>
    </row>
    <row r="10431" spans="1:4">
      <c r="A10431">
        <v>1.0052289999999999</v>
      </c>
      <c r="B10431">
        <v>3.2454149999999999</v>
      </c>
      <c r="C10431">
        <f>LOG10(1.005229)</f>
        <v>2.2650091269674809E-3</v>
      </c>
      <c r="D10431">
        <f>LOG10(3.245415)</f>
        <v>0.51127023909820879</v>
      </c>
    </row>
    <row r="10432" spans="1:4">
      <c r="A10432">
        <v>1.002353</v>
      </c>
      <c r="B10432">
        <v>3.222693</v>
      </c>
      <c r="C10432">
        <f>LOG10(1.002353)</f>
        <v>1.020694539172024E-3</v>
      </c>
      <c r="D10432">
        <f>LOG10(3.222693)</f>
        <v>0.5082189357461836</v>
      </c>
    </row>
    <row r="10433" spans="1:4">
      <c r="A10433">
        <v>1.020597</v>
      </c>
      <c r="B10433">
        <v>3.3488310000000001</v>
      </c>
      <c r="C10433">
        <f>LOG10(1.020597)</f>
        <v>8.8542874085577386E-3</v>
      </c>
      <c r="D10433">
        <f>LOG10(3.348831)</f>
        <v>0.52489323126056475</v>
      </c>
    </row>
    <row r="10434" spans="1:4">
      <c r="A10434">
        <v>1.004948</v>
      </c>
      <c r="B10434">
        <v>3.4773239999999999</v>
      </c>
      <c r="C10434">
        <f>LOG10(1.004948)</f>
        <v>2.1435902168817473E-3</v>
      </c>
      <c r="D10434">
        <f>LOG10(3.477324)</f>
        <v>0.54124515799891371</v>
      </c>
    </row>
    <row r="10435" spans="1:4">
      <c r="A10435">
        <v>1.0051810000000001</v>
      </c>
      <c r="B10435">
        <v>3.4919790000000002</v>
      </c>
      <c r="C10435">
        <f>LOG10(1.005181)</f>
        <v>2.2442709341259793E-3</v>
      </c>
      <c r="D10435">
        <f>LOG10(3.491979)</f>
        <v>0.54307162328910397</v>
      </c>
    </row>
    <row r="10436" spans="1:4">
      <c r="A10436">
        <v>1.0056369999999999</v>
      </c>
      <c r="B10436">
        <v>3.3217810000000001</v>
      </c>
      <c r="C10436">
        <f>LOG10(1.005637)</f>
        <v>2.4412437950637419E-3</v>
      </c>
      <c r="D10436">
        <f>LOG10(3.321781)</f>
        <v>0.52137099668048303</v>
      </c>
    </row>
    <row r="10437" spans="1:4">
      <c r="A10437">
        <v>1.0162990000000001</v>
      </c>
      <c r="B10437">
        <v>3.3239860000000001</v>
      </c>
      <c r="C10437">
        <f>LOG10(1.016299)</f>
        <v>7.0214982494515672E-3</v>
      </c>
      <c r="D10437">
        <f>LOG10(3.323986)</f>
        <v>0.52165918594975369</v>
      </c>
    </row>
    <row r="10438" spans="1:4">
      <c r="A10438">
        <v>1.004605</v>
      </c>
      <c r="B10438">
        <v>3.628959</v>
      </c>
      <c r="C10438">
        <f>LOG10(1.004605)</f>
        <v>1.9953353475258249E-3</v>
      </c>
      <c r="D10438">
        <f>LOG10(3.628959)</f>
        <v>0.5597820615666782</v>
      </c>
    </row>
    <row r="10439" spans="1:4">
      <c r="A10439">
        <v>1.006</v>
      </c>
      <c r="B10439">
        <v>3.5154550000000002</v>
      </c>
      <c r="C10439">
        <f>LOG10(1.006)</f>
        <v>2.5979807199085947E-3</v>
      </c>
      <c r="D10439">
        <f>LOG10(3.515455)</f>
        <v>0.54598154306876512</v>
      </c>
    </row>
    <row r="10440" spans="1:4">
      <c r="A10440">
        <v>1.024837</v>
      </c>
      <c r="B10440">
        <v>3.320611</v>
      </c>
      <c r="C10440">
        <f>LOG10(1.024837)</f>
        <v>1.0654796484636159E-2</v>
      </c>
      <c r="D10440">
        <f>LOG10(3.320611)</f>
        <v>0.52121800223237402</v>
      </c>
    </row>
    <row r="10441" spans="1:4">
      <c r="A10441">
        <v>1.0197309999999999</v>
      </c>
      <c r="B10441">
        <v>3.4005049999999999</v>
      </c>
      <c r="C10441">
        <f>LOG10(1.019731)</f>
        <v>8.4856221312953964E-3</v>
      </c>
      <c r="D10441">
        <f>LOG10(3.400505)</f>
        <v>0.53154341775617686</v>
      </c>
    </row>
    <row r="10442" spans="1:4">
      <c r="A10442">
        <v>1.0197309999999999</v>
      </c>
      <c r="B10442">
        <v>3.8977499999999998</v>
      </c>
      <c r="C10442">
        <f>LOG10(1.019731)</f>
        <v>8.4856221312953964E-3</v>
      </c>
      <c r="D10442">
        <f>LOG10(3.89775)</f>
        <v>0.59081398021455955</v>
      </c>
    </row>
    <row r="10443" spans="1:4">
      <c r="A10443">
        <v>1.0489839999999999</v>
      </c>
      <c r="B10443">
        <v>3.8175949999999998</v>
      </c>
      <c r="C10443">
        <f>LOG10(1.048984)</f>
        <v>2.0768864013668384E-2</v>
      </c>
      <c r="D10443">
        <f>LOG10(3.817595)</f>
        <v>0.58178985318423582</v>
      </c>
    </row>
    <row r="10444" spans="1:4">
      <c r="A10444">
        <v>1.002246</v>
      </c>
      <c r="B10444">
        <v>3.8956249999999999</v>
      </c>
      <c r="C10444">
        <f>LOG10(1.002246)</f>
        <v>9.7433164104844419E-4</v>
      </c>
      <c r="D10444">
        <f>LOG10(3.895625)</f>
        <v>0.59057714423607377</v>
      </c>
    </row>
    <row r="10445" spans="1:4">
      <c r="A10445">
        <v>1.0127470000000001</v>
      </c>
      <c r="B10445">
        <v>3.962774</v>
      </c>
      <c r="C10445">
        <f>LOG10(1.012747)</f>
        <v>5.5009653729051226E-3</v>
      </c>
      <c r="D10445">
        <f>LOG10(3.962774)</f>
        <v>0.59799930489748587</v>
      </c>
    </row>
    <row r="10446" spans="1:4">
      <c r="A10446">
        <v>1.00278</v>
      </c>
      <c r="B10446">
        <v>3.604203</v>
      </c>
      <c r="C10446">
        <f>LOG10(1.00278)</f>
        <v>1.2056635627489232E-3</v>
      </c>
      <c r="D10446">
        <f>LOG10(3.604203)</f>
        <v>0.55680924382117802</v>
      </c>
    </row>
    <row r="10447" spans="1:4">
      <c r="A10447">
        <v>1.0051060000000001</v>
      </c>
      <c r="B10447">
        <v>3.7797149999999999</v>
      </c>
      <c r="C10447">
        <f>LOG10(1.005106)</f>
        <v>2.2118655251889704E-3</v>
      </c>
      <c r="D10447">
        <f>LOG10(3.779715)</f>
        <v>0.57745905417752752</v>
      </c>
    </row>
    <row r="10448" spans="1:4">
      <c r="A10448">
        <v>1.0062679999999999</v>
      </c>
      <c r="B10448">
        <v>3.700345</v>
      </c>
      <c r="C10448">
        <f>LOG10(1.006268)</f>
        <v>2.7136620524529807E-3</v>
      </c>
      <c r="D10448">
        <f>LOG10(3.700345)</f>
        <v>0.56824221720518386</v>
      </c>
    </row>
    <row r="10449" spans="1:4">
      <c r="A10449">
        <v>1.012384</v>
      </c>
      <c r="B10449">
        <v>3.9648759999999998</v>
      </c>
      <c r="C10449">
        <f>LOG10(1.012384)</f>
        <v>5.3452728289468945E-3</v>
      </c>
      <c r="D10449">
        <f>LOG10(3.964876)</f>
        <v>0.59822960947005244</v>
      </c>
    </row>
    <row r="10450" spans="1:4">
      <c r="A10450">
        <v>1.0044960000000001</v>
      </c>
      <c r="B10450">
        <v>3.7568899999999998</v>
      </c>
      <c r="C10450">
        <f>LOG10(1.004496)</f>
        <v>1.9482116851774786E-3</v>
      </c>
      <c r="D10450">
        <f>LOG10(3.75689)</f>
        <v>0.57482847930815983</v>
      </c>
    </row>
    <row r="10451" spans="1:4">
      <c r="A10451">
        <v>1.00197</v>
      </c>
      <c r="B10451">
        <v>3.8426070000000001</v>
      </c>
      <c r="C10451">
        <f>LOG10(1.00197)</f>
        <v>8.5471850777041466E-4</v>
      </c>
      <c r="D10451">
        <f>LOG10(3.842607)</f>
        <v>0.58462596956477431</v>
      </c>
    </row>
    <row r="10452" spans="1:4">
      <c r="A10452">
        <v>1.003512</v>
      </c>
      <c r="B10452">
        <v>3.5003259999999998</v>
      </c>
      <c r="C10452">
        <f>LOG10(1.003512)</f>
        <v>1.5225701494863437E-3</v>
      </c>
      <c r="D10452">
        <f>LOG10(3.500326)</f>
        <v>0.54410849389539762</v>
      </c>
    </row>
    <row r="10453" spans="1:4">
      <c r="A10453">
        <v>1.014848</v>
      </c>
      <c r="B10453">
        <v>3.5291939999999999</v>
      </c>
      <c r="C10453">
        <f>LOG10(1.014848)</f>
        <v>6.4010001757634702E-3</v>
      </c>
      <c r="D10453">
        <f>LOG10(3.529194)</f>
        <v>0.54767553220914655</v>
      </c>
    </row>
    <row r="10454" spans="1:4">
      <c r="A10454">
        <v>1.0072270000000001</v>
      </c>
      <c r="B10454">
        <v>3.844627</v>
      </c>
      <c r="C10454">
        <f>LOG10(1.007227)</f>
        <v>3.1273590714558197E-3</v>
      </c>
      <c r="D10454">
        <f>LOG10(3.844627)</f>
        <v>0.58485421157578543</v>
      </c>
    </row>
    <row r="10455" spans="1:4">
      <c r="A10455">
        <v>1.0174129999999999</v>
      </c>
      <c r="B10455">
        <v>3.6917520000000001</v>
      </c>
      <c r="C10455">
        <f>LOG10(1.017413)</f>
        <v>7.4972825308329922E-3</v>
      </c>
      <c r="D10455">
        <f>LOG10(3.691752)</f>
        <v>0.56723251883029124</v>
      </c>
    </row>
    <row r="10456" spans="1:4">
      <c r="A10456">
        <v>1.006632</v>
      </c>
      <c r="B10456">
        <v>4.3326799999999999</v>
      </c>
      <c r="C10456">
        <f>LOG10(1.006632)</f>
        <v>2.8707321435016628E-3</v>
      </c>
      <c r="D10456">
        <f>LOG10(4.33268)</f>
        <v>0.63675661440566189</v>
      </c>
    </row>
    <row r="10457" spans="1:4">
      <c r="A10457">
        <v>1.0034179999999999</v>
      </c>
      <c r="B10457">
        <v>4.2606719999999996</v>
      </c>
      <c r="C10457">
        <f>LOG10(1.003418)</f>
        <v>1.4818874337675344E-3</v>
      </c>
      <c r="D10457">
        <f>LOG10(4.260672)</f>
        <v>0.6294781021251199</v>
      </c>
    </row>
    <row r="10458" spans="1:4">
      <c r="A10458">
        <v>1.006038</v>
      </c>
      <c r="B10458">
        <v>3.6892860000000001</v>
      </c>
      <c r="C10458">
        <f>LOG10(1.006038)</f>
        <v>2.6143851718267771E-3</v>
      </c>
      <c r="D10458">
        <f>LOG10(3.689286)</f>
        <v>0.56694232381104825</v>
      </c>
    </row>
    <row r="10459" spans="1:4">
      <c r="A10459">
        <v>1.006813</v>
      </c>
      <c r="B10459">
        <v>3.7635640000000001</v>
      </c>
      <c r="C10459">
        <f>LOG10(1.006813)</f>
        <v>2.9488145360539609E-3</v>
      </c>
      <c r="D10459">
        <f>LOG10(3.763564)</f>
        <v>0.57559930567931594</v>
      </c>
    </row>
    <row r="10460" spans="1:4">
      <c r="A10460">
        <v>1.0120480000000001</v>
      </c>
      <c r="B10460">
        <v>3.6961740000000001</v>
      </c>
      <c r="C10460">
        <f>LOG10(1.012048)</f>
        <v>5.2011109630414436E-3</v>
      </c>
      <c r="D10460">
        <f>LOG10(3.696174)</f>
        <v>0.56775240774859204</v>
      </c>
    </row>
    <row r="10461" spans="1:4">
      <c r="A10461">
        <v>1.0096849999999999</v>
      </c>
      <c r="B10461">
        <v>3.6533959999999999</v>
      </c>
      <c r="C10461">
        <f>LOG10(1.009685)</f>
        <v>4.1859043773553204E-3</v>
      </c>
      <c r="D10461">
        <f>LOG10(3.653396)</f>
        <v>0.56269674894167565</v>
      </c>
    </row>
    <row r="10462" spans="1:4">
      <c r="A10462">
        <v>1.0021420000000001</v>
      </c>
      <c r="B10462">
        <v>3.7702939999999998</v>
      </c>
      <c r="C10462">
        <f>LOG10(1.002142)</f>
        <v>9.292638935280848E-4</v>
      </c>
      <c r="D10462">
        <f>LOG10(3.770294)</f>
        <v>0.57637521694301663</v>
      </c>
    </row>
    <row r="10463" spans="1:4">
      <c r="A10463">
        <v>1.000378</v>
      </c>
      <c r="B10463">
        <v>3.952887</v>
      </c>
      <c r="C10463">
        <f>LOG10(1.000378)</f>
        <v>1.6413229510960284E-4</v>
      </c>
      <c r="D10463">
        <f>LOG10(3.952887)</f>
        <v>0.596914399473783</v>
      </c>
    </row>
    <row r="10464" spans="1:4">
      <c r="A10464">
        <v>1.0091289999999999</v>
      </c>
      <c r="B10464">
        <v>3.79481</v>
      </c>
      <c r="C10464">
        <f>LOG10(1.009129)</f>
        <v>3.946686957579811E-3</v>
      </c>
      <c r="D10464">
        <f>LOG10(3.79481)</f>
        <v>0.57919003635343669</v>
      </c>
    </row>
    <row r="10465" spans="1:4">
      <c r="A10465">
        <v>1.002586</v>
      </c>
      <c r="B10465">
        <v>3.7587320000000002</v>
      </c>
      <c r="C10465">
        <f>LOG10(1.002586)</f>
        <v>1.1216358792716164E-3</v>
      </c>
      <c r="D10465">
        <f>LOG10(3.758732)</f>
        <v>0.57504136134285611</v>
      </c>
    </row>
    <row r="10466" spans="1:4">
      <c r="A10466">
        <v>1.007325</v>
      </c>
      <c r="B10466">
        <v>3.698029</v>
      </c>
      <c r="C10466">
        <f>LOG10(1.007325)</f>
        <v>3.1696124948075739E-3</v>
      </c>
      <c r="D10466">
        <f>LOG10(3.698029)</f>
        <v>0.56797031258048036</v>
      </c>
    </row>
    <row r="10467" spans="1:4">
      <c r="A10467">
        <v>1.0025949999999999</v>
      </c>
      <c r="B10467">
        <v>3.514999</v>
      </c>
      <c r="C10467">
        <f>LOG10(1.002595)</f>
        <v>1.1255344304120104E-3</v>
      </c>
      <c r="D10467">
        <f>LOG10(3.514999)</f>
        <v>0.54592520580120729</v>
      </c>
    </row>
    <row r="10468" spans="1:4">
      <c r="A10468">
        <v>1.008094</v>
      </c>
      <c r="B10468">
        <v>3.703049</v>
      </c>
      <c r="C10468">
        <f>LOG10(1.008094)</f>
        <v>3.5010299050740614E-3</v>
      </c>
      <c r="D10468">
        <f>LOG10(3.703049)</f>
        <v>0.56855945881930969</v>
      </c>
    </row>
    <row r="10469" spans="1:4">
      <c r="A10469">
        <v>1.0015750000000001</v>
      </c>
      <c r="B10469">
        <v>3.73617</v>
      </c>
      <c r="C10469">
        <f>LOG10(1.001575)</f>
        <v>6.8347571304973233E-4</v>
      </c>
      <c r="D10469">
        <f>LOG10(3.73617)</f>
        <v>0.57242662890233365</v>
      </c>
    </row>
    <row r="10470" spans="1:4">
      <c r="A10470">
        <v>1.0004379999999999</v>
      </c>
      <c r="B10470">
        <v>3.6278450000000002</v>
      </c>
      <c r="C10470">
        <f>LOG10(1.000438)</f>
        <v>1.9017933683856131E-4</v>
      </c>
      <c r="D10470">
        <f>LOG10(3.627845)</f>
        <v>0.55964872351410289</v>
      </c>
    </row>
    <row r="10471" spans="1:4">
      <c r="A10471">
        <v>1.0055689999999999</v>
      </c>
      <c r="B10471">
        <v>3.9352999999999998</v>
      </c>
      <c r="C10471">
        <f>LOG10(1.005569)</f>
        <v>2.4118763162667856E-3</v>
      </c>
      <c r="D10471">
        <f>LOG10(3.9353)</f>
        <v>0.59497784555869315</v>
      </c>
    </row>
    <row r="10472" spans="1:4">
      <c r="A10472">
        <v>1.0019690000000001</v>
      </c>
      <c r="B10472">
        <v>3.2655189999999998</v>
      </c>
      <c r="C10472">
        <f>LOG10(1.001969)</f>
        <v>8.5428506695024243E-4</v>
      </c>
      <c r="D10472">
        <f>LOG10(3.265519)</f>
        <v>0.51395221499040611</v>
      </c>
    </row>
    <row r="10473" spans="1:4">
      <c r="A10473">
        <v>1.0011220000000001</v>
      </c>
      <c r="B10473">
        <v>3.5482070000000001</v>
      </c>
      <c r="C10473">
        <f>LOG10(1.001122)</f>
        <v>4.8700524981195177E-4</v>
      </c>
      <c r="D10473">
        <f>LOG10(3.548207)</f>
        <v>0.5500089483455346</v>
      </c>
    </row>
    <row r="10474" spans="1:4">
      <c r="A10474">
        <v>1.001951</v>
      </c>
      <c r="B10474">
        <v>3.604133</v>
      </c>
      <c r="C10474">
        <f>LOG10(1.001951)</f>
        <v>8.4648305821286701E-4</v>
      </c>
      <c r="D10474">
        <f>LOG10(3.604133)</f>
        <v>0.55680080897193285</v>
      </c>
    </row>
    <row r="10475" spans="1:4">
      <c r="A10475">
        <v>1.005295</v>
      </c>
      <c r="B10475">
        <v>3.6895310000000001</v>
      </c>
      <c r="C10475">
        <f>LOG10(1.005295)</f>
        <v>2.2935225252815163E-3</v>
      </c>
      <c r="D10475">
        <f>LOG10(3.689531)</f>
        <v>0.56697116370451772</v>
      </c>
    </row>
    <row r="10476" spans="1:4">
      <c r="A10476">
        <v>1.0004189999999999</v>
      </c>
      <c r="B10476">
        <v>3.4900679999999999</v>
      </c>
      <c r="C10476">
        <f>LOG10(1.000419)</f>
        <v>1.8193127597623482E-4</v>
      </c>
      <c r="D10476">
        <f>LOG10(3.490068)</f>
        <v>0.54283388877495886</v>
      </c>
    </row>
    <row r="10477" spans="1:4">
      <c r="A10477">
        <v>1.0063390000000001</v>
      </c>
      <c r="B10477">
        <v>3.7016819999999999</v>
      </c>
      <c r="C10477">
        <f>LOG10(1.006339)</f>
        <v>2.7443038103600031E-3</v>
      </c>
      <c r="D10477">
        <f>LOG10(3.701682)</f>
        <v>0.56839910712969222</v>
      </c>
    </row>
    <row r="10478" spans="1:4">
      <c r="A10478">
        <v>1.5404869999999999</v>
      </c>
      <c r="B10478">
        <v>3.8780960000000002</v>
      </c>
      <c r="C10478">
        <f>LOG10(1.540487)</f>
        <v>0.18765803770515874</v>
      </c>
      <c r="D10478">
        <f>LOG10(3.878096)</f>
        <v>0.58861855558183684</v>
      </c>
    </row>
    <row r="10479" spans="1:4">
      <c r="A10479">
        <v>1.009762</v>
      </c>
      <c r="B10479">
        <v>3.8463530000000001</v>
      </c>
      <c r="C10479">
        <f>LOG10(1.009762)</f>
        <v>4.2190230233240455E-3</v>
      </c>
      <c r="D10479">
        <f>LOG10(3.846353)</f>
        <v>0.5850491392152668</v>
      </c>
    </row>
    <row r="10480" spans="1:4">
      <c r="A10480">
        <v>1.002105</v>
      </c>
      <c r="B10480">
        <v>3.902914</v>
      </c>
      <c r="C10480">
        <f>LOG10(1.002105)</f>
        <v>9.1322904769094613E-4</v>
      </c>
      <c r="D10480">
        <f>LOG10(3.902914)</f>
        <v>0.59138898178677435</v>
      </c>
    </row>
    <row r="10481" spans="1:4">
      <c r="A10481">
        <v>1.0047440000000001</v>
      </c>
      <c r="B10481">
        <v>3.8576109999999999</v>
      </c>
      <c r="C10481">
        <f>LOG10(1.004744)</f>
        <v>2.0554214083155571E-3</v>
      </c>
      <c r="D10481">
        <f>LOG10(3.857611)</f>
        <v>0.58631843142836226</v>
      </c>
    </row>
    <row r="10482" spans="1:4">
      <c r="A10482">
        <v>1.008249</v>
      </c>
      <c r="B10482">
        <v>3.4768469999999998</v>
      </c>
      <c r="C10482">
        <f>LOG10(1.008249)</f>
        <v>3.5677999385728839E-3</v>
      </c>
      <c r="D10482">
        <f>LOG10(3.476847)</f>
        <v>0.54118557980672</v>
      </c>
    </row>
    <row r="10483" spans="1:4">
      <c r="A10483">
        <v>1.00634</v>
      </c>
      <c r="B10483">
        <v>3.4077060000000001</v>
      </c>
      <c r="C10483">
        <f>LOG10(1.00634)</f>
        <v>2.7447353689760245E-3</v>
      </c>
      <c r="D10483">
        <f>LOG10(3.407706)</f>
        <v>0.53246211893344442</v>
      </c>
    </row>
    <row r="10484" spans="1:4">
      <c r="A10484">
        <v>1.003104</v>
      </c>
      <c r="B10484">
        <v>3.608282</v>
      </c>
      <c r="C10484">
        <f>LOG10(1.003104)</f>
        <v>1.3459622174671244E-3</v>
      </c>
      <c r="D10484">
        <f>LOG10(3.608282)</f>
        <v>0.55730047184606801</v>
      </c>
    </row>
    <row r="10485" spans="1:4">
      <c r="A10485">
        <v>1.011053</v>
      </c>
      <c r="B10485">
        <v>3.7258110000000002</v>
      </c>
      <c r="C10485">
        <f>LOG10(1.011053)</f>
        <v>4.7739221629416947E-3</v>
      </c>
      <c r="D10485">
        <f>LOG10(3.725811)</f>
        <v>0.57122082057124601</v>
      </c>
    </row>
    <row r="10486" spans="1:4">
      <c r="A10486">
        <v>1.016327</v>
      </c>
      <c r="B10486">
        <v>3.799769</v>
      </c>
      <c r="C10486">
        <f>LOG10(1.016327)</f>
        <v>7.0334633089303147E-3</v>
      </c>
      <c r="D10486">
        <f>LOG10(3.799769)</f>
        <v>0.57975719528136149</v>
      </c>
    </row>
    <row r="10487" spans="1:4">
      <c r="A10487">
        <v>1.009018</v>
      </c>
      <c r="B10487">
        <v>3.3034270000000001</v>
      </c>
      <c r="C10487">
        <f>LOG10(1.009018)</f>
        <v>3.8989137403266983E-3</v>
      </c>
      <c r="D10487">
        <f>LOG10(3.303427)</f>
        <v>0.51896471409651701</v>
      </c>
    </row>
    <row r="10488" spans="1:4">
      <c r="A10488">
        <v>1.0141990000000001</v>
      </c>
      <c r="B10488">
        <v>3.4241280000000001</v>
      </c>
      <c r="C10488">
        <f>LOG10(1.014199)</f>
        <v>6.1231779977980027E-3</v>
      </c>
      <c r="D10488">
        <f>LOG10(3.424128)</f>
        <v>0.53454999100939415</v>
      </c>
    </row>
    <row r="10489" spans="1:4">
      <c r="A10489">
        <v>1.0116069999999999</v>
      </c>
      <c r="B10489">
        <v>3.5511149999999998</v>
      </c>
      <c r="C10489">
        <f>LOG10(1.011607)</f>
        <v>5.0118258630108253E-3</v>
      </c>
      <c r="D10489">
        <f>LOG10(3.551115)</f>
        <v>0.55036473680646314</v>
      </c>
    </row>
    <row r="10490" spans="1:4">
      <c r="A10490">
        <v>1.0053350000000001</v>
      </c>
      <c r="B10490">
        <v>3.336376</v>
      </c>
      <c r="C10490">
        <f>LOG10(1.005335)</f>
        <v>2.3108024616979024E-3</v>
      </c>
      <c r="D10490">
        <f>LOG10(3.336376)</f>
        <v>0.52327498846552922</v>
      </c>
    </row>
    <row r="10491" spans="1:4">
      <c r="A10491">
        <v>1.0036890000000001</v>
      </c>
      <c r="B10491">
        <v>3.5962619999999998</v>
      </c>
      <c r="C10491">
        <f>LOG10(1.003689)</f>
        <v>1.5991644950413403E-3</v>
      </c>
      <c r="D10491">
        <f>LOG10(3.596262)</f>
        <v>0.55585132405377702</v>
      </c>
    </row>
    <row r="10492" spans="1:4">
      <c r="A10492">
        <v>1.001036</v>
      </c>
      <c r="B10492">
        <v>3.7719299999999998</v>
      </c>
      <c r="C10492">
        <f>LOG10(1.001036)</f>
        <v>4.4969618083071956E-4</v>
      </c>
      <c r="D10492">
        <f>LOG10(3.77193)</f>
        <v>0.5765636244428568</v>
      </c>
    </row>
    <row r="10493" spans="1:4">
      <c r="A10493">
        <v>1.007679</v>
      </c>
      <c r="B10493">
        <v>3.5481889999999998</v>
      </c>
      <c r="C10493">
        <f>LOG10(1.007679)</f>
        <v>3.3222079717152371E-3</v>
      </c>
      <c r="D10493">
        <f>LOG10(3.548189)</f>
        <v>0.55000674517066261</v>
      </c>
    </row>
    <row r="10494" spans="1:4">
      <c r="A10494">
        <v>1.00241</v>
      </c>
      <c r="B10494">
        <v>3.4330189999999998</v>
      </c>
      <c r="C10494">
        <f>LOG10(1.00241)</f>
        <v>1.0453905111898081E-3</v>
      </c>
      <c r="D10494">
        <f>LOG10(3.433019)</f>
        <v>0.53567620702968888</v>
      </c>
    </row>
    <row r="10495" spans="1:4">
      <c r="A10495">
        <v>1.0053049999999999</v>
      </c>
      <c r="B10495">
        <v>3.5794239999999999</v>
      </c>
      <c r="C10495">
        <f>LOG10(1.005305)</f>
        <v>2.2978425738431397E-3</v>
      </c>
      <c r="D10495">
        <f>LOG10(3.579424)</f>
        <v>0.55381314570872764</v>
      </c>
    </row>
    <row r="10496" spans="1:4">
      <c r="A10496">
        <v>1.0046569999999999</v>
      </c>
      <c r="B10496">
        <v>3.5247959999999998</v>
      </c>
      <c r="C10496">
        <f>LOG10(1.004657)</f>
        <v>2.0178145593598069E-3</v>
      </c>
      <c r="D10496">
        <f>LOG10(3.524796)</f>
        <v>0.54713398696201654</v>
      </c>
    </row>
    <row r="10497" spans="1:4">
      <c r="A10497">
        <v>1.009625</v>
      </c>
      <c r="B10497">
        <v>3.865799</v>
      </c>
      <c r="C10497">
        <f>LOG10(1.009625)</f>
        <v>4.1600958893848339E-3</v>
      </c>
      <c r="D10497">
        <f>LOG10(3.865799)</f>
        <v>0.58723926938725668</v>
      </c>
    </row>
    <row r="10498" spans="1:4">
      <c r="A10498">
        <v>1.001422</v>
      </c>
      <c r="B10498">
        <v>3.3992</v>
      </c>
      <c r="C10498">
        <f>LOG10(1.001422)</f>
        <v>6.1712807911871613E-4</v>
      </c>
      <c r="D10498">
        <f>LOG10(3.3992)</f>
        <v>0.53137671808145803</v>
      </c>
    </row>
    <row r="10499" spans="1:4">
      <c r="A10499">
        <v>1.1202430000000001</v>
      </c>
      <c r="B10499">
        <v>3.4228109999999998</v>
      </c>
      <c r="C10499">
        <f>LOG10(1.120243)</f>
        <v>4.9312238841834805E-2</v>
      </c>
      <c r="D10499">
        <f>LOG10(3.422811)</f>
        <v>0.53438291902592228</v>
      </c>
    </row>
    <row r="10500" spans="1:4">
      <c r="A10500">
        <v>1.0057199999999999</v>
      </c>
      <c r="B10500">
        <v>3.3445279999999999</v>
      </c>
      <c r="C10500">
        <f>LOG10(1.00572)</f>
        <v>2.4770867031287495E-3</v>
      </c>
      <c r="D10500">
        <f>LOG10(3.344528)</f>
        <v>0.52433483616683751</v>
      </c>
    </row>
    <row r="10501" spans="1:4">
      <c r="A10501">
        <v>1.0054419999999999</v>
      </c>
      <c r="B10501">
        <v>3.4758200000000001</v>
      </c>
      <c r="C10501">
        <f>LOG10(1.005442)</f>
        <v>2.3570229124067056E-3</v>
      </c>
      <c r="D10501">
        <f>LOG10(3.47582)</f>
        <v>0.54105727783679725</v>
      </c>
    </row>
    <row r="10502" spans="1:4">
      <c r="A10502">
        <v>1.005396</v>
      </c>
      <c r="B10502">
        <v>3.1604869999999998</v>
      </c>
      <c r="C10502">
        <f>LOG10(1.005396)</f>
        <v>2.3371530410684575E-3</v>
      </c>
      <c r="D10502">
        <f>LOG10(3.160487)</f>
        <v>0.49975400828824712</v>
      </c>
    </row>
    <row r="10503" spans="1:4">
      <c r="A10503">
        <v>1.0038959999999999</v>
      </c>
      <c r="B10503">
        <v>3.4502199999999998</v>
      </c>
      <c r="C10503">
        <f>LOG10(1.003896)</f>
        <v>1.6887237994518555E-3</v>
      </c>
      <c r="D10503">
        <f>LOG10(3.45022)</f>
        <v>0.53784678833118504</v>
      </c>
    </row>
    <row r="10504" spans="1:4">
      <c r="A10504">
        <v>1.0056529999999999</v>
      </c>
      <c r="B10504">
        <v>3.493671</v>
      </c>
      <c r="C10504">
        <f>LOG10(1.005653)</f>
        <v>2.4481535014816186E-3</v>
      </c>
      <c r="D10504">
        <f>LOG10(3.493671)</f>
        <v>0.54328200493655265</v>
      </c>
    </row>
    <row r="10505" spans="1:4">
      <c r="A10505">
        <v>1.0023580000000001</v>
      </c>
      <c r="B10505">
        <v>3.1724749999999999</v>
      </c>
      <c r="C10505">
        <f>LOG10(1.002358)</f>
        <v>1.0228609086981402E-3</v>
      </c>
      <c r="D10505">
        <f>LOG10(3.172475)</f>
        <v>0.50139820841691507</v>
      </c>
    </row>
    <row r="10506" spans="1:4">
      <c r="A10506">
        <v>1.00918</v>
      </c>
      <c r="B10506">
        <v>3.241676</v>
      </c>
      <c r="C10506">
        <f>LOG10(1.00918)</f>
        <v>3.9686350523282267E-3</v>
      </c>
      <c r="D10506">
        <f>LOG10(3.241676)</f>
        <v>0.51076960568713048</v>
      </c>
    </row>
    <row r="10507" spans="1:4">
      <c r="A10507">
        <v>1.0022310000000001</v>
      </c>
      <c r="B10507">
        <v>3.345987</v>
      </c>
      <c r="C10507">
        <f>LOG10(1.002231)</f>
        <v>9.6783177377272433E-4</v>
      </c>
      <c r="D10507">
        <f>LOG10(3.345987)</f>
        <v>0.52452424928649755</v>
      </c>
    </row>
    <row r="10508" spans="1:4">
      <c r="A10508">
        <v>1.006246</v>
      </c>
      <c r="B10508">
        <v>3.2539289999999998</v>
      </c>
      <c r="C10508">
        <f>LOG10(1.006246)</f>
        <v>2.7041669844909814E-3</v>
      </c>
      <c r="D10508">
        <f>LOG10(3.253929)</f>
        <v>0.51240807249616327</v>
      </c>
    </row>
    <row r="10509" spans="1:4">
      <c r="A10509">
        <v>1.000866</v>
      </c>
      <c r="B10509">
        <v>3.1143670000000001</v>
      </c>
      <c r="C10509">
        <f>LOG10(1.000866)</f>
        <v>3.7593626441021145E-4</v>
      </c>
      <c r="D10509">
        <f>LOG10(3.114367)</f>
        <v>0.49336978892683031</v>
      </c>
    </row>
    <row r="10510" spans="1:4">
      <c r="A10510">
        <v>1.0011319999999999</v>
      </c>
      <c r="B10510">
        <v>3.3276720000000002</v>
      </c>
      <c r="C10510">
        <f>LOG10(1.001132)</f>
        <v>4.9134330564203185E-4</v>
      </c>
      <c r="D10510">
        <f>LOG10(3.327672)</f>
        <v>0.52214051244734394</v>
      </c>
    </row>
    <row r="10511" spans="1:4">
      <c r="A10511">
        <v>1.0269250000000001</v>
      </c>
      <c r="B10511">
        <v>3.2453189999999998</v>
      </c>
      <c r="C10511">
        <f>LOG10(1.026925)</f>
        <v>1.1538726678542428E-2</v>
      </c>
      <c r="D10511">
        <f>LOG10(3.245319)</f>
        <v>0.51125739239388668</v>
      </c>
    </row>
    <row r="10512" spans="1:4">
      <c r="A10512">
        <v>1.0012810000000001</v>
      </c>
      <c r="B10512">
        <v>3.3086229999999999</v>
      </c>
      <c r="C10512">
        <f>LOG10(1.001281)</f>
        <v>5.5597520517833298E-4</v>
      </c>
      <c r="D10512">
        <f>LOG10(3.308623)</f>
        <v>0.51964728443173303</v>
      </c>
    </row>
    <row r="10513" spans="1:4">
      <c r="A10513">
        <v>1.0012529999999999</v>
      </c>
      <c r="B10513">
        <v>3.141664</v>
      </c>
      <c r="C10513">
        <f>LOG10(1.001253)</f>
        <v>5.4383034721922324E-4</v>
      </c>
      <c r="D10513">
        <f>LOG10(3.141664)</f>
        <v>0.49715973552609061</v>
      </c>
    </row>
    <row r="10514" spans="1:4">
      <c r="A10514">
        <v>1.0032909999999999</v>
      </c>
      <c r="B10514">
        <v>3.1354320000000002</v>
      </c>
      <c r="C10514">
        <f>LOG10(1.003291)</f>
        <v>1.4269164347085312E-3</v>
      </c>
      <c r="D10514">
        <f>LOG10(3.135432)</f>
        <v>0.49629738640781057</v>
      </c>
    </row>
    <row r="10515" spans="1:4">
      <c r="A10515">
        <v>1.0086630000000001</v>
      </c>
      <c r="B10515">
        <v>3.1168520000000002</v>
      </c>
      <c r="C10515">
        <f>LOG10(1.008663)</f>
        <v>3.7460902338690327E-3</v>
      </c>
      <c r="D10515">
        <f>LOG10(3.116852)</f>
        <v>0.49371618081090396</v>
      </c>
    </row>
    <row r="10516" spans="1:4">
      <c r="A10516">
        <v>1.0007649999999999</v>
      </c>
      <c r="B10516">
        <v>3.210537</v>
      </c>
      <c r="C10516">
        <f>LOG10(1.000765)</f>
        <v>3.3210826343549489E-4</v>
      </c>
      <c r="D10516">
        <f>LOG10(3.210537)</f>
        <v>0.50657767933061237</v>
      </c>
    </row>
    <row r="10517" spans="1:4">
      <c r="A10517">
        <v>1.004562</v>
      </c>
      <c r="B10517">
        <v>3.1371799999999999</v>
      </c>
      <c r="C10517">
        <f>LOG10(1.004562)</f>
        <v>1.9767458895816143E-3</v>
      </c>
      <c r="D10517">
        <f>LOG10(3.13718)</f>
        <v>0.49653943765345365</v>
      </c>
    </row>
    <row r="10518" spans="1:4">
      <c r="A10518">
        <v>1.0037370000000001</v>
      </c>
      <c r="B10518">
        <v>3.209263</v>
      </c>
      <c r="C10518">
        <f>LOG10(1.003737)</f>
        <v>1.6199335148063029E-3</v>
      </c>
      <c r="D10518">
        <f>LOG10(3.209263)</f>
        <v>0.50640530910811077</v>
      </c>
    </row>
    <row r="10519" spans="1:4">
      <c r="A10519">
        <v>1.0145379999999999</v>
      </c>
      <c r="B10519">
        <v>3.2025169999999998</v>
      </c>
      <c r="C10519">
        <f>LOG10(1.014538)</f>
        <v>6.2683183789666109E-3</v>
      </c>
      <c r="D10519">
        <f>LOG10(3.202517)</f>
        <v>0.5054914437989555</v>
      </c>
    </row>
    <row r="10520" spans="1:4">
      <c r="A10520">
        <v>1.010823</v>
      </c>
      <c r="B10520">
        <v>3.3328129999999998</v>
      </c>
      <c r="C10520">
        <f>LOG10(1.010823)</f>
        <v>4.6751151824259872E-3</v>
      </c>
      <c r="D10520">
        <f>LOG10(3.332813)</f>
        <v>0.52281094661988936</v>
      </c>
    </row>
    <row r="10521" spans="1:4">
      <c r="A10521">
        <v>1.001109</v>
      </c>
      <c r="B10521">
        <v>3.459295</v>
      </c>
      <c r="C10521">
        <f>LOG10(1.001109)</f>
        <v>4.8136571245103852E-4</v>
      </c>
      <c r="D10521">
        <f>LOG10(3.459295)</f>
        <v>0.53898759913759464</v>
      </c>
    </row>
    <row r="10522" spans="1:4">
      <c r="A10522">
        <v>1.0197860000000001</v>
      </c>
      <c r="B10522">
        <v>3.3717649999999999</v>
      </c>
      <c r="C10522">
        <f>LOG10(1.019786)</f>
        <v>8.5090455168425911E-3</v>
      </c>
      <c r="D10522">
        <f>LOG10(3.371765)</f>
        <v>0.52785729823036009</v>
      </c>
    </row>
    <row r="10523" spans="1:4">
      <c r="A10523">
        <v>1.0071129999999999</v>
      </c>
      <c r="B10523">
        <v>3.1597</v>
      </c>
      <c r="C10523">
        <f>LOG10(1.007113)</f>
        <v>3.0782019569767323E-3</v>
      </c>
      <c r="D10523">
        <f>LOG10(3.1597)</f>
        <v>0.49964585017234819</v>
      </c>
    </row>
    <row r="10524" spans="1:4">
      <c r="A10524">
        <v>1.0032099999999999</v>
      </c>
      <c r="B10524">
        <v>3.0592619999999999</v>
      </c>
      <c r="C10524">
        <f>LOG10(1.00321)</f>
        <v>1.3918525567904326E-3</v>
      </c>
      <c r="D10524">
        <f>LOG10(3.059262)</f>
        <v>0.4856166722386015</v>
      </c>
    </row>
    <row r="10525" spans="1:4">
      <c r="A10525">
        <v>1.0072730000000001</v>
      </c>
      <c r="B10525">
        <v>3.1398290000000002</v>
      </c>
      <c r="C10525">
        <f>LOG10(1.007273)</f>
        <v>3.1471928229286593E-3</v>
      </c>
      <c r="D10525">
        <f>LOG10(3.139829)</f>
        <v>0.49690599636027061</v>
      </c>
    </row>
    <row r="10526" spans="1:4">
      <c r="A10526">
        <v>1.0082329999999999</v>
      </c>
      <c r="B10526">
        <v>3.1497449999999998</v>
      </c>
      <c r="C10526">
        <f>LOG10(1.008233)</f>
        <v>3.5609080231373833E-3</v>
      </c>
      <c r="D10526">
        <f>LOG10(3.149745)</f>
        <v>0.49827539519415071</v>
      </c>
    </row>
    <row r="10527" spans="1:4">
      <c r="A10527">
        <v>1.0057160000000001</v>
      </c>
      <c r="B10527">
        <v>3.2985639999999998</v>
      </c>
      <c r="C10527">
        <f>LOG10(1.005716)</f>
        <v>2.475359401909552E-3</v>
      </c>
      <c r="D10527">
        <f>LOG10(3.298564)</f>
        <v>0.51832491484581733</v>
      </c>
    </row>
    <row r="10528" spans="1:4">
      <c r="A10528">
        <v>1.005792</v>
      </c>
      <c r="B10528">
        <v>3.2090610000000002</v>
      </c>
      <c r="C10528">
        <f>LOG10(1.005792)</f>
        <v>2.5081769503760135E-3</v>
      </c>
      <c r="D10528">
        <f>LOG10(3.209061)</f>
        <v>0.50637797253695183</v>
      </c>
    </row>
    <row r="10529" spans="1:4">
      <c r="A10529">
        <v>1.0035970000000001</v>
      </c>
      <c r="B10529">
        <v>3.0175879999999999</v>
      </c>
      <c r="C10529">
        <f>LOG10(1.003597)</f>
        <v>1.5593544307425126E-3</v>
      </c>
      <c r="D10529">
        <f>LOG10(3.017588)</f>
        <v>0.47965994400787554</v>
      </c>
    </row>
    <row r="10530" spans="1:4">
      <c r="A10530">
        <v>1.005603</v>
      </c>
      <c r="B10530">
        <v>3.0669360000000001</v>
      </c>
      <c r="C10530">
        <f>LOG10(1.005603)</f>
        <v>2.4265603038980338E-3</v>
      </c>
      <c r="D10530">
        <f>LOG10(3.066936)</f>
        <v>0.48670471333597509</v>
      </c>
    </row>
    <row r="10531" spans="1:4">
      <c r="A10531">
        <v>1.0015670000000001</v>
      </c>
      <c r="B10531">
        <v>3.0847690000000001</v>
      </c>
      <c r="C10531">
        <f>LOG10(1.001567)</f>
        <v>6.800068068461302E-4</v>
      </c>
      <c r="D10531">
        <f>LOG10(3.084769)</f>
        <v>0.48922264785662328</v>
      </c>
    </row>
    <row r="10532" spans="1:4">
      <c r="A10532">
        <v>1.0032909999999999</v>
      </c>
      <c r="B10532">
        <v>3.1200220000000001</v>
      </c>
      <c r="C10532">
        <f>LOG10(1.003291)</f>
        <v>1.4269164347085312E-3</v>
      </c>
      <c r="D10532">
        <f>LOG10(3.120022)</f>
        <v>0.49415765634053138</v>
      </c>
    </row>
    <row r="10533" spans="1:4">
      <c r="A10533">
        <v>1.002672</v>
      </c>
      <c r="B10533">
        <v>3.2100719999999998</v>
      </c>
      <c r="C10533">
        <f>LOG10(1.002672)</f>
        <v>1.1588872708298019E-3</v>
      </c>
      <c r="D10533">
        <f>LOG10(3.210072)</f>
        <v>0.50651477348026752</v>
      </c>
    </row>
    <row r="10534" spans="1:4">
      <c r="A10534">
        <v>1.0149170000000001</v>
      </c>
      <c r="B10534">
        <v>3.1278920000000001</v>
      </c>
      <c r="C10534">
        <f>LOG10(1.014917)</f>
        <v>6.4305270611545468E-3</v>
      </c>
      <c r="D10534">
        <f>LOG10(3.127892)</f>
        <v>0.4952517493066772</v>
      </c>
    </row>
    <row r="10535" spans="1:4">
      <c r="A10535">
        <v>1.0048729999999999</v>
      </c>
      <c r="B10535">
        <v>3.0961180000000001</v>
      </c>
      <c r="C10535">
        <f>LOG10(1.004873)</f>
        <v>2.1111772943798093E-3</v>
      </c>
      <c r="D10535">
        <f>LOG10(3.096118)</f>
        <v>0.49081750426288601</v>
      </c>
    </row>
    <row r="10536" spans="1:4">
      <c r="A10536">
        <v>1.002481</v>
      </c>
      <c r="B10536">
        <v>3.141178</v>
      </c>
      <c r="C10536">
        <f>LOG10(1.002481)</f>
        <v>1.0761501966071118E-3</v>
      </c>
      <c r="D10536">
        <f>LOG10(3.141178)</f>
        <v>0.49709254710447315</v>
      </c>
    </row>
    <row r="10537" spans="1:4">
      <c r="A10537">
        <v>1.0016510000000001</v>
      </c>
      <c r="B10537">
        <v>3.1082800000000002</v>
      </c>
      <c r="C10537">
        <f>LOG10(1.001651)</f>
        <v>7.1642894013491183E-4</v>
      </c>
      <c r="D10537">
        <f>LOG10(3.10828)</f>
        <v>0.4925201339955671</v>
      </c>
    </row>
    <row r="10538" spans="1:4">
      <c r="A10538">
        <v>1.008826</v>
      </c>
      <c r="B10538">
        <v>2.9418700000000002</v>
      </c>
      <c r="C10538">
        <f>LOG10(1.008826)</f>
        <v>3.8162665775360585E-3</v>
      </c>
      <c r="D10538">
        <f>LOG10(2.94187)</f>
        <v>0.46862347752473266</v>
      </c>
    </row>
    <row r="10539" spans="1:4">
      <c r="A10539">
        <v>1.002837</v>
      </c>
      <c r="B10539">
        <v>3.0285510000000002</v>
      </c>
      <c r="C10539">
        <f>LOG10(1.002837)</f>
        <v>1.2303490191198443E-3</v>
      </c>
      <c r="D10539">
        <f>LOG10(3.028551)</f>
        <v>0.4812348914654207</v>
      </c>
    </row>
    <row r="10540" spans="1:4">
      <c r="A10540">
        <v>1.0042880000000001</v>
      </c>
      <c r="B10540">
        <v>3.1439520000000001</v>
      </c>
      <c r="C10540">
        <f>LOG10(1.004288)</f>
        <v>1.8582734413855031E-3</v>
      </c>
      <c r="D10540">
        <f>LOG10(3.143952)</f>
        <v>0.49747590686665027</v>
      </c>
    </row>
    <row r="10541" spans="1:4">
      <c r="A10541">
        <v>1.010505</v>
      </c>
      <c r="B10541">
        <v>3.0515970000000001</v>
      </c>
      <c r="C10541">
        <f>LOG10(1.010505)</f>
        <v>4.5384667548727768E-3</v>
      </c>
      <c r="D10541">
        <f>LOG10(3.051597)</f>
        <v>0.48452717927219791</v>
      </c>
    </row>
    <row r="10542" spans="1:4">
      <c r="A10542">
        <v>1.012599</v>
      </c>
      <c r="B10542">
        <v>2.8381759999999998</v>
      </c>
      <c r="C10542">
        <f>LOG10(1.012599)</f>
        <v>5.4374941601482863E-3</v>
      </c>
      <c r="D10542">
        <f>LOG10(2.838176)</f>
        <v>0.45303932327748397</v>
      </c>
    </row>
    <row r="10543" spans="1:4">
      <c r="A10543">
        <v>1.006499</v>
      </c>
      <c r="B10543">
        <v>3.068492</v>
      </c>
      <c r="C10543">
        <f>LOG10(1.006499)</f>
        <v>2.813347734660764E-3</v>
      </c>
      <c r="D10543">
        <f>LOG10(3.068492)</f>
        <v>0.48692499535324568</v>
      </c>
    </row>
    <row r="10544" spans="1:4">
      <c r="A10544">
        <v>1.006221</v>
      </c>
      <c r="B10544">
        <v>3.0678190000000001</v>
      </c>
      <c r="C10544">
        <f>LOG10(1.006221)</f>
        <v>2.6933768825433573E-3</v>
      </c>
      <c r="D10544">
        <f>LOG10(3.067819)</f>
        <v>0.48682973284536663</v>
      </c>
    </row>
    <row r="10545" spans="1:4">
      <c r="A10545">
        <v>1.002955</v>
      </c>
      <c r="B10545">
        <v>3.1658770000000001</v>
      </c>
      <c r="C10545">
        <f>LOG10(1.002955)</f>
        <v>1.2814477860146481E-3</v>
      </c>
      <c r="D10545">
        <f>LOG10(3.165877)</f>
        <v>0.50049403773449963</v>
      </c>
    </row>
    <row r="10546" spans="1:4">
      <c r="A10546">
        <v>1.012059</v>
      </c>
      <c r="B10546">
        <v>3.0323560000000001</v>
      </c>
      <c r="C10546">
        <f>LOG10(1.012059)</f>
        <v>5.2058313056922772E-3</v>
      </c>
      <c r="D10546">
        <f>LOG10(3.032356)</f>
        <v>0.48178018632664782</v>
      </c>
    </row>
    <row r="10547" spans="1:4">
      <c r="A10547">
        <v>1.013628</v>
      </c>
      <c r="B10547">
        <v>2.975892</v>
      </c>
      <c r="C10547">
        <f>LOG10(1.013628)</f>
        <v>5.8785987948178197E-3</v>
      </c>
      <c r="D10547">
        <f>LOG10(2.975892)</f>
        <v>0.47361716590101072</v>
      </c>
    </row>
    <row r="10548" spans="1:4">
      <c r="A10548">
        <v>1.004235</v>
      </c>
      <c r="B10548">
        <v>3.1319780000000002</v>
      </c>
      <c r="C10548">
        <f>LOG10(1.004235)</f>
        <v>1.8353535071390446E-3</v>
      </c>
      <c r="D10548">
        <f>LOG10(3.131978)</f>
        <v>0.49581870277538265</v>
      </c>
    </row>
    <row r="10549" spans="1:4">
      <c r="A10549">
        <v>1.0050479999999999</v>
      </c>
      <c r="B10549">
        <v>3.2885719999999998</v>
      </c>
      <c r="C10549">
        <f>LOG10(1.005048)</f>
        <v>2.1868036841982521E-3</v>
      </c>
      <c r="D10549">
        <f>LOG10(3.288572)</f>
        <v>0.51700735474336401</v>
      </c>
    </row>
    <row r="10550" spans="1:4">
      <c r="A10550">
        <v>1.0114669999999999</v>
      </c>
      <c r="B10550">
        <v>3.1038079999999999</v>
      </c>
      <c r="C10550">
        <f>LOG10(1.011467)</f>
        <v>4.9517180987238797E-3</v>
      </c>
      <c r="D10550">
        <f>LOG10(3.103808)</f>
        <v>0.49189484817908408</v>
      </c>
    </row>
    <row r="10551" spans="1:4">
      <c r="A10551">
        <v>1.0006630000000001</v>
      </c>
      <c r="B10551">
        <v>3.1346210000000001</v>
      </c>
      <c r="C10551">
        <f>LOG10(1.000663)</f>
        <v>2.8784183247479374E-4</v>
      </c>
      <c r="D10551">
        <f>LOG10(3.134621)</f>
        <v>0.49618503876839259</v>
      </c>
    </row>
    <row r="10552" spans="1:4">
      <c r="A10552">
        <v>1.0137590000000001</v>
      </c>
      <c r="B10552">
        <v>3.066865</v>
      </c>
      <c r="C10552">
        <f>LOG10(1.013759)</f>
        <v>5.9347228374486043E-3</v>
      </c>
      <c r="D10552">
        <f>LOG10(3.066865)</f>
        <v>0.48669465924122485</v>
      </c>
    </row>
    <row r="10553" spans="1:4">
      <c r="A10553">
        <v>1.019387</v>
      </c>
      <c r="B10553">
        <v>3.2526609999999998</v>
      </c>
      <c r="C10553">
        <f>LOG10(1.019387)</f>
        <v>8.3390908337520973E-3</v>
      </c>
      <c r="D10553">
        <f>LOG10(3.252661)</f>
        <v>0.51223880244533027</v>
      </c>
    </row>
    <row r="10554" spans="1:4">
      <c r="A10554">
        <v>1.0091319999999999</v>
      </c>
      <c r="B10554">
        <v>3.4625650000000001</v>
      </c>
      <c r="C10554">
        <f>LOG10(1.009132)</f>
        <v>3.9479780526816832E-3</v>
      </c>
      <c r="D10554">
        <f>LOG10(3.462565)</f>
        <v>0.53939793481658016</v>
      </c>
    </row>
    <row r="10555" spans="1:4">
      <c r="A10555">
        <v>1.0081690000000001</v>
      </c>
      <c r="B10555">
        <v>3.2835960000000002</v>
      </c>
      <c r="C10555">
        <f>LOG10(1.008169)</f>
        <v>3.5333392676500618E-3</v>
      </c>
      <c r="D10555">
        <f>LOG10(3.283596)</f>
        <v>0.51634971794683338</v>
      </c>
    </row>
    <row r="10556" spans="1:4">
      <c r="A10556">
        <v>1.007342</v>
      </c>
      <c r="B10556">
        <v>2.9465189999999999</v>
      </c>
      <c r="C10556">
        <f>LOG10(1.007342)</f>
        <v>3.1769417518932377E-3</v>
      </c>
      <c r="D10556">
        <f>LOG10(2.946519)</f>
        <v>0.46930924589563489</v>
      </c>
    </row>
    <row r="10557" spans="1:4">
      <c r="A10557">
        <v>1.009449</v>
      </c>
      <c r="B10557">
        <v>3.1948439999999998</v>
      </c>
      <c r="C10557">
        <f>LOG10(1.009449)</f>
        <v>4.0843821423814566E-3</v>
      </c>
      <c r="D10557">
        <f>LOG10(3.194844)</f>
        <v>0.50444965698793387</v>
      </c>
    </row>
    <row r="10558" spans="1:4">
      <c r="A10558">
        <v>1.0016160000000001</v>
      </c>
      <c r="B10558">
        <v>3.3663159999999999</v>
      </c>
      <c r="C10558">
        <f>LOG10(1.001616)</f>
        <v>7.0125342247484589E-4</v>
      </c>
      <c r="D10558">
        <f>LOG10(3.366316)</f>
        <v>0.52715488128174759</v>
      </c>
    </row>
    <row r="10559" spans="1:4">
      <c r="A10559">
        <v>1.003959</v>
      </c>
      <c r="B10559">
        <v>3.0968520000000002</v>
      </c>
      <c r="C10559">
        <f>LOG10(1.003959)</f>
        <v>1.7159773136438139E-3</v>
      </c>
      <c r="D10559">
        <f>LOG10(3.096852)</f>
        <v>0.49092045071707829</v>
      </c>
    </row>
    <row r="10560" spans="1:4">
      <c r="A10560">
        <v>1.008939</v>
      </c>
      <c r="B10560">
        <v>3.270489</v>
      </c>
      <c r="C10560">
        <f>LOG10(1.008939)</f>
        <v>3.8649097807895443E-3</v>
      </c>
      <c r="D10560">
        <f>LOG10(3.270489)</f>
        <v>0.51461269275942745</v>
      </c>
    </row>
    <row r="10561" spans="1:4">
      <c r="A10561">
        <v>1.0139499999999999</v>
      </c>
      <c r="B10561">
        <v>3.0670099999999998</v>
      </c>
      <c r="C10561">
        <f>LOG10(1.01395)</f>
        <v>6.0165395540374023E-3</v>
      </c>
      <c r="D10561">
        <f>LOG10(3.06701)</f>
        <v>0.48671519200391972</v>
      </c>
    </row>
    <row r="10562" spans="1:4">
      <c r="A10562">
        <v>1.001482</v>
      </c>
      <c r="B10562">
        <v>3.2648350000000002</v>
      </c>
      <c r="C10562">
        <f>LOG10(1.001482)</f>
        <v>6.431479671632431E-4</v>
      </c>
      <c r="D10562">
        <f>LOG10(3.264835)</f>
        <v>0.51386123755588786</v>
      </c>
    </row>
    <row r="10563" spans="1:4">
      <c r="A10563">
        <v>1.002453</v>
      </c>
      <c r="B10563">
        <v>3.5795360000000001</v>
      </c>
      <c r="C10563">
        <f>LOG10(1.002453)</f>
        <v>1.0640198766124929E-3</v>
      </c>
      <c r="D10563">
        <f>LOG10(3.579536)</f>
        <v>0.55382673454899967</v>
      </c>
    </row>
    <row r="10564" spans="1:4">
      <c r="A10564">
        <v>1.001158</v>
      </c>
      <c r="B10564">
        <v>3.5900029999999998</v>
      </c>
      <c r="C10564">
        <f>LOG10(1.001158)</f>
        <v>5.0262204801217267E-4</v>
      </c>
      <c r="D10564">
        <f>LOG10(3.590003)</f>
        <v>0.55509481149834738</v>
      </c>
    </row>
    <row r="10565" spans="1:4">
      <c r="A10565">
        <v>1.0191170000000001</v>
      </c>
      <c r="B10565">
        <v>3.151691</v>
      </c>
      <c r="C10565">
        <f>LOG10(1.019117)</f>
        <v>8.2240461629547179E-3</v>
      </c>
      <c r="D10565">
        <f>LOG10(3.151691)</f>
        <v>0.49854363154175479</v>
      </c>
    </row>
    <row r="10566" spans="1:4">
      <c r="A10566">
        <v>1.0019640000000001</v>
      </c>
      <c r="B10566">
        <v>3.207436</v>
      </c>
      <c r="C10566">
        <f>LOG10(1.001964)</f>
        <v>8.5211785636033247E-4</v>
      </c>
      <c r="D10566">
        <f>LOG10(3.207436)</f>
        <v>0.50615799938082606</v>
      </c>
    </row>
    <row r="10567" spans="1:4">
      <c r="A10567">
        <v>1.007944</v>
      </c>
      <c r="B10567">
        <v>3.3378019999999999</v>
      </c>
      <c r="C10567">
        <f>LOG10(1.007944)</f>
        <v>3.4364039680572604E-3</v>
      </c>
      <c r="D10567">
        <f>LOG10(3.337802)</f>
        <v>0.52346057055237727</v>
      </c>
    </row>
    <row r="10568" spans="1:4">
      <c r="A10568">
        <v>1.009134</v>
      </c>
      <c r="B10568">
        <v>2.958745</v>
      </c>
      <c r="C10568">
        <f>LOG10(1.009134)</f>
        <v>3.9488387806172797E-3</v>
      </c>
      <c r="D10568">
        <f>LOG10(2.958745)</f>
        <v>0.47110753702104474</v>
      </c>
    </row>
    <row r="10569" spans="1:4">
      <c r="A10569">
        <v>1.0175920000000001</v>
      </c>
      <c r="B10569">
        <v>3.1922069999999998</v>
      </c>
      <c r="C10569">
        <f>LOG10(1.017592)</f>
        <v>7.573684026122917E-3</v>
      </c>
      <c r="D10569">
        <f>LOG10(3.192207)</f>
        <v>0.50409104559940709</v>
      </c>
    </row>
    <row r="10570" spans="1:4">
      <c r="A10570">
        <v>1.008041</v>
      </c>
      <c r="B10570">
        <v>3.2132130000000001</v>
      </c>
      <c r="C10570">
        <f>LOG10(1.008041)</f>
        <v>3.4781965059750828E-3</v>
      </c>
      <c r="D10570">
        <f>LOG10(3.213213)</f>
        <v>0.50693951536121762</v>
      </c>
    </row>
    <row r="10571" spans="1:4">
      <c r="A10571">
        <v>1.0124219999999999</v>
      </c>
      <c r="B10571">
        <v>3.3212130000000002</v>
      </c>
      <c r="C10571">
        <f>LOG10(1.012422)</f>
        <v>5.3615738378477509E-3</v>
      </c>
      <c r="D10571">
        <f>LOG10(3.321213)</f>
        <v>0.52129672918413361</v>
      </c>
    </row>
    <row r="10572" spans="1:4">
      <c r="A10572">
        <v>1.006988</v>
      </c>
      <c r="B10572">
        <v>3.3570739999999999</v>
      </c>
      <c r="C10572">
        <f>LOG10(1.006988)</f>
        <v>3.0242952161453874E-3</v>
      </c>
      <c r="D10572">
        <f>LOG10(3.357074)</f>
        <v>0.52596091450909421</v>
      </c>
    </row>
    <row r="10573" spans="1:4">
      <c r="A10573">
        <v>1.0022169999999999</v>
      </c>
      <c r="B10573">
        <v>3.30288</v>
      </c>
      <c r="C10573">
        <f>LOG10(1.002217)</f>
        <v>9.6176514321226795E-4</v>
      </c>
      <c r="D10573">
        <f>LOG10(3.30288)</f>
        <v>0.51889279522197973</v>
      </c>
    </row>
    <row r="10574" spans="1:4">
      <c r="A10574">
        <v>1.00336</v>
      </c>
      <c r="B10574">
        <v>3.5778189999999999</v>
      </c>
      <c r="C10574">
        <f>LOG10(1.00336)</f>
        <v>1.4567834312746275E-3</v>
      </c>
      <c r="D10574">
        <f>LOG10(3.577819)</f>
        <v>0.55361836605540615</v>
      </c>
    </row>
    <row r="10575" spans="1:4">
      <c r="A10575">
        <v>1.0094590000000001</v>
      </c>
      <c r="B10575">
        <v>3.3854839999999999</v>
      </c>
      <c r="C10575">
        <f>LOG10(1.009459)</f>
        <v>4.0886844135291228E-3</v>
      </c>
      <c r="D10575">
        <f>LOG10(3.385484)</f>
        <v>0.52962076563658</v>
      </c>
    </row>
    <row r="10576" spans="1:4">
      <c r="A10576">
        <v>1.1728769999999999</v>
      </c>
      <c r="B10576">
        <v>3.47519</v>
      </c>
      <c r="C10576">
        <f>LOG10(1.172877)</f>
        <v>6.9252469897140914E-2</v>
      </c>
      <c r="D10576">
        <f>LOG10(3.47519)</f>
        <v>0.54097855387456784</v>
      </c>
    </row>
    <row r="10577" spans="1:4">
      <c r="A10577">
        <v>1.0013430000000001</v>
      </c>
      <c r="B10577">
        <v>3.2882319999999998</v>
      </c>
      <c r="C10577">
        <f>LOG10(1.001343)</f>
        <v>5.828661821032147E-4</v>
      </c>
      <c r="D10577">
        <f>LOG10(3.288232)</f>
        <v>0.5169624514365363</v>
      </c>
    </row>
    <row r="10578" spans="1:4">
      <c r="A10578">
        <v>1.00329</v>
      </c>
      <c r="B10578">
        <v>3.2409129999999999</v>
      </c>
      <c r="C10578">
        <f>LOG10(1.00329)</f>
        <v>1.4264835645858025E-3</v>
      </c>
      <c r="D10578">
        <f>LOG10(3.240913)</f>
        <v>0.51066737286279984</v>
      </c>
    </row>
    <row r="10579" spans="1:4">
      <c r="A10579">
        <v>1.00495</v>
      </c>
      <c r="B10579">
        <v>3.3965879999999999</v>
      </c>
      <c r="C10579">
        <f>LOG10(1.00495)</f>
        <v>2.1444545283680334E-3</v>
      </c>
      <c r="D10579">
        <f>LOG10(3.396588)</f>
        <v>0.53104287092713487</v>
      </c>
    </row>
    <row r="10580" spans="1:4">
      <c r="A10580">
        <v>1.00813</v>
      </c>
      <c r="B10580">
        <v>3.3761809999999999</v>
      </c>
      <c r="C10580">
        <f>LOG10(1.00813)</f>
        <v>3.5165386990871727E-3</v>
      </c>
      <c r="D10580">
        <f>LOG10(3.376181)</f>
        <v>0.52842572148267075</v>
      </c>
    </row>
    <row r="10581" spans="1:4">
      <c r="A10581">
        <v>1.004505</v>
      </c>
      <c r="B10581">
        <v>3.4996740000000002</v>
      </c>
      <c r="C10581">
        <f>LOG10(1.004505)</f>
        <v>1.9521028234468205E-3</v>
      </c>
      <c r="D10581">
        <f>LOG10(3.499674)</f>
        <v>0.54402759103739196</v>
      </c>
    </row>
    <row r="10582" spans="1:4">
      <c r="A10582">
        <v>1.0019720000000001</v>
      </c>
      <c r="B10582">
        <v>3.3533539999999999</v>
      </c>
      <c r="C10582">
        <f>LOG10(1.001972)</f>
        <v>8.55585388113091E-4</v>
      </c>
      <c r="D10582">
        <f>LOG10(3.353354)</f>
        <v>0.52547940255838776</v>
      </c>
    </row>
    <row r="10583" spans="1:4">
      <c r="A10583">
        <v>1.0055700000000001</v>
      </c>
      <c r="B10583">
        <v>3.713422</v>
      </c>
      <c r="C10583">
        <f>LOG10(1.00557)</f>
        <v>2.4123082053425422E-3</v>
      </c>
      <c r="D10583">
        <f>LOG10(3.713422)</f>
        <v>0.56977430604201462</v>
      </c>
    </row>
    <row r="10584" spans="1:4">
      <c r="A10584">
        <v>1.012796</v>
      </c>
      <c r="B10584">
        <v>3.7519089999999999</v>
      </c>
      <c r="C10584">
        <f>LOG10(1.012796)</f>
        <v>5.5219774468205076E-3</v>
      </c>
      <c r="D10584">
        <f>LOG10(3.751909)</f>
        <v>0.57425229631760133</v>
      </c>
    </row>
    <row r="10585" spans="1:4">
      <c r="A10585">
        <v>1.004257</v>
      </c>
      <c r="B10585">
        <v>3.3929589999999998</v>
      </c>
      <c r="C10585">
        <f>LOG10(1.004257)</f>
        <v>1.8448675889499147E-3</v>
      </c>
      <c r="D10585">
        <f>LOG10(3.392959)</f>
        <v>0.53057861172842435</v>
      </c>
    </row>
    <row r="10586" spans="1:4">
      <c r="A10586">
        <v>1.0049809999999999</v>
      </c>
      <c r="B10586">
        <v>3.3513850000000001</v>
      </c>
      <c r="C10586">
        <f>LOG10(1.004981)</f>
        <v>2.1578511364506209E-3</v>
      </c>
      <c r="D10586">
        <f>LOG10(3.351385)</f>
        <v>0.52522432153004328</v>
      </c>
    </row>
    <row r="10587" spans="1:4">
      <c r="A10587">
        <v>1.005223</v>
      </c>
      <c r="B10587">
        <v>3.4110399999999998</v>
      </c>
      <c r="C10587">
        <f>LOG10(1.005223)</f>
        <v>2.2624169070175337E-3</v>
      </c>
      <c r="D10587">
        <f>LOG10(3.41104)</f>
        <v>0.53288681224744983</v>
      </c>
    </row>
    <row r="10588" spans="1:4">
      <c r="A10588">
        <v>1.0155419999999999</v>
      </c>
      <c r="B10588">
        <v>3.2295739999999999</v>
      </c>
      <c r="C10588">
        <f>LOG10(1.015542)</f>
        <v>6.6978893272846389E-3</v>
      </c>
      <c r="D10588">
        <f>LOG10(3.229574)</f>
        <v>0.50914524008631123</v>
      </c>
    </row>
    <row r="10589" spans="1:4">
      <c r="A10589">
        <v>1.0171129999999999</v>
      </c>
      <c r="B10589">
        <v>3.3991790000000002</v>
      </c>
      <c r="C10589">
        <f>LOG10(1.017113)</f>
        <v>7.3692051845466924E-3</v>
      </c>
      <c r="D10589">
        <f>LOG10(3.399179)</f>
        <v>0.53137403503477287</v>
      </c>
    </row>
    <row r="10590" spans="1:4">
      <c r="A10590">
        <v>1</v>
      </c>
      <c r="B10590">
        <v>3.5921029999999998</v>
      </c>
      <c r="C10590">
        <f>LOG10(1)</f>
        <v>0</v>
      </c>
      <c r="D10590">
        <f>LOG10(3.592103)</f>
        <v>0.55534878113844666</v>
      </c>
    </row>
    <row r="10591" spans="1:4">
      <c r="A10591">
        <v>1.0119279999999999</v>
      </c>
      <c r="B10591">
        <v>3.8831129999999998</v>
      </c>
      <c r="C10591">
        <f>LOG10(1.011928)</f>
        <v>5.1496129829374229E-3</v>
      </c>
      <c r="D10591">
        <f>LOG10(3.883113)</f>
        <v>0.58918002885724874</v>
      </c>
    </row>
    <row r="10592" spans="1:4">
      <c r="A10592">
        <v>1.0060279999999999</v>
      </c>
      <c r="B10592">
        <v>3.5326219999999999</v>
      </c>
      <c r="C10592">
        <f>LOG10(1.006028)</f>
        <v>2.6100682708711459E-3</v>
      </c>
      <c r="D10592">
        <f>LOG10(3.532622)</f>
        <v>0.54809716925007246</v>
      </c>
    </row>
    <row r="10593" spans="1:4">
      <c r="A10593">
        <v>1.0034719999999999</v>
      </c>
      <c r="B10593">
        <v>3.6034419999999998</v>
      </c>
      <c r="C10593">
        <f>LOG10(1.003472)</f>
        <v>1.5052588213656933E-3</v>
      </c>
      <c r="D10593">
        <f>LOG10(3.603442)</f>
        <v>0.5567175361685518</v>
      </c>
    </row>
    <row r="10594" spans="1:4">
      <c r="A10594">
        <v>1.0026360000000001</v>
      </c>
      <c r="B10594">
        <v>3.5070440000000001</v>
      </c>
      <c r="C10594">
        <f>LOG10(1.002636)</f>
        <v>1.1432940538774294E-3</v>
      </c>
      <c r="D10594">
        <f>LOG10(3.507044)</f>
        <v>0.54494121465177092</v>
      </c>
    </row>
    <row r="10595" spans="1:4">
      <c r="A10595">
        <v>1.0101180000000001</v>
      </c>
      <c r="B10595">
        <v>3.595685</v>
      </c>
      <c r="C10595">
        <f>LOG10(1.010118)</f>
        <v>4.3721101742027696E-3</v>
      </c>
      <c r="D10595">
        <f>LOG10(3.595685)</f>
        <v>0.55578163835765171</v>
      </c>
    </row>
    <row r="10596" spans="1:4">
      <c r="A10596">
        <v>1.0053190000000001</v>
      </c>
      <c r="B10596">
        <v>3.663589</v>
      </c>
      <c r="C10596">
        <f>LOG10(1.005319)</f>
        <v>2.3038905696363089E-3</v>
      </c>
      <c r="D10596">
        <f>LOG10(3.663589)</f>
        <v>0.56390674637028682</v>
      </c>
    </row>
    <row r="10597" spans="1:4">
      <c r="A10597">
        <v>1.005673</v>
      </c>
      <c r="B10597">
        <v>3.644447</v>
      </c>
      <c r="C10597">
        <f>LOG10(1.005673)</f>
        <v>2.4567904799111802E-3</v>
      </c>
      <c r="D10597">
        <f>LOG10(3.644447)</f>
        <v>0.56163163880801215</v>
      </c>
    </row>
    <row r="10598" spans="1:4">
      <c r="A10598">
        <v>1.007457</v>
      </c>
      <c r="B10598">
        <v>3.687961</v>
      </c>
      <c r="C10598">
        <f>LOG10(1.007457)</f>
        <v>3.2265187722045922E-3</v>
      </c>
      <c r="D10598">
        <f>LOG10(3.687961)</f>
        <v>0.56678631976381777</v>
      </c>
    </row>
    <row r="10599" spans="1:4">
      <c r="A10599">
        <v>1.014386</v>
      </c>
      <c r="B10599">
        <v>3.657594</v>
      </c>
      <c r="C10599">
        <f>LOG10(1.014386)</f>
        <v>6.2032466844400905E-3</v>
      </c>
      <c r="D10599">
        <f>LOG10(3.657594)</f>
        <v>0.56319549628927212</v>
      </c>
    </row>
    <row r="10600" spans="1:4">
      <c r="A10600">
        <v>1.009101</v>
      </c>
      <c r="B10600">
        <v>3.4866440000000001</v>
      </c>
      <c r="C10600">
        <f>LOG10(1.009101)</f>
        <v>3.9346365515368579E-3</v>
      </c>
      <c r="D10600">
        <f>LOG10(3.486644)</f>
        <v>0.54240760647308794</v>
      </c>
    </row>
    <row r="10601" spans="1:4">
      <c r="A10601">
        <v>1.0074069999999999</v>
      </c>
      <c r="B10601">
        <v>3.6372399999999998</v>
      </c>
      <c r="C10601">
        <f>LOG10(1.007407)</f>
        <v>3.2049642413780294E-3</v>
      </c>
      <c r="D10601">
        <f>LOG10(3.63724)</f>
        <v>0.56077195852977313</v>
      </c>
    </row>
    <row r="10602" spans="1:4">
      <c r="A10602">
        <v>1.005069</v>
      </c>
      <c r="B10602">
        <v>3.5898080000000001</v>
      </c>
      <c r="C10602">
        <f>LOG10(1.005069)</f>
        <v>2.1958779660637565E-3</v>
      </c>
      <c r="D10602">
        <f>LOG10(3.589808)</f>
        <v>0.55507122106567663</v>
      </c>
    </row>
    <row r="10603" spans="1:4">
      <c r="A10603">
        <v>1.013333</v>
      </c>
      <c r="B10603">
        <v>3.612473</v>
      </c>
      <c r="C10603">
        <f>LOG10(1.013333)</f>
        <v>5.7521860290408837E-3</v>
      </c>
      <c r="D10603">
        <f>LOG10(3.612473)</f>
        <v>0.55780460981447788</v>
      </c>
    </row>
    <row r="10604" spans="1:4">
      <c r="A10604">
        <v>1.011682</v>
      </c>
      <c r="B10604">
        <v>3.3527670000000001</v>
      </c>
      <c r="C10604">
        <f>LOG10(1.011682)</f>
        <v>5.0440230292660496E-3</v>
      </c>
      <c r="D10604">
        <f>LOG10(3.352767)</f>
        <v>0.52540337325276443</v>
      </c>
    </row>
    <row r="10605" spans="1:4">
      <c r="A10605">
        <v>1.0021</v>
      </c>
      <c r="B10605">
        <v>3.4329209999999999</v>
      </c>
      <c r="C10605">
        <f>LOG10(1.0021)</f>
        <v>9.1106213122328433E-4</v>
      </c>
      <c r="D10605">
        <f>LOG10(3.432921)</f>
        <v>0.53566380935093572</v>
      </c>
    </row>
    <row r="10606" spans="1:4">
      <c r="A10606">
        <v>1.0156430000000001</v>
      </c>
      <c r="B10606">
        <v>3.333723</v>
      </c>
      <c r="C10606">
        <f>LOG10(1.015643)</f>
        <v>6.7410796252717117E-3</v>
      </c>
      <c r="D10606">
        <f>LOG10(3.333723)</f>
        <v>0.52292951133805377</v>
      </c>
    </row>
    <row r="10607" spans="1:4">
      <c r="A10607">
        <v>1.0037419999999999</v>
      </c>
      <c r="B10607">
        <v>3.6087579999999999</v>
      </c>
      <c r="C10607">
        <f>LOG10(1.003742)</f>
        <v>1.622096897247104E-3</v>
      </c>
      <c r="D10607">
        <f>LOG10(3.608758)</f>
        <v>0.55735775964651968</v>
      </c>
    </row>
    <row r="10608" spans="1:4">
      <c r="A10608">
        <v>1.005952</v>
      </c>
      <c r="B10608">
        <v>3.3665560000000001</v>
      </c>
      <c r="C10608">
        <f>LOG10(1.005952)</f>
        <v>2.5772584212301651E-3</v>
      </c>
      <c r="D10608">
        <f>LOG10(3.366556)</f>
        <v>0.5271858430097297</v>
      </c>
    </row>
    <row r="10609" spans="1:4">
      <c r="A10609">
        <v>1.0026139999999999</v>
      </c>
      <c r="B10609">
        <v>3.506113</v>
      </c>
      <c r="C10609">
        <f>LOG10(1.002614)</f>
        <v>1.1337645901174625E-3</v>
      </c>
      <c r="D10609">
        <f>LOG10(3.506113)</f>
        <v>0.54482590904403183</v>
      </c>
    </row>
    <row r="10610" spans="1:4">
      <c r="A10610">
        <v>1.013099</v>
      </c>
      <c r="B10610">
        <v>3.5189460000000001</v>
      </c>
      <c r="C10610">
        <f>LOG10(1.013099)</f>
        <v>5.651886676072625E-3</v>
      </c>
      <c r="D10610">
        <f>LOG10(3.518946)</f>
        <v>0.54641260241860679</v>
      </c>
    </row>
    <row r="10611" spans="1:4">
      <c r="A10611">
        <v>1.009841</v>
      </c>
      <c r="B10611">
        <v>3.1904919999999999</v>
      </c>
      <c r="C10611">
        <f>LOG10(1.009841)</f>
        <v>4.2529992692375536E-3</v>
      </c>
      <c r="D10611">
        <f>LOG10(3.190492)</f>
        <v>0.50385765998796317</v>
      </c>
    </row>
    <row r="10612" spans="1:4">
      <c r="A10612">
        <v>1.005868</v>
      </c>
      <c r="B10612">
        <v>3.5211269999999999</v>
      </c>
      <c r="C10612">
        <f>LOG10(1.005868)</f>
        <v>2.5409920191653075E-3</v>
      </c>
      <c r="D10612">
        <f>LOG10(3.521127)</f>
        <v>0.54668168948498608</v>
      </c>
    </row>
    <row r="10613" spans="1:4">
      <c r="A10613">
        <v>1.003727</v>
      </c>
      <c r="B10613">
        <v>3.2456260000000001</v>
      </c>
      <c r="C10613">
        <f>LOG10(1.003727)</f>
        <v>1.6156067175944009E-3</v>
      </c>
      <c r="D10613">
        <f>LOG10(3.245626)</f>
        <v>0.51129847374831006</v>
      </c>
    </row>
    <row r="10614" spans="1:4">
      <c r="A10614">
        <v>1.0152350000000001</v>
      </c>
      <c r="B10614">
        <v>3.4573999999999998</v>
      </c>
      <c r="C10614">
        <f>LOG10(1.015235)</f>
        <v>6.5665815500546435E-3</v>
      </c>
      <c r="D10614">
        <f>LOG10(3.4574)</f>
        <v>0.53874962766023482</v>
      </c>
    </row>
    <row r="10615" spans="1:4">
      <c r="A10615">
        <v>1.0097879999999999</v>
      </c>
      <c r="B10615">
        <v>3.470396</v>
      </c>
      <c r="C10615">
        <f>LOG10(1.009788)</f>
        <v>4.230205372391954E-3</v>
      </c>
      <c r="D10615">
        <f>LOG10(3.470396)</f>
        <v>0.5403790340998873</v>
      </c>
    </row>
    <row r="10616" spans="1:4">
      <c r="A10616">
        <v>1.0054890000000001</v>
      </c>
      <c r="B10616">
        <v>3.3668230000000001</v>
      </c>
      <c r="C10616">
        <f>LOG10(1.005489)</f>
        <v>2.3773237985666249E-3</v>
      </c>
      <c r="D10616">
        <f>LOG10(3.366823)</f>
        <v>0.52722028533853038</v>
      </c>
    </row>
    <row r="10617" spans="1:4">
      <c r="A10617">
        <v>1.0062249999999999</v>
      </c>
      <c r="B10617">
        <v>3.1978170000000001</v>
      </c>
      <c r="C10617">
        <f>LOG10(1.006225)</f>
        <v>2.6951033168701108E-3</v>
      </c>
      <c r="D10617">
        <f>LOG10(3.197817)</f>
        <v>0.50485360695111337</v>
      </c>
    </row>
    <row r="10618" spans="1:4">
      <c r="A10618">
        <v>1.0038720000000001</v>
      </c>
      <c r="B10618">
        <v>3.4212099999999999</v>
      </c>
      <c r="C10618">
        <f>LOG10(1.003872)</f>
        <v>1.6783410584518112E-3</v>
      </c>
      <c r="D10618">
        <f>LOG10(3.42121)</f>
        <v>0.5341797327767247</v>
      </c>
    </row>
    <row r="10619" spans="1:4">
      <c r="A10619">
        <v>1.006491</v>
      </c>
      <c r="B10619">
        <v>3.3642189999999998</v>
      </c>
      <c r="C10619">
        <f>LOG10(1.006491)</f>
        <v>2.8098957991268092E-3</v>
      </c>
      <c r="D10619">
        <f>LOG10(3.364219)</f>
        <v>0.52688425924114624</v>
      </c>
    </row>
    <row r="10620" spans="1:4">
      <c r="A10620">
        <v>1.004297</v>
      </c>
      <c r="B10620">
        <v>3.4288949999999998</v>
      </c>
      <c r="C10620">
        <f>LOG10(1.004297)</f>
        <v>1.8621653855522904E-3</v>
      </c>
      <c r="D10620">
        <f>LOG10(3.428895)</f>
        <v>0.53515418630514799</v>
      </c>
    </row>
    <row r="10621" spans="1:4">
      <c r="A10621">
        <v>1.0145150000000001</v>
      </c>
      <c r="B10621">
        <v>3.3518330000000001</v>
      </c>
      <c r="C10621">
        <f>LOG10(1.014515)</f>
        <v>6.2584726301526047E-3</v>
      </c>
      <c r="D10621">
        <f>LOG10(3.351833)</f>
        <v>0.52528237243281339</v>
      </c>
    </row>
    <row r="10622" spans="1:4">
      <c r="A10622">
        <v>1.013301</v>
      </c>
      <c r="B10622">
        <v>3.2482069999999998</v>
      </c>
      <c r="C10622">
        <f>LOG10(1.013301)</f>
        <v>5.7384712453926543E-3</v>
      </c>
      <c r="D10622">
        <f>LOG10(3.248207)</f>
        <v>0.51164369793772657</v>
      </c>
    </row>
    <row r="10623" spans="1:4">
      <c r="A10623">
        <v>1.001941</v>
      </c>
      <c r="B10623">
        <v>3.14967</v>
      </c>
      <c r="C10623">
        <f>LOG10(1.001941)</f>
        <v>8.4214854834996312E-4</v>
      </c>
      <c r="D10623">
        <f>LOG10(3.14967)</f>
        <v>0.49826505388907899</v>
      </c>
    </row>
    <row r="10624" spans="1:4">
      <c r="A10624">
        <v>1.0100420000000001</v>
      </c>
      <c r="B10624">
        <v>3.22309</v>
      </c>
      <c r="C10624">
        <f>LOG10(1.010042)</f>
        <v>4.3394331776874405E-3</v>
      </c>
      <c r="D10624">
        <f>LOG10(3.22309)</f>
        <v>0.50827243270986788</v>
      </c>
    </row>
    <row r="10625" spans="1:4">
      <c r="A10625">
        <v>1.0136339999999999</v>
      </c>
      <c r="B10625">
        <v>3.257126</v>
      </c>
      <c r="C10625">
        <f>LOG10(1.013634)</f>
        <v>5.8811695201521925E-3</v>
      </c>
      <c r="D10625">
        <f>LOG10(3.257126)</f>
        <v>0.51283455931595667</v>
      </c>
    </row>
    <row r="10626" spans="1:4">
      <c r="A10626">
        <v>1.009336</v>
      </c>
      <c r="B10626">
        <v>3.2890440000000001</v>
      </c>
      <c r="C10626">
        <f>LOG10(1.009336)</f>
        <v>4.0357635163204017E-3</v>
      </c>
      <c r="D10626">
        <f>LOG10(3.289044)</f>
        <v>0.51706968340341652</v>
      </c>
    </row>
    <row r="10627" spans="1:4">
      <c r="A10627">
        <v>1.00393</v>
      </c>
      <c r="B10627">
        <v>3.4367749999999999</v>
      </c>
      <c r="C10627">
        <f>LOG10(1.00393)</f>
        <v>1.7034322576411217E-3</v>
      </c>
      <c r="D10627">
        <f>LOG10(3.436775)</f>
        <v>0.53615110052331205</v>
      </c>
    </row>
    <row r="10628" spans="1:4">
      <c r="A10628">
        <v>1.009282</v>
      </c>
      <c r="B10628">
        <v>3.4305050000000001</v>
      </c>
      <c r="C10628">
        <f>LOG10(1.009282)</f>
        <v>4.0125279145092922E-3</v>
      </c>
      <c r="D10628">
        <f>LOG10(3.430505)</f>
        <v>0.53535805665203096</v>
      </c>
    </row>
    <row r="10629" spans="1:4">
      <c r="A10629">
        <v>1.0128980000000001</v>
      </c>
      <c r="B10629">
        <v>3.4286029999999998</v>
      </c>
      <c r="C10629">
        <f>LOG10(1.012898)</f>
        <v>5.5657136055805084E-3</v>
      </c>
      <c r="D10629">
        <f>LOG10(3.428603)</f>
        <v>0.53511720080729086</v>
      </c>
    </row>
    <row r="10630" spans="1:4">
      <c r="A10630">
        <v>1.007916</v>
      </c>
      <c r="B10630">
        <v>3.44896</v>
      </c>
      <c r="C10630">
        <f>LOG10(1.007916)</f>
        <v>3.4243393946304978E-3</v>
      </c>
      <c r="D10630">
        <f>LOG10(3.44896)</f>
        <v>0.53768815757991262</v>
      </c>
    </row>
    <row r="10631" spans="1:4">
      <c r="A10631">
        <v>1.005552</v>
      </c>
      <c r="B10631">
        <v>3.5381360000000002</v>
      </c>
      <c r="C10631">
        <f>LOG10(1.005552)</f>
        <v>2.4045341362661766E-3</v>
      </c>
      <c r="D10631">
        <f>LOG10(3.538136)</f>
        <v>0.54877452244435521</v>
      </c>
    </row>
    <row r="10632" spans="1:4">
      <c r="A10632">
        <v>1.0069049999999999</v>
      </c>
      <c r="B10632">
        <v>3.4959880000000001</v>
      </c>
      <c r="C10632">
        <f>LOG10(1.006905)</f>
        <v>2.9884974433556683E-3</v>
      </c>
      <c r="D10632">
        <f>LOG10(3.495988)</f>
        <v>0.5435699332464824</v>
      </c>
    </row>
    <row r="10633" spans="1:4">
      <c r="A10633">
        <v>1.0560799999999999</v>
      </c>
      <c r="B10633">
        <v>3.537258</v>
      </c>
      <c r="C10633">
        <f>LOG10(1.05608)</f>
        <v>2.369681804871656E-2</v>
      </c>
      <c r="D10633">
        <f>LOG10(3.537258)</f>
        <v>0.54866673747660122</v>
      </c>
    </row>
    <row r="10634" spans="1:4">
      <c r="A10634">
        <v>1.0093449999999999</v>
      </c>
      <c r="B10634">
        <v>3.5073660000000002</v>
      </c>
      <c r="C10634">
        <f>LOG10(1.009345)</f>
        <v>4.0396359957632884E-3</v>
      </c>
      <c r="D10634">
        <f>LOG10(3.507366)</f>
        <v>0.54498108766269304</v>
      </c>
    </row>
    <row r="10635" spans="1:4">
      <c r="A10635">
        <v>1.005147</v>
      </c>
      <c r="B10635">
        <v>3.5481820000000002</v>
      </c>
      <c r="C10635">
        <f>LOG10(1.005147)</f>
        <v>2.2295807816870169E-3</v>
      </c>
      <c r="D10635">
        <f>LOG10(3.548182)</f>
        <v>0.55000588837741626</v>
      </c>
    </row>
    <row r="10636" spans="1:4">
      <c r="A10636">
        <v>1.0044169999999999</v>
      </c>
      <c r="B10636">
        <v>3.5148239999999999</v>
      </c>
      <c r="C10636">
        <f>LOG10(1.004417)</f>
        <v>1.9140546419524976E-3</v>
      </c>
      <c r="D10636">
        <f>LOG10(3.514824)</f>
        <v>0.54590358319866128</v>
      </c>
    </row>
    <row r="10637" spans="1:4">
      <c r="A10637">
        <v>1.01569</v>
      </c>
      <c r="B10637">
        <v>3.6455419999999998</v>
      </c>
      <c r="C10637">
        <f>LOG10(1.01569)</f>
        <v>6.7611766164130515E-3</v>
      </c>
      <c r="D10637">
        <f>LOG10(3.645542)</f>
        <v>0.56176210607243748</v>
      </c>
    </row>
    <row r="10638" spans="1:4">
      <c r="A10638">
        <v>1.020518</v>
      </c>
      <c r="B10638">
        <v>3.6999050000000002</v>
      </c>
      <c r="C10638">
        <f>LOG10(1.020518)</f>
        <v>8.8206692497695641E-3</v>
      </c>
      <c r="D10638">
        <f>LOG10(3.699905)</f>
        <v>0.56819057311957533</v>
      </c>
    </row>
    <row r="10639" spans="1:4">
      <c r="A10639">
        <v>1.0213669999999999</v>
      </c>
      <c r="B10639">
        <v>3.6931850000000002</v>
      </c>
      <c r="C10639">
        <f>LOG10(1.021367)</f>
        <v>9.1818218478679665E-3</v>
      </c>
      <c r="D10639">
        <f>LOG10(3.693185)</f>
        <v>0.56740106298994442</v>
      </c>
    </row>
    <row r="10640" spans="1:4">
      <c r="A10640">
        <v>1.0130349999999999</v>
      </c>
      <c r="B10640">
        <v>3.58161</v>
      </c>
      <c r="C10640">
        <f>LOG10(1.013035)</f>
        <v>5.6244503398272631E-3</v>
      </c>
      <c r="D10640">
        <f>LOG10(3.58161)</f>
        <v>0.55407829394484254</v>
      </c>
    </row>
    <row r="10641" spans="1:4">
      <c r="A10641">
        <v>1.0122599999999999</v>
      </c>
      <c r="B10641">
        <v>3.579952</v>
      </c>
      <c r="C10641">
        <f>LOG10(1.01226)</f>
        <v>5.2920758068300761E-3</v>
      </c>
      <c r="D10641">
        <f>LOG10(3.579952)</f>
        <v>0.55387720366206339</v>
      </c>
    </row>
    <row r="10642" spans="1:4">
      <c r="A10642">
        <v>1.0226900000000001</v>
      </c>
      <c r="B10642">
        <v>3.5433270000000001</v>
      </c>
      <c r="C10642">
        <f>LOG10(1.02269)</f>
        <v>9.7440093796166017E-3</v>
      </c>
      <c r="D10642">
        <f>LOG10(3.543327)</f>
        <v>0.54941123354751664</v>
      </c>
    </row>
    <row r="10643" spans="1:4">
      <c r="A10643">
        <v>1.016562</v>
      </c>
      <c r="B10643">
        <v>3.6420870000000001</v>
      </c>
      <c r="C10643">
        <f>LOG10(1.016562)</f>
        <v>7.1338713525587356E-3</v>
      </c>
      <c r="D10643">
        <f>LOG10(3.642087)</f>
        <v>0.56135031575012739</v>
      </c>
    </row>
    <row r="10644" spans="1:4">
      <c r="A10644">
        <v>1.018078</v>
      </c>
      <c r="B10644">
        <v>3.5924939999999999</v>
      </c>
      <c r="C10644">
        <f>LOG10(1.018078)</f>
        <v>7.7810527275480913E-3</v>
      </c>
      <c r="D10644">
        <f>LOG10(3.592494)</f>
        <v>0.55539605147040594</v>
      </c>
    </row>
    <row r="10645" spans="1:4">
      <c r="A10645">
        <v>1.0132939999999999</v>
      </c>
      <c r="B10645">
        <v>3.5637370000000002</v>
      </c>
      <c r="C10645">
        <f>LOG10(1.013294)</f>
        <v>5.7354710787354043E-3</v>
      </c>
      <c r="D10645">
        <f>LOG10(3.563737)</f>
        <v>0.55190564607660098</v>
      </c>
    </row>
    <row r="10646" spans="1:4">
      <c r="A10646">
        <v>1.011204</v>
      </c>
      <c r="B10646">
        <v>3.5497640000000001</v>
      </c>
      <c r="C10646">
        <f>LOG10(1.011204)</f>
        <v>4.8387788719448264E-3</v>
      </c>
      <c r="D10646">
        <f>LOG10(3.549764)</f>
        <v>0.55019948068757119</v>
      </c>
    </row>
    <row r="10647" spans="1:4">
      <c r="A10647">
        <v>1.011951</v>
      </c>
      <c r="B10647">
        <v>3.6046930000000001</v>
      </c>
      <c r="C10647">
        <f>LOG10(1.011951)</f>
        <v>5.1594839021813612E-3</v>
      </c>
      <c r="D10647">
        <f>LOG10(3.604693)</f>
        <v>0.55686828317934334</v>
      </c>
    </row>
    <row r="10648" spans="1:4">
      <c r="A10648">
        <v>1.0167029999999999</v>
      </c>
      <c r="B10648">
        <v>3.6293859999999998</v>
      </c>
      <c r="C10648">
        <f>LOG10(1.016703)</f>
        <v>7.1941050378348751E-3</v>
      </c>
      <c r="D10648">
        <f>LOG10(3.629386)</f>
        <v>0.55983315964591984</v>
      </c>
    </row>
    <row r="10649" spans="1:4">
      <c r="A10649">
        <v>1.017201</v>
      </c>
      <c r="B10649">
        <v>3.619218</v>
      </c>
      <c r="C10649">
        <f>LOG10(1.017201)</f>
        <v>7.4067784543873976E-3</v>
      </c>
      <c r="D10649">
        <f>LOG10(3.619218)</f>
        <v>0.55861474319265203</v>
      </c>
    </row>
    <row r="10650" spans="1:4">
      <c r="A10650">
        <v>1.012796</v>
      </c>
      <c r="B10650">
        <v>3.758902</v>
      </c>
      <c r="C10650">
        <f>LOG10(1.012796)</f>
        <v>5.5219774468205076E-3</v>
      </c>
      <c r="D10650">
        <f>LOG10(3.758902)</f>
        <v>0.57506100317749076</v>
      </c>
    </row>
    <row r="10651" spans="1:4">
      <c r="A10651">
        <v>1.0069079999999999</v>
      </c>
      <c r="B10651">
        <v>3.6373410000000002</v>
      </c>
      <c r="C10651">
        <f>LOG10(1.006908)</f>
        <v>2.9897913901577792E-3</v>
      </c>
      <c r="D10651">
        <f>LOG10(3.637341)</f>
        <v>0.56078401798520428</v>
      </c>
    </row>
    <row r="10652" spans="1:4">
      <c r="A10652">
        <v>1.0288569999999999</v>
      </c>
      <c r="B10652">
        <v>3.5215339999999999</v>
      </c>
      <c r="C10652">
        <f>LOG10(1.028857)</f>
        <v>1.2355016719077957E-2</v>
      </c>
      <c r="D10652">
        <f>LOG10(3.521534)</f>
        <v>0.54673188581115639</v>
      </c>
    </row>
    <row r="10653" spans="1:4">
      <c r="A10653">
        <v>1.0125219999999999</v>
      </c>
      <c r="B10653">
        <v>3.5344220000000002</v>
      </c>
      <c r="C10653">
        <f>LOG10(1.012522)</f>
        <v>5.4044683062632977E-3</v>
      </c>
      <c r="D10653">
        <f>LOG10(3.534422)</f>
        <v>0.54831840180057889</v>
      </c>
    </row>
    <row r="10654" spans="1:4">
      <c r="A10654">
        <v>1.0176689999999999</v>
      </c>
      <c r="B10654">
        <v>3.6006179999999999</v>
      </c>
      <c r="C10654">
        <f>LOG10(1.017669)</f>
        <v>7.6065453398536419E-3</v>
      </c>
      <c r="D10654">
        <f>LOG10(3.600618)</f>
        <v>0.556377048254871</v>
      </c>
    </row>
    <row r="10655" spans="1:4">
      <c r="A10655">
        <v>1.0133719999999999</v>
      </c>
      <c r="B10655">
        <v>3.6742149999999998</v>
      </c>
      <c r="C10655">
        <f>LOG10(1.013372)</f>
        <v>5.7689003360527815E-3</v>
      </c>
      <c r="D10655">
        <f>LOG10(3.674215)</f>
        <v>0.56516456584612162</v>
      </c>
    </row>
    <row r="10656" spans="1:4">
      <c r="A10656">
        <v>1.0300279999999999</v>
      </c>
      <c r="B10656">
        <v>3.5734659999999998</v>
      </c>
      <c r="C10656">
        <f>LOG10(1.030028)</f>
        <v>1.2849030608290042E-2</v>
      </c>
      <c r="D10656">
        <f>LOG10(3.573466)</f>
        <v>0.55308965433067103</v>
      </c>
    </row>
    <row r="10657" spans="1:4">
      <c r="A10657">
        <v>1.0176480000000001</v>
      </c>
      <c r="B10657">
        <v>3.648803</v>
      </c>
      <c r="C10657">
        <f>LOG10(1.017648)</f>
        <v>7.5975834099722356E-3</v>
      </c>
      <c r="D10657">
        <f>LOG10(3.648803)</f>
        <v>0.56215041630449725</v>
      </c>
    </row>
    <row r="10658" spans="1:4">
      <c r="A10658">
        <v>1.010537</v>
      </c>
      <c r="B10658">
        <v>3.6041720000000002</v>
      </c>
      <c r="C10658">
        <f>LOG10(1.010537)</f>
        <v>4.5522194858126381E-3</v>
      </c>
      <c r="D10658">
        <f>LOG10(3.604172)</f>
        <v>0.55680550840815102</v>
      </c>
    </row>
    <row r="10659" spans="1:4">
      <c r="A10659">
        <v>1.013314</v>
      </c>
      <c r="B10659">
        <v>3.6405409999999998</v>
      </c>
      <c r="C10659">
        <f>LOG10(1.013314)</f>
        <v>5.7440429284847435E-3</v>
      </c>
      <c r="D10659">
        <f>LOG10(3.640541)</f>
        <v>0.56116592646672347</v>
      </c>
    </row>
    <row r="10660" spans="1:4">
      <c r="A10660">
        <v>1.021196</v>
      </c>
      <c r="B10660">
        <v>3.7484570000000001</v>
      </c>
      <c r="C10660">
        <f>LOG10(1.021196)</f>
        <v>9.1091050145767315E-3</v>
      </c>
      <c r="D10660">
        <f>LOG10(3.748457)</f>
        <v>0.57385253325073649</v>
      </c>
    </row>
    <row r="10661" spans="1:4">
      <c r="A10661">
        <v>1.035183</v>
      </c>
      <c r="B10661">
        <v>3.7767230000000001</v>
      </c>
      <c r="C10661">
        <f>LOG10(1.035183)</f>
        <v>1.5017131304904624E-2</v>
      </c>
      <c r="D10661">
        <f>LOG10(3.776723)</f>
        <v>0.5771151330978439</v>
      </c>
    </row>
    <row r="10662" spans="1:4">
      <c r="A10662">
        <v>1.02518</v>
      </c>
      <c r="B10662">
        <v>3.6810330000000002</v>
      </c>
      <c r="C10662">
        <f>LOG10(1.02518)</f>
        <v>1.0800125044041138E-2</v>
      </c>
      <c r="D10662">
        <f>LOG10(3.681033)</f>
        <v>0.56596971085977765</v>
      </c>
    </row>
    <row r="10663" spans="1:4">
      <c r="A10663">
        <v>1.05905</v>
      </c>
      <c r="B10663">
        <v>3.6979250000000001</v>
      </c>
      <c r="C10663">
        <f>LOG10(1.05905)</f>
        <v>2.4916464556482162E-2</v>
      </c>
      <c r="D10663">
        <f>LOG10(3.697925)</f>
        <v>0.56795809870621317</v>
      </c>
    </row>
    <row r="10664" spans="1:4">
      <c r="A10664">
        <v>1.068233</v>
      </c>
      <c r="B10664">
        <v>3.595548</v>
      </c>
      <c r="C10664">
        <f>LOG10(1.068233)</f>
        <v>2.866599012491013E-2</v>
      </c>
      <c r="D10664">
        <f>LOG10(3.595548)</f>
        <v>0.55576509089102732</v>
      </c>
    </row>
    <row r="10665" spans="1:4">
      <c r="A10665">
        <v>1.0263979999999999</v>
      </c>
      <c r="B10665">
        <v>3.5876039999999998</v>
      </c>
      <c r="C10665">
        <f>LOG10(1.026398)</f>
        <v>1.1315797118031394E-2</v>
      </c>
      <c r="D10665">
        <f>LOG10(3.587604)</f>
        <v>0.55480449955987465</v>
      </c>
    </row>
    <row r="10666" spans="1:4">
      <c r="A10666">
        <v>1.0136080000000001</v>
      </c>
      <c r="B10666">
        <v>3.6394820000000001</v>
      </c>
      <c r="C10666">
        <f>LOG10(1.013608)</f>
        <v>5.8700296004681662E-3</v>
      </c>
      <c r="D10666">
        <f>LOG10(3.639482)</f>
        <v>0.56103957580558428</v>
      </c>
    </row>
    <row r="10667" spans="1:4">
      <c r="A10667">
        <v>1.0101340000000001</v>
      </c>
      <c r="B10667">
        <v>3.665222</v>
      </c>
      <c r="C10667">
        <f>LOG10(1.010134)</f>
        <v>4.3789892286084618E-3</v>
      </c>
      <c r="D10667">
        <f>LOG10(3.665222)</f>
        <v>0.56410028469476681</v>
      </c>
    </row>
    <row r="10668" spans="1:4">
      <c r="A10668">
        <v>1.0124580000000001</v>
      </c>
      <c r="B10668">
        <v>3.6087259999999999</v>
      </c>
      <c r="C10668">
        <f>LOG10(1.012458)</f>
        <v>5.3770163345391387E-3</v>
      </c>
      <c r="D10668">
        <f>LOG10(3.608726)</f>
        <v>0.55735390860274292</v>
      </c>
    </row>
    <row r="10669" spans="1:4">
      <c r="A10669">
        <v>1.006767</v>
      </c>
      <c r="B10669">
        <v>3.6420870000000001</v>
      </c>
      <c r="C10669">
        <f>LOG10(1.006767)</f>
        <v>2.9289717225863847E-3</v>
      </c>
      <c r="D10669">
        <f>LOG10(3.642087)</f>
        <v>0.56135031575012739</v>
      </c>
    </row>
    <row r="10670" spans="1:4">
      <c r="A10670">
        <v>1.008405</v>
      </c>
      <c r="B10670">
        <v>3.6761189999999999</v>
      </c>
      <c r="C10670">
        <f>LOG10(1.008405)</f>
        <v>3.6349903830537557E-3</v>
      </c>
      <c r="D10670">
        <f>LOG10(3.676119)</f>
        <v>0.56538956152986564</v>
      </c>
    </row>
    <row r="10671" spans="1:4">
      <c r="A10671">
        <v>1.0094080000000001</v>
      </c>
      <c r="B10671">
        <v>3.602884</v>
      </c>
      <c r="C10671">
        <f>LOG10(1.009408)</f>
        <v>4.0667423850727783E-3</v>
      </c>
      <c r="D10671">
        <f>LOG10(3.602884)</f>
        <v>0.55665027961607649</v>
      </c>
    </row>
    <row r="10672" spans="1:4">
      <c r="A10672">
        <v>1.018014</v>
      </c>
      <c r="B10672">
        <v>3.612711</v>
      </c>
      <c r="C10672">
        <f>LOG10(1.018014)</f>
        <v>7.7537505753359224E-3</v>
      </c>
      <c r="D10672">
        <f>LOG10(3.612711)</f>
        <v>0.55783322142816971</v>
      </c>
    </row>
    <row r="10673" spans="1:4">
      <c r="A10673">
        <v>1.0201469999999999</v>
      </c>
      <c r="B10673">
        <v>3.5179109999999998</v>
      </c>
      <c r="C10673">
        <f>LOG10(1.020147)</f>
        <v>8.6627567510876788E-3</v>
      </c>
      <c r="D10673">
        <f>LOG10(3.517911)</f>
        <v>0.54628484799869703</v>
      </c>
    </row>
    <row r="10674" spans="1:4">
      <c r="A10674">
        <v>1.016554</v>
      </c>
      <c r="B10674">
        <v>3.3435429999999999</v>
      </c>
      <c r="C10674">
        <f>LOG10(1.016554)</f>
        <v>7.1304535880482526E-3</v>
      </c>
      <c r="D10674">
        <f>LOG10(3.343543)</f>
        <v>0.52420691286346122</v>
      </c>
    </row>
    <row r="10675" spans="1:4">
      <c r="A10675">
        <v>1.016559</v>
      </c>
      <c r="B10675">
        <v>3.3533620000000002</v>
      </c>
      <c r="C10675">
        <f>LOG10(1.016559)</f>
        <v>7.1325896940192786E-3</v>
      </c>
      <c r="D10675">
        <f>LOG10(3.353362)</f>
        <v>0.52548043864098182</v>
      </c>
    </row>
    <row r="10676" spans="1:4">
      <c r="A10676">
        <v>1.0188870000000001</v>
      </c>
      <c r="B10676">
        <v>3.262067</v>
      </c>
      <c r="C10676">
        <f>LOG10(1.018887)</f>
        <v>8.1260211038657309E-3</v>
      </c>
      <c r="D10676">
        <f>LOG10(3.262067)</f>
        <v>0.51349287682426448</v>
      </c>
    </row>
    <row r="10677" spans="1:4">
      <c r="A10677">
        <v>1.0595829999999999</v>
      </c>
      <c r="B10677">
        <v>3.185041</v>
      </c>
      <c r="C10677">
        <f>LOG10(1.059583)</f>
        <v>2.5134981839785037E-2</v>
      </c>
      <c r="D10677">
        <f>LOG10(3.185041)</f>
        <v>0.50311502723939172</v>
      </c>
    </row>
    <row r="10678" spans="1:4">
      <c r="A10678">
        <v>1.1223179999999999</v>
      </c>
      <c r="B10678">
        <v>3.1787830000000001</v>
      </c>
      <c r="C10678">
        <f>LOG10(1.122318)</f>
        <v>5.0115928290749998E-2</v>
      </c>
      <c r="D10678">
        <f>LOG10(3.178783)</f>
        <v>0.5022608817621409</v>
      </c>
    </row>
    <row r="10679" spans="1:4">
      <c r="A10679">
        <v>1.0097750000000001</v>
      </c>
      <c r="B10679">
        <v>3.1685180000000002</v>
      </c>
      <c r="C10679">
        <f>LOG10(1.009775)</f>
        <v>4.2246142338488715E-3</v>
      </c>
      <c r="D10679">
        <f>LOG10(3.168518)</f>
        <v>0.50085617864714116</v>
      </c>
    </row>
    <row r="10680" spans="1:4">
      <c r="A10680">
        <v>1.001042</v>
      </c>
      <c r="B10680">
        <v>3.2045859999999999</v>
      </c>
      <c r="C10680">
        <f>LOG10(1.001042)</f>
        <v>4.5229924314038562E-4</v>
      </c>
      <c r="D10680">
        <f>LOG10(3.204586)</f>
        <v>0.50577193103766271</v>
      </c>
    </row>
    <row r="10681" spans="1:4">
      <c r="A10681">
        <v>1.082741</v>
      </c>
      <c r="B10681">
        <v>3.082214</v>
      </c>
      <c r="C10681">
        <f>LOG10(1.082741)</f>
        <v>3.45245824581423E-2</v>
      </c>
      <c r="D10681">
        <f>LOG10(3.082214)</f>
        <v>0.48886278876028699</v>
      </c>
    </row>
    <row r="10682" spans="1:4">
      <c r="A10682">
        <v>1.0532349999999999</v>
      </c>
      <c r="B10682">
        <v>3.0807639999999998</v>
      </c>
      <c r="C10682">
        <f>LOG10(1.053235)</f>
        <v>2.2525282692199423E-2</v>
      </c>
      <c r="D10682">
        <f>LOG10(3.080764)</f>
        <v>0.48865843073389809</v>
      </c>
    </row>
    <row r="10683" spans="1:4">
      <c r="A10683">
        <v>1.0144880000000001</v>
      </c>
      <c r="B10683">
        <v>3.1265849999999999</v>
      </c>
      <c r="C10683">
        <f>LOG10(1.014488)</f>
        <v>6.2469142923757956E-3</v>
      </c>
      <c r="D10683">
        <f>LOG10(3.126585)</f>
        <v>0.4950702399986695</v>
      </c>
    </row>
    <row r="10684" spans="1:4">
      <c r="A10684">
        <v>1.001182</v>
      </c>
      <c r="B10684">
        <v>2.9802149999999998</v>
      </c>
      <c r="C10684">
        <f>LOG10(1.001182)</f>
        <v>5.1303293484077084E-4</v>
      </c>
      <c r="D10684">
        <f>LOG10(2.980215)</f>
        <v>0.47424759627271112</v>
      </c>
    </row>
    <row r="10685" spans="1:4">
      <c r="A10685">
        <v>1.004899</v>
      </c>
      <c r="B10685">
        <v>3.0077850000000002</v>
      </c>
      <c r="C10685">
        <f>LOG10(1.004899)</f>
        <v>2.1224140481311301E-3</v>
      </c>
      <c r="D10685">
        <f>LOG10(3.007785)</f>
        <v>0.47824678915007451</v>
      </c>
    </row>
    <row r="10686" spans="1:4">
      <c r="A10686">
        <v>1.016529</v>
      </c>
      <c r="B10686">
        <v>2.9672839999999998</v>
      </c>
      <c r="C10686">
        <f>LOG10(1.016529)</f>
        <v>7.1197729005917122E-3</v>
      </c>
      <c r="D10686">
        <f>LOG10(2.967284)</f>
        <v>0.47235911481371684</v>
      </c>
    </row>
    <row r="10687" spans="1:4">
      <c r="A10687">
        <v>1.010232</v>
      </c>
      <c r="B10687">
        <v>3.0322650000000002</v>
      </c>
      <c r="C10687">
        <f>LOG10(1.010232)</f>
        <v>4.4211210594350238E-3</v>
      </c>
      <c r="D10687">
        <f>LOG10(3.032265)</f>
        <v>0.48176715309741353</v>
      </c>
    </row>
    <row r="10688" spans="1:4">
      <c r="A10688">
        <v>1.005646</v>
      </c>
      <c r="B10688">
        <v>3.1685530000000002</v>
      </c>
      <c r="C10688">
        <f>LOG10(1.005646)</f>
        <v>2.4451305184509725E-3</v>
      </c>
      <c r="D10688">
        <f>LOG10(3.168553)</f>
        <v>0.50086097591290224</v>
      </c>
    </row>
    <row r="10689" spans="1:4">
      <c r="A10689">
        <v>1.000734</v>
      </c>
      <c r="B10689">
        <v>3.2087880000000002</v>
      </c>
      <c r="C10689">
        <f>LOG10(1.000734)</f>
        <v>3.1865521755335298E-4</v>
      </c>
      <c r="D10689">
        <f>LOG10(3.208788)</f>
        <v>0.50634102483262566</v>
      </c>
    </row>
    <row r="10690" spans="1:4">
      <c r="A10690">
        <v>1.0331790000000001</v>
      </c>
      <c r="B10690">
        <v>3.3189860000000002</v>
      </c>
      <c r="C10690">
        <f>LOG10(1.033179)</f>
        <v>1.4175570287955944E-2</v>
      </c>
      <c r="D10690">
        <f>LOG10(3.318986)</f>
        <v>0.52100542049068588</v>
      </c>
    </row>
    <row r="10691" spans="1:4">
      <c r="A10691">
        <v>1.0050129999999999</v>
      </c>
      <c r="B10691">
        <v>3.3208160000000002</v>
      </c>
      <c r="C10691">
        <f>LOG10(1.005013)</f>
        <v>2.17167945974123E-3</v>
      </c>
      <c r="D10691">
        <f>LOG10(3.320816)</f>
        <v>0.5212448128466648</v>
      </c>
    </row>
    <row r="10692" spans="1:4">
      <c r="A10692">
        <v>1.0099359999999999</v>
      </c>
      <c r="B10692">
        <v>3.1433080000000002</v>
      </c>
      <c r="C10692">
        <f>LOG10(1.009936)</f>
        <v>4.2938532603575778E-3</v>
      </c>
      <c r="D10692">
        <f>LOG10(3.143308)</f>
        <v>0.49738693785715365</v>
      </c>
    </row>
    <row r="10693" spans="1:4">
      <c r="A10693">
        <v>1.0046060000000001</v>
      </c>
      <c r="B10693">
        <v>3.1512030000000002</v>
      </c>
      <c r="C10693">
        <f>LOG10(1.004606)</f>
        <v>1.9957676510339818E-3</v>
      </c>
      <c r="D10693">
        <f>LOG10(3.151203)</f>
        <v>0.4984763812571737</v>
      </c>
    </row>
    <row r="10694" spans="1:4">
      <c r="A10694">
        <v>1.020645</v>
      </c>
      <c r="B10694">
        <v>3.1764239999999999</v>
      </c>
      <c r="C10694">
        <f>LOG10(1.020645)</f>
        <v>8.8747123607537236E-3</v>
      </c>
      <c r="D10694">
        <f>LOG10(3.176424)</f>
        <v>0.50193846874558212</v>
      </c>
    </row>
    <row r="10695" spans="1:4">
      <c r="A10695">
        <v>1.0014879999999999</v>
      </c>
      <c r="B10695">
        <v>3.3200189999999998</v>
      </c>
      <c r="C10695">
        <f>LOG10(1.001488)</f>
        <v>6.4574987022859691E-4</v>
      </c>
      <c r="D10695">
        <f>LOG10(3.320019)</f>
        <v>0.52114056911715212</v>
      </c>
    </row>
    <row r="10696" spans="1:4">
      <c r="A10696">
        <v>1.0052080000000001</v>
      </c>
      <c r="B10696">
        <v>3.4089140000000002</v>
      </c>
      <c r="C10696">
        <f>LOG10(1.005208)</f>
        <v>2.2559362894498422E-3</v>
      </c>
      <c r="D10696">
        <f>LOG10(3.408914)</f>
        <v>0.5326160449963997</v>
      </c>
    </row>
    <row r="10697" spans="1:4">
      <c r="A10697">
        <v>1.013873</v>
      </c>
      <c r="B10697">
        <v>3.2799230000000001</v>
      </c>
      <c r="C10697">
        <f>LOG10(1.013873)</f>
        <v>5.9835577058952602E-3</v>
      </c>
      <c r="D10697">
        <f>LOG10(3.279923)</f>
        <v>0.51586364826423003</v>
      </c>
    </row>
    <row r="10698" spans="1:4">
      <c r="A10698">
        <v>1.007039</v>
      </c>
      <c r="B10698">
        <v>3.3104990000000001</v>
      </c>
      <c r="C10698">
        <f>LOG10(1.007039)</f>
        <v>3.0462899744895509E-3</v>
      </c>
      <c r="D10698">
        <f>LOG10(3.310499)</f>
        <v>0.51989346103034118</v>
      </c>
    </row>
    <row r="10699" spans="1:4">
      <c r="A10699">
        <v>1.0076050000000001</v>
      </c>
      <c r="B10699">
        <v>3.1709019999999999</v>
      </c>
      <c r="C10699">
        <f>LOG10(1.007605)</f>
        <v>3.2903139144257985E-3</v>
      </c>
      <c r="D10699">
        <f>LOG10(3.170902)</f>
        <v>0.50118281991516389</v>
      </c>
    </row>
    <row r="10700" spans="1:4">
      <c r="A10700">
        <v>1.003879</v>
      </c>
      <c r="B10700">
        <v>3.3203499999999999</v>
      </c>
      <c r="C10700">
        <f>LOG10(1.003879)</f>
        <v>1.6813693835511666E-3</v>
      </c>
      <c r="D10700">
        <f>LOG10(3.32035)</f>
        <v>0.52118386534771677</v>
      </c>
    </row>
    <row r="10701" spans="1:4">
      <c r="A10701">
        <v>1.011952</v>
      </c>
      <c r="B10701">
        <v>3.3077049999999999</v>
      </c>
      <c r="C10701">
        <f>LOG10(1.011952)</f>
        <v>5.1599130674939942E-3</v>
      </c>
      <c r="D10701">
        <f>LOG10(3.307705)</f>
        <v>0.5195267697483783</v>
      </c>
    </row>
    <row r="10702" spans="1:4">
      <c r="A10702">
        <v>1.007787</v>
      </c>
      <c r="B10702">
        <v>3.3911319999999998</v>
      </c>
      <c r="C10702">
        <f>LOG10(1.007787)</f>
        <v>3.3687518519795964E-3</v>
      </c>
      <c r="D10702">
        <f>LOG10(3.391132)</f>
        <v>0.53034469504375159</v>
      </c>
    </row>
    <row r="10703" spans="1:4">
      <c r="A10703">
        <v>1.004156</v>
      </c>
      <c r="B10703">
        <v>3.441678</v>
      </c>
      <c r="C10703">
        <f>LOG10(1.004156)</f>
        <v>1.8011875861724343E-3</v>
      </c>
      <c r="D10703">
        <f>LOG10(3.441678)</f>
        <v>0.53677023572868643</v>
      </c>
    </row>
    <row r="10704" spans="1:4">
      <c r="A10704">
        <v>1.0017199999999999</v>
      </c>
      <c r="B10704">
        <v>3.3189259999999998</v>
      </c>
      <c r="C10704">
        <f>LOG10(1.00172)</f>
        <v>7.4634483615528859E-4</v>
      </c>
      <c r="D10704">
        <f>LOG10(3.318926)</f>
        <v>0.52099756932636943</v>
      </c>
    </row>
    <row r="10705" spans="1:4">
      <c r="A10705">
        <v>1.022748</v>
      </c>
      <c r="B10705">
        <v>3.1753749999999998</v>
      </c>
      <c r="C10705">
        <f>LOG10(1.022748)</f>
        <v>9.7686389014667793E-3</v>
      </c>
      <c r="D10705">
        <f>LOG10(3.175375)</f>
        <v>0.50179502122286967</v>
      </c>
    </row>
    <row r="10706" spans="1:4">
      <c r="A10706">
        <v>1.0019739999999999</v>
      </c>
      <c r="B10706">
        <v>3.3369740000000001</v>
      </c>
      <c r="C10706">
        <f>LOG10(1.001974)</f>
        <v>8.564522667253244E-4</v>
      </c>
      <c r="D10706">
        <f>LOG10(3.336974)</f>
        <v>0.52335282286680396</v>
      </c>
    </row>
    <row r="10707" spans="1:4">
      <c r="A10707">
        <v>1.0091000000000001</v>
      </c>
      <c r="B10707">
        <v>3.4312529999999999</v>
      </c>
      <c r="C10707">
        <f>LOG10(1.0091)</f>
        <v>3.9342061737084174E-3</v>
      </c>
      <c r="D10707">
        <f>LOG10(3.431253)</f>
        <v>0.53545274150502353</v>
      </c>
    </row>
    <row r="10708" spans="1:4">
      <c r="A10708">
        <v>1.0184439999999999</v>
      </c>
      <c r="B10708">
        <v>3.181365</v>
      </c>
      <c r="C10708">
        <f>LOG10(1.018444)</f>
        <v>7.93715394529859E-3</v>
      </c>
      <c r="D10708">
        <f>LOG10(3.181365)</f>
        <v>0.50261349884396866</v>
      </c>
    </row>
    <row r="10709" spans="1:4">
      <c r="A10709">
        <v>1.00397</v>
      </c>
      <c r="B10709">
        <v>3.332802</v>
      </c>
      <c r="C10709">
        <f>LOG10(1.00397)</f>
        <v>1.7207356883681953E-3</v>
      </c>
      <c r="D10709">
        <f>LOG10(3.332802)</f>
        <v>0.52280951322198055</v>
      </c>
    </row>
    <row r="10710" spans="1:4">
      <c r="A10710">
        <v>1.0025869999999999</v>
      </c>
      <c r="B10710">
        <v>3.0804580000000001</v>
      </c>
      <c r="C10710">
        <f>LOG10(1.002587)</f>
        <v>1.1220690533487335E-3</v>
      </c>
      <c r="D10710">
        <f>LOG10(3.080458)</f>
        <v>0.48861529185282171</v>
      </c>
    </row>
    <row r="10711" spans="1:4">
      <c r="A10711">
        <v>1.0001249999999999</v>
      </c>
      <c r="B10711">
        <v>3.1568849999999999</v>
      </c>
      <c r="C10711">
        <f>LOG10(1.000125)</f>
        <v>5.4283417594953824E-5</v>
      </c>
      <c r="D10711">
        <f>LOG10(3.156885)</f>
        <v>0.49925876156434496</v>
      </c>
    </row>
    <row r="10712" spans="1:4">
      <c r="A10712">
        <v>1.00936</v>
      </c>
      <c r="B10712">
        <v>3.067415</v>
      </c>
      <c r="C10712">
        <f>LOG10(1.00936)</f>
        <v>4.0460900514363183E-3</v>
      </c>
      <c r="D10712">
        <f>LOG10(3.067415)</f>
        <v>0.48677253699238288</v>
      </c>
    </row>
    <row r="10713" spans="1:4">
      <c r="A10713">
        <v>1.0155559999999999</v>
      </c>
      <c r="B10713">
        <v>3.1366689999999999</v>
      </c>
      <c r="C10713">
        <f>LOG10(1.015556)</f>
        <v>6.7038763576955044E-3</v>
      </c>
      <c r="D10713">
        <f>LOG10(3.136669)</f>
        <v>0.49646869177457031</v>
      </c>
    </row>
    <row r="10714" spans="1:4">
      <c r="A10714">
        <v>1.0050840000000001</v>
      </c>
      <c r="B10714">
        <v>3.1446209999999999</v>
      </c>
      <c r="C10714">
        <f>LOG10(1.005084)</f>
        <v>2.2023594798875426E-3</v>
      </c>
      <c r="D10714">
        <f>LOG10(3.144621)</f>
        <v>0.49756831034498766</v>
      </c>
    </row>
    <row r="10715" spans="1:4">
      <c r="A10715">
        <v>1.0045219999999999</v>
      </c>
      <c r="B10715">
        <v>3.0758429999999999</v>
      </c>
      <c r="C10715">
        <f>LOG10(1.004522)</f>
        <v>1.9594526561693302E-3</v>
      </c>
      <c r="D10715">
        <f>LOG10(3.075843)</f>
        <v>0.48796416403778409</v>
      </c>
    </row>
    <row r="10716" spans="1:4">
      <c r="A10716">
        <v>1.0086120000000001</v>
      </c>
      <c r="B10716">
        <v>3.1863389999999998</v>
      </c>
      <c r="C10716">
        <f>LOG10(1.008612)</f>
        <v>3.7241308891274435E-3</v>
      </c>
      <c r="D10716">
        <f>LOG10(3.186339)</f>
        <v>0.5032919792483157</v>
      </c>
    </row>
    <row r="10717" spans="1:4">
      <c r="A10717">
        <v>1.006553</v>
      </c>
      <c r="B10717">
        <v>3.1423299999999998</v>
      </c>
      <c r="C10717">
        <f>LOG10(1.006553)</f>
        <v>2.8366475818861711E-3</v>
      </c>
      <c r="D10717">
        <f>LOG10(3.14233)</f>
        <v>0.49725179166937478</v>
      </c>
    </row>
    <row r="10718" spans="1:4">
      <c r="A10718">
        <v>1.014024</v>
      </c>
      <c r="B10718">
        <v>3.0632079999999999</v>
      </c>
      <c r="C10718">
        <f>LOG10(1.014024)</f>
        <v>6.048234035007238E-3</v>
      </c>
      <c r="D10718">
        <f>LOG10(3.063208)</f>
        <v>0.48617648756244336</v>
      </c>
    </row>
    <row r="10719" spans="1:4">
      <c r="A10719">
        <v>1.004189</v>
      </c>
      <c r="B10719">
        <v>3.2198509999999998</v>
      </c>
      <c r="C10719">
        <f>LOG10(1.004189)</f>
        <v>1.8154597534585084E-3</v>
      </c>
      <c r="D10719">
        <f>LOG10(3.219851)</f>
        <v>0.50783577499551436</v>
      </c>
    </row>
    <row r="10720" spans="1:4">
      <c r="A10720">
        <v>1.0171129999999999</v>
      </c>
      <c r="B10720">
        <v>3.6026310000000001</v>
      </c>
      <c r="C10720">
        <f>LOG10(1.017113)</f>
        <v>7.3692051845466924E-3</v>
      </c>
      <c r="D10720">
        <f>LOG10(3.602631)</f>
        <v>0.55661978172551174</v>
      </c>
    </row>
    <row r="10721" spans="1:4">
      <c r="A10721">
        <v>1.0044</v>
      </c>
      <c r="B10721">
        <v>3.3385150000000001</v>
      </c>
      <c r="C10721">
        <f>LOG10(1.0044)</f>
        <v>1.9067040408848018E-3</v>
      </c>
      <c r="D10721">
        <f>LOG10(3.338515)</f>
        <v>0.52355333186577035</v>
      </c>
    </row>
    <row r="10722" spans="1:4">
      <c r="A10722">
        <v>1.0028980000000001</v>
      </c>
      <c r="B10722">
        <v>3.2523300000000002</v>
      </c>
      <c r="C10722">
        <f>LOG10(1.002898)</f>
        <v>1.2567652340279001E-3</v>
      </c>
      <c r="D10722">
        <f>LOG10(3.25233)</f>
        <v>0.51219460515938975</v>
      </c>
    </row>
    <row r="10723" spans="1:4">
      <c r="A10723">
        <v>1.002556</v>
      </c>
      <c r="B10723">
        <v>3.2414999999999998</v>
      </c>
      <c r="C10723">
        <f>LOG10(1.002556)</f>
        <v>1.1086404560466691E-3</v>
      </c>
      <c r="D10723">
        <f>LOG10(3.2415)</f>
        <v>0.5107460259389226</v>
      </c>
    </row>
    <row r="10724" spans="1:4">
      <c r="A10724">
        <v>1.0150980000000001</v>
      </c>
      <c r="B10724">
        <v>3.0425689999999999</v>
      </c>
      <c r="C10724">
        <f>LOG10(1.015098)</f>
        <v>6.5079721060756811E-3</v>
      </c>
      <c r="D10724">
        <f>LOG10(3.042569)</f>
        <v>0.48324043603257344</v>
      </c>
    </row>
    <row r="10725" spans="1:4">
      <c r="A10725">
        <v>1.005827</v>
      </c>
      <c r="B10725">
        <v>3.5065580000000001</v>
      </c>
      <c r="C10725">
        <f>LOG10(1.005827)</f>
        <v>2.5232894611130377E-3</v>
      </c>
      <c r="D10725">
        <f>LOG10(3.506558)</f>
        <v>0.54488102671451899</v>
      </c>
    </row>
    <row r="10726" spans="1:4">
      <c r="A10726">
        <v>1.002966</v>
      </c>
      <c r="B10726">
        <v>3.7181860000000002</v>
      </c>
      <c r="C10726">
        <f>LOG10(1.002966)</f>
        <v>1.2862109240454843E-3</v>
      </c>
      <c r="D10726">
        <f>LOG10(3.718186)</f>
        <v>0.57033111129740366</v>
      </c>
    </row>
    <row r="10727" spans="1:4">
      <c r="A10727">
        <v>1.002928</v>
      </c>
      <c r="B10727">
        <v>3.6045950000000002</v>
      </c>
      <c r="C10727">
        <f>LOG10(1.002928)</f>
        <v>1.2697562257271383E-3</v>
      </c>
      <c r="D10727">
        <f>LOG10(3.604595)</f>
        <v>0.5568564759497725</v>
      </c>
    </row>
    <row r="10728" spans="1:4">
      <c r="A10728">
        <v>1.0136750000000001</v>
      </c>
      <c r="B10728">
        <v>3.7378369999999999</v>
      </c>
      <c r="C10728">
        <f>LOG10(1.013675)</f>
        <v>5.8987357360181895E-3</v>
      </c>
      <c r="D10728">
        <f>LOG10(3.737837)</f>
        <v>0.57262035869502381</v>
      </c>
    </row>
    <row r="10729" spans="1:4">
      <c r="A10729">
        <v>1.0002679999999999</v>
      </c>
      <c r="B10729">
        <v>3.3691089999999999</v>
      </c>
      <c r="C10729">
        <f>LOG10(1.000268)</f>
        <v>1.16375327552603E-4</v>
      </c>
      <c r="D10729">
        <f>LOG10(3.369109)</f>
        <v>0.52751506183679253</v>
      </c>
    </row>
    <row r="10730" spans="1:4">
      <c r="A10730">
        <v>1.002427</v>
      </c>
      <c r="B10730">
        <v>3.2438289999999999</v>
      </c>
      <c r="C10730">
        <f>LOG10(1.002427)</f>
        <v>1.0527557046618994E-3</v>
      </c>
      <c r="D10730">
        <f>LOG10(3.243829)</f>
        <v>0.51105795210082872</v>
      </c>
    </row>
    <row r="10731" spans="1:4">
      <c r="A10731">
        <v>1.0067790000000001</v>
      </c>
      <c r="B10731">
        <v>3.4065159999999999</v>
      </c>
      <c r="C10731">
        <f>LOG10(1.006779)</f>
        <v>2.9341481961141355E-3</v>
      </c>
      <c r="D10731">
        <f>LOG10(3.406516)</f>
        <v>0.53231043310967208</v>
      </c>
    </row>
    <row r="10732" spans="1:4">
      <c r="A10732">
        <v>1.010737</v>
      </c>
      <c r="B10732">
        <v>3.186833</v>
      </c>
      <c r="C10732">
        <f>LOG10(1.010737)</f>
        <v>4.6381641886724259E-3</v>
      </c>
      <c r="D10732">
        <f>LOG10(3.186833)</f>
        <v>0.50335930568309262</v>
      </c>
    </row>
    <row r="10733" spans="1:4">
      <c r="A10733">
        <v>1.0119400000000001</v>
      </c>
      <c r="B10733">
        <v>3.4669289999999999</v>
      </c>
      <c r="C10733">
        <f>LOG10(1.01194)</f>
        <v>5.1547630557514145E-3</v>
      </c>
      <c r="D10733">
        <f>LOG10(3.466929)</f>
        <v>0.53994494773544188</v>
      </c>
    </row>
    <row r="10734" spans="1:4">
      <c r="A10734">
        <v>1.0017849999999999</v>
      </c>
      <c r="B10734">
        <v>3.570614</v>
      </c>
      <c r="C10734">
        <f>LOG10(1.001785)</f>
        <v>7.7452459246596188E-4</v>
      </c>
      <c r="D10734">
        <f>LOG10(3.570614)</f>
        <v>0.55274290347452526</v>
      </c>
    </row>
    <row r="10735" spans="1:4">
      <c r="A10735">
        <v>1.013552</v>
      </c>
      <c r="B10735">
        <v>3.960696</v>
      </c>
      <c r="C10735">
        <f>LOG10(1.013552)</f>
        <v>5.8460349567372389E-3</v>
      </c>
      <c r="D10735">
        <f>LOG10(3.960696)</f>
        <v>0.59777150976376658</v>
      </c>
    </row>
    <row r="10736" spans="1:4">
      <c r="A10736">
        <v>1.018597</v>
      </c>
      <c r="B10736">
        <v>3.568514</v>
      </c>
      <c r="C10736">
        <f>LOG10(1.018597)</f>
        <v>8.002392745947353E-3</v>
      </c>
      <c r="D10736">
        <f>LOG10(3.568514)</f>
        <v>0.55248740492111614</v>
      </c>
    </row>
    <row r="10737" spans="1:4">
      <c r="A10737">
        <v>1.003177</v>
      </c>
      <c r="B10737">
        <v>3.616018</v>
      </c>
      <c r="C10737">
        <f>LOG10(1.003177)</f>
        <v>1.3775664615315638E-3</v>
      </c>
      <c r="D10737">
        <f>LOG10(3.616018)</f>
        <v>0.55823058366206946</v>
      </c>
    </row>
    <row r="10738" spans="1:4">
      <c r="A10738">
        <v>1.003549</v>
      </c>
      <c r="B10738">
        <v>3.5530080000000002</v>
      </c>
      <c r="C10738">
        <f>LOG10(1.003549)</f>
        <v>1.5385825136668731E-3</v>
      </c>
      <c r="D10738">
        <f>LOG10(3.553008)</f>
        <v>0.55059618535365207</v>
      </c>
    </row>
    <row r="10739" spans="1:4">
      <c r="A10739">
        <v>1.004942</v>
      </c>
      <c r="B10739">
        <v>3.9358089999999999</v>
      </c>
      <c r="C10739">
        <f>LOG10(1.004942)</f>
        <v>2.140997272102276E-3</v>
      </c>
      <c r="D10739">
        <f>LOG10(3.935809)</f>
        <v>0.59503401449031301</v>
      </c>
    </row>
    <row r="10740" spans="1:4">
      <c r="A10740">
        <v>1.0033240000000001</v>
      </c>
      <c r="B10740">
        <v>3.5775489999999999</v>
      </c>
      <c r="C10740">
        <f>LOG10(1.003324)</f>
        <v>1.4412009067215222E-3</v>
      </c>
      <c r="D10740">
        <f>LOG10(3.577549)</f>
        <v>0.55358559079907566</v>
      </c>
    </row>
    <row r="10741" spans="1:4">
      <c r="A10741">
        <v>1.0068410000000001</v>
      </c>
      <c r="B10741">
        <v>3.6409669999999998</v>
      </c>
      <c r="C10741">
        <f>LOG10(1.006841)</f>
        <v>2.9608923264729057E-3</v>
      </c>
      <c r="D10741">
        <f>LOG10(3.640967)</f>
        <v>0.56121674271234234</v>
      </c>
    </row>
    <row r="10742" spans="1:4">
      <c r="A10742">
        <v>1.003547</v>
      </c>
      <c r="B10742">
        <v>3.6456170000000001</v>
      </c>
      <c r="C10742">
        <f>LOG10(1.003547)</f>
        <v>1.5377169955612799E-3</v>
      </c>
      <c r="D10742">
        <f>LOG10(3.645617)</f>
        <v>0.56177104075240925</v>
      </c>
    </row>
    <row r="10743" spans="1:4">
      <c r="A10743">
        <v>1.0056020000000001</v>
      </c>
      <c r="B10743">
        <v>3.7373699999999999</v>
      </c>
      <c r="C10743">
        <f>LOG10(1.005602)</f>
        <v>2.4261284289953085E-3</v>
      </c>
      <c r="D10743">
        <f>LOG10(3.73737)</f>
        <v>0.57256609517474599</v>
      </c>
    </row>
    <row r="10744" spans="1:4">
      <c r="A10744">
        <v>1.000424</v>
      </c>
      <c r="B10744">
        <v>3.499752</v>
      </c>
      <c r="C10744">
        <f>LOG10(1.000424)</f>
        <v>1.8410183349577535E-4</v>
      </c>
      <c r="D10744">
        <f>LOG10(3.499752)</f>
        <v>0.5440372703938392</v>
      </c>
    </row>
    <row r="10745" spans="1:4">
      <c r="A10745">
        <v>1.0065900000000001</v>
      </c>
      <c r="B10745">
        <v>3.6124670000000001</v>
      </c>
      <c r="C10745">
        <f>LOG10(1.00659)</f>
        <v>2.85261157036812E-3</v>
      </c>
      <c r="D10745">
        <f>LOG10(3.612467)</f>
        <v>0.55780388848893292</v>
      </c>
    </row>
    <row r="10746" spans="1:4">
      <c r="A10746">
        <v>1.001393</v>
      </c>
      <c r="B10746">
        <v>3.5685310000000001</v>
      </c>
      <c r="C10746">
        <f>LOG10(1.001393)</f>
        <v>6.0455124104220968E-4</v>
      </c>
      <c r="D10746">
        <f>LOG10(3.568531)</f>
        <v>0.55248947384633451</v>
      </c>
    </row>
    <row r="10747" spans="1:4">
      <c r="A10747">
        <v>1.008086</v>
      </c>
      <c r="B10747">
        <v>3.538151</v>
      </c>
      <c r="C10747">
        <f>LOG10(1.008086)</f>
        <v>3.4975834311925151E-3</v>
      </c>
      <c r="D10747">
        <f>LOG10(3.538151)</f>
        <v>0.54877636364079863</v>
      </c>
    </row>
    <row r="10748" spans="1:4">
      <c r="A10748">
        <v>1.003163</v>
      </c>
      <c r="B10748">
        <v>3.4339689999999998</v>
      </c>
      <c r="C10748">
        <f>LOG10(1.003163)</f>
        <v>1.3715055518684696E-3</v>
      </c>
      <c r="D10748">
        <f>LOG10(3.433969)</f>
        <v>0.53579637026878013</v>
      </c>
    </row>
    <row r="10749" spans="1:4">
      <c r="A10749">
        <v>1.0023029999999999</v>
      </c>
      <c r="B10749">
        <v>3.4596819999999999</v>
      </c>
      <c r="C10749">
        <f>LOG10(1.002303)</f>
        <v>9.990302495385794E-4</v>
      </c>
      <c r="D10749">
        <f>LOG10(3.459682)</f>
        <v>0.53903618203205195</v>
      </c>
    </row>
    <row r="10750" spans="1:4">
      <c r="A10750">
        <v>1.006643</v>
      </c>
      <c r="B10750">
        <v>3.3776199999999998</v>
      </c>
      <c r="C10750">
        <f>LOG10(1.006643)</f>
        <v>2.8754778829570039E-3</v>
      </c>
      <c r="D10750">
        <f>LOG10(3.37762)</f>
        <v>0.52861078757180058</v>
      </c>
    </row>
    <row r="10751" spans="1:4">
      <c r="A10751">
        <v>1</v>
      </c>
      <c r="B10751">
        <v>3.7258610000000001</v>
      </c>
      <c r="C10751">
        <f>LOG10(1)</f>
        <v>0</v>
      </c>
      <c r="D10751">
        <f>LOG10(3.725861)</f>
        <v>0.57122664871937046</v>
      </c>
    </row>
    <row r="10752" spans="1:4">
      <c r="A10752">
        <v>1.0032350000000001</v>
      </c>
      <c r="B10752">
        <v>3.336201</v>
      </c>
      <c r="C10752">
        <f>LOG10(1.003235)</f>
        <v>1.4026750433756259E-3</v>
      </c>
      <c r="D10752">
        <f>LOG10(3.336201)</f>
        <v>0.52325220820106755</v>
      </c>
    </row>
    <row r="10753" spans="1:4">
      <c r="A10753">
        <v>1.002626</v>
      </c>
      <c r="B10753">
        <v>3.4654129999999999</v>
      </c>
      <c r="C10753">
        <f>LOG10(1.002626)</f>
        <v>1.1389625053624753E-3</v>
      </c>
      <c r="D10753">
        <f>LOG10(3.465413)</f>
        <v>0.5397550002559145</v>
      </c>
    </row>
    <row r="10754" spans="1:4">
      <c r="A10754">
        <v>1.0055069999999999</v>
      </c>
      <c r="B10754">
        <v>3.523199</v>
      </c>
      <c r="C10754">
        <f>LOG10(1.005507)</f>
        <v>2.3850983547312344E-3</v>
      </c>
      <c r="D10754">
        <f>LOG10(3.523199)</f>
        <v>0.54693717402458708</v>
      </c>
    </row>
    <row r="10755" spans="1:4">
      <c r="A10755">
        <v>1.000426</v>
      </c>
      <c r="B10755">
        <v>3.0819670000000001</v>
      </c>
      <c r="C10755">
        <f>LOG10(1.000426)</f>
        <v>1.849700534661197E-4</v>
      </c>
      <c r="D10755">
        <f>LOG10(3.081967)</f>
        <v>0.48882798422191037</v>
      </c>
    </row>
    <row r="10756" spans="1:4">
      <c r="A10756">
        <v>1.0064390000000001</v>
      </c>
      <c r="B10756">
        <v>3.5798459999999999</v>
      </c>
      <c r="C10756">
        <f>LOG10(1.006439)</f>
        <v>2.7874575493476647E-3</v>
      </c>
      <c r="D10756">
        <f>LOG10(3.579846)</f>
        <v>0.55386434430064424</v>
      </c>
    </row>
    <row r="10757" spans="1:4">
      <c r="A10757">
        <v>1.0041389999999999</v>
      </c>
      <c r="B10757">
        <v>3.281765</v>
      </c>
      <c r="C10757">
        <f>LOG10(1.004139)</f>
        <v>1.7938350745219055E-3</v>
      </c>
      <c r="D10757">
        <f>LOG10(3.281765)</f>
        <v>0.51610747895434494</v>
      </c>
    </row>
    <row r="10758" spans="1:4">
      <c r="A10758">
        <v>1.009101</v>
      </c>
      <c r="B10758">
        <v>3.484785</v>
      </c>
      <c r="C10758">
        <f>LOG10(1.009101)</f>
        <v>3.9346365515368579E-3</v>
      </c>
      <c r="D10758">
        <f>LOG10(3.484785)</f>
        <v>0.54217598869113981</v>
      </c>
    </row>
    <row r="10759" spans="1:4">
      <c r="A10759">
        <v>1.003995</v>
      </c>
      <c r="B10759">
        <v>3.4911430000000001</v>
      </c>
      <c r="C10759">
        <f>LOG10(1.003995)</f>
        <v>1.7315499824899724E-3</v>
      </c>
      <c r="D10759">
        <f>LOG10(3.491143)</f>
        <v>0.54296763822666172</v>
      </c>
    </row>
    <row r="10760" spans="1:4">
      <c r="A10760">
        <v>1.020915</v>
      </c>
      <c r="B10760">
        <v>3.4285899999999998</v>
      </c>
      <c r="C10760">
        <f>LOG10(1.020915)</f>
        <v>8.9895848218104844E-3</v>
      </c>
      <c r="D10760">
        <f>LOG10(3.42859)</f>
        <v>0.53511555411942169</v>
      </c>
    </row>
    <row r="10761" spans="1:4">
      <c r="A10761">
        <v>1.0061500000000001</v>
      </c>
      <c r="B10761">
        <v>3.1130469999999999</v>
      </c>
      <c r="C10761">
        <f>LOG10(1.00615)</f>
        <v>2.662731531136588E-3</v>
      </c>
      <c r="D10761">
        <f>LOG10(3.113047)</f>
        <v>0.4931856776007813</v>
      </c>
    </row>
    <row r="10762" spans="1:4">
      <c r="A10762">
        <v>1.0011159999999999</v>
      </c>
      <c r="B10762">
        <v>3.3522750000000001</v>
      </c>
      <c r="C10762">
        <f>LOG10(1.001116)</f>
        <v>4.8440239551440848E-4</v>
      </c>
      <c r="D10762">
        <f>LOG10(3.352275)</f>
        <v>0.52533963826483143</v>
      </c>
    </row>
    <row r="10763" spans="1:4">
      <c r="A10763">
        <v>1.0013160000000001</v>
      </c>
      <c r="B10763">
        <v>3.3562349999999999</v>
      </c>
      <c r="C10763">
        <f>LOG10(1.001316)</f>
        <v>5.7115580004406447E-4</v>
      </c>
      <c r="D10763">
        <f>LOG10(3.356235)</f>
        <v>0.52585236205836872</v>
      </c>
    </row>
    <row r="10764" spans="1:4">
      <c r="A10764">
        <v>1.004467</v>
      </c>
      <c r="B10764">
        <v>3.389589</v>
      </c>
      <c r="C10764">
        <f>LOG10(1.004467)</f>
        <v>1.9356733358140569E-3</v>
      </c>
      <c r="D10764">
        <f>LOG10(3.389589)</f>
        <v>0.53014704160921466</v>
      </c>
    </row>
    <row r="10765" spans="1:4">
      <c r="A10765">
        <v>1.0160119999999999</v>
      </c>
      <c r="B10765">
        <v>3.246883</v>
      </c>
      <c r="C10765">
        <f>LOG10(1.016012)</f>
        <v>6.8988373799932353E-3</v>
      </c>
      <c r="D10765">
        <f>LOG10(3.246883)</f>
        <v>0.5114666392974293</v>
      </c>
    </row>
    <row r="10766" spans="1:4">
      <c r="A10766">
        <v>1.0083850000000001</v>
      </c>
      <c r="B10766">
        <v>3.1940590000000002</v>
      </c>
      <c r="C10766">
        <f>LOG10(1.008385)</f>
        <v>3.6263768044081752E-3</v>
      </c>
      <c r="D10766">
        <f>LOG10(3.194059)</f>
        <v>0.5043429340747797</v>
      </c>
    </row>
    <row r="10767" spans="1:4">
      <c r="A10767">
        <v>1.0034609999999999</v>
      </c>
      <c r="B10767">
        <v>3.1006629999999999</v>
      </c>
      <c r="C10767">
        <f>LOG10(1.003461)</f>
        <v>1.5004980851567851E-3</v>
      </c>
      <c r="D10767">
        <f>LOG10(3.100663)</f>
        <v>0.4914545668843317</v>
      </c>
    </row>
    <row r="10768" spans="1:4">
      <c r="A10768">
        <v>1.0048820000000001</v>
      </c>
      <c r="B10768">
        <v>3.2028699999999999</v>
      </c>
      <c r="C10768">
        <f>LOG10(1.004882)</f>
        <v>2.1150669728104833E-3</v>
      </c>
      <c r="D10768">
        <f>LOG10(3.20287)</f>
        <v>0.5055393116177983</v>
      </c>
    </row>
    <row r="10769" spans="1:4">
      <c r="A10769">
        <v>1.011924</v>
      </c>
      <c r="B10769">
        <v>3.1481089999999998</v>
      </c>
      <c r="C10769">
        <f>LOG10(1.011924)</f>
        <v>5.1478962784278354E-3</v>
      </c>
      <c r="D10769">
        <f>LOG10(3.148109)</f>
        <v>0.49804976094211006</v>
      </c>
    </row>
    <row r="10770" spans="1:4">
      <c r="A10770">
        <v>1.0070749999999999</v>
      </c>
      <c r="B10770">
        <v>3.184612</v>
      </c>
      <c r="C10770">
        <f>LOG10(1.007075)</f>
        <v>3.0618150156244113E-3</v>
      </c>
      <c r="D10770">
        <f>LOG10(3.184612)</f>
        <v>0.50305652724480232</v>
      </c>
    </row>
    <row r="10771" spans="1:4">
      <c r="A10771">
        <v>1.0039480000000001</v>
      </c>
      <c r="B10771">
        <v>3.3705259999999999</v>
      </c>
      <c r="C10771">
        <f>LOG10(1.003948)</f>
        <v>1.7112188867834301E-3</v>
      </c>
      <c r="D10771">
        <f>LOG10(3.370526)</f>
        <v>0.52769768160475461</v>
      </c>
    </row>
    <row r="10772" spans="1:4">
      <c r="A10772">
        <v>1.0084679999999999</v>
      </c>
      <c r="B10772">
        <v>3.395705</v>
      </c>
      <c r="C10772">
        <f>LOG10(1.008468)</f>
        <v>3.6621220392054031E-3</v>
      </c>
      <c r="D10772">
        <f>LOG10(3.395705)</f>
        <v>0.53092995411695576</v>
      </c>
    </row>
    <row r="10773" spans="1:4">
      <c r="A10773">
        <v>1.0180940000000001</v>
      </c>
      <c r="B10773">
        <v>3.3728660000000001</v>
      </c>
      <c r="C10773">
        <f>LOG10(1.018094)</f>
        <v>7.7878779974276512E-3</v>
      </c>
      <c r="D10773">
        <f>LOG10(3.372866)</f>
        <v>0.52799908752285751</v>
      </c>
    </row>
    <row r="10774" spans="1:4">
      <c r="A10774">
        <v>1.00762</v>
      </c>
      <c r="B10774">
        <v>3.3844159999999999</v>
      </c>
      <c r="C10774">
        <f>LOG10(1.00762)</f>
        <v>3.2967791153126627E-3</v>
      </c>
      <c r="D10774">
        <f>LOG10(3.384416)</f>
        <v>0.52948373953264338</v>
      </c>
    </row>
    <row r="10775" spans="1:4">
      <c r="A10775">
        <v>1.0090209999999999</v>
      </c>
      <c r="B10775">
        <v>3.4339469999999999</v>
      </c>
      <c r="C10775">
        <f>LOG10(1.009021)</f>
        <v>3.9002049774590829E-3</v>
      </c>
      <c r="D10775">
        <f>LOG10(3.433947)</f>
        <v>0.53579358791716081</v>
      </c>
    </row>
    <row r="10776" spans="1:4">
      <c r="A10776">
        <v>1.009603</v>
      </c>
      <c r="B10776">
        <v>3.4074759999999999</v>
      </c>
      <c r="C10776">
        <f>LOG10(1.009603)</f>
        <v>4.1506323928383959E-3</v>
      </c>
      <c r="D10776">
        <f>LOG10(3.407476)</f>
        <v>0.53243280563531803</v>
      </c>
    </row>
    <row r="10777" spans="1:4">
      <c r="A10777">
        <v>1.03322</v>
      </c>
      <c r="B10777">
        <v>3.394736</v>
      </c>
      <c r="C10777">
        <f>LOG10(1.03322)</f>
        <v>1.4192804204310289E-2</v>
      </c>
      <c r="D10777">
        <f>LOG10(3.394736)</f>
        <v>0.5308060059504609</v>
      </c>
    </row>
    <row r="10778" spans="1:4">
      <c r="A10778">
        <v>1.008124</v>
      </c>
      <c r="B10778">
        <v>3.4458359999999999</v>
      </c>
      <c r="C10778">
        <f>LOG10(1.008124)</f>
        <v>3.5139539385446957E-3</v>
      </c>
      <c r="D10778">
        <f>LOG10(3.445836)</f>
        <v>0.53729460393327544</v>
      </c>
    </row>
    <row r="10779" spans="1:4">
      <c r="A10779">
        <v>1.0090870000000001</v>
      </c>
      <c r="B10779">
        <v>3.4412259999999999</v>
      </c>
      <c r="C10779">
        <f>LOG10(1.009087)</f>
        <v>3.9286112231266945E-3</v>
      </c>
      <c r="D10779">
        <f>LOG10(3.441226)</f>
        <v>0.53671319552992658</v>
      </c>
    </row>
    <row r="10780" spans="1:4">
      <c r="A10780">
        <v>1.009989</v>
      </c>
      <c r="B10780">
        <v>3.3708300000000002</v>
      </c>
      <c r="C10780">
        <f>LOG10(1.009989)</f>
        <v>4.3166438169833831E-3</v>
      </c>
      <c r="D10780">
        <f>LOG10(3.37083)</f>
        <v>0.52773685043743102</v>
      </c>
    </row>
    <row r="10781" spans="1:4">
      <c r="A10781">
        <v>1.012761</v>
      </c>
      <c r="B10781">
        <v>3.5037379999999998</v>
      </c>
      <c r="C10781">
        <f>LOG10(1.012761)</f>
        <v>5.5069689263314474E-3</v>
      </c>
      <c r="D10781">
        <f>LOG10(3.503738)</f>
        <v>0.5445316233498031</v>
      </c>
    </row>
    <row r="10782" spans="1:4">
      <c r="A10782">
        <v>1.01091</v>
      </c>
      <c r="B10782">
        <v>3.5103529999999998</v>
      </c>
      <c r="C10782">
        <f>LOG10(1.01091)</f>
        <v>4.7124926402296466E-3</v>
      </c>
      <c r="D10782">
        <f>LOG10(3.510353)</f>
        <v>0.54535079117911589</v>
      </c>
    </row>
    <row r="10783" spans="1:4">
      <c r="A10783">
        <v>1.0166569999999999</v>
      </c>
      <c r="B10783">
        <v>3.5336620000000001</v>
      </c>
      <c r="C10783">
        <f>LOG10(1.016657)</f>
        <v>7.1744552501229559E-3</v>
      </c>
      <c r="D10783">
        <f>LOG10(3.533662)</f>
        <v>0.54822500624740822</v>
      </c>
    </row>
    <row r="10784" spans="1:4">
      <c r="A10784">
        <v>1.022627</v>
      </c>
      <c r="B10784">
        <v>3.444169</v>
      </c>
      <c r="C10784">
        <f>LOG10(1.022627)</f>
        <v>9.7172550404421645E-3</v>
      </c>
      <c r="D10784">
        <f>LOG10(3.444169)</f>
        <v>0.53708445345719913</v>
      </c>
    </row>
    <row r="10785" spans="1:4">
      <c r="A10785">
        <v>1.01634</v>
      </c>
      <c r="B10785">
        <v>3.419054</v>
      </c>
      <c r="C10785">
        <f>LOG10(1.01634)</f>
        <v>7.0390184030651014E-3</v>
      </c>
      <c r="D10785">
        <f>LOG10(3.419054)</f>
        <v>0.53390596002935975</v>
      </c>
    </row>
    <row r="10786" spans="1:4">
      <c r="A10786">
        <v>1.032009</v>
      </c>
      <c r="B10786">
        <v>3.386431</v>
      </c>
      <c r="C10786">
        <f>LOG10(1.032009)</f>
        <v>1.3683484726554637E-2</v>
      </c>
      <c r="D10786">
        <f>LOG10(3.386431)</f>
        <v>0.52974223109414809</v>
      </c>
    </row>
    <row r="10787" spans="1:4">
      <c r="A10787">
        <v>1.0143519999999999</v>
      </c>
      <c r="B10787">
        <v>3.4910779999999999</v>
      </c>
      <c r="C10787">
        <f>LOG10(1.014352)</f>
        <v>6.1886898393609018E-3</v>
      </c>
      <c r="D10787">
        <f>LOG10(3.491078)</f>
        <v>0.54295955222041115</v>
      </c>
    </row>
    <row r="10788" spans="1:4">
      <c r="A10788">
        <v>1.024505</v>
      </c>
      <c r="B10788">
        <v>3.4685350000000001</v>
      </c>
      <c r="C10788">
        <f>LOG10(1.024505)</f>
        <v>1.0514082275633205E-2</v>
      </c>
      <c r="D10788">
        <f>LOG10(3.468535)</f>
        <v>0.54014608119973595</v>
      </c>
    </row>
    <row r="10789" spans="1:4">
      <c r="A10789">
        <v>1.011911</v>
      </c>
      <c r="B10789">
        <v>3.4363459999999999</v>
      </c>
      <c r="C10789">
        <f>LOG10(1.011911)</f>
        <v>5.1423169419059968E-3</v>
      </c>
      <c r="D10789">
        <f>LOG10(3.436346)</f>
        <v>0.53609688575451098</v>
      </c>
    </row>
    <row r="10790" spans="1:4">
      <c r="A10790">
        <v>1.009169</v>
      </c>
      <c r="B10790">
        <v>3.4119380000000001</v>
      </c>
      <c r="C10790">
        <f>LOG10(1.009169)</f>
        <v>3.9639012433576514E-3</v>
      </c>
      <c r="D10790">
        <f>LOG10(3.411938)</f>
        <v>0.53300113078900191</v>
      </c>
    </row>
    <row r="10791" spans="1:4">
      <c r="A10791">
        <v>1.011137</v>
      </c>
      <c r="B10791">
        <v>3.4753219999999998</v>
      </c>
      <c r="C10791">
        <f>LOG10(1.011137)</f>
        <v>4.8100025871361017E-3</v>
      </c>
      <c r="D10791">
        <f>LOG10(3.475322)</f>
        <v>0.5409950496008159</v>
      </c>
    </row>
    <row r="10792" spans="1:4">
      <c r="A10792">
        <v>1.0125869999999999</v>
      </c>
      <c r="B10792">
        <v>3.5014509999999999</v>
      </c>
      <c r="C10792">
        <f>LOG10(1.012587)</f>
        <v>5.4323474390244458E-3</v>
      </c>
      <c r="D10792">
        <f>LOG10(3.501451)</f>
        <v>0.54424805312338942</v>
      </c>
    </row>
    <row r="10793" spans="1:4">
      <c r="A10793">
        <v>1.018111</v>
      </c>
      <c r="B10793">
        <v>3.4841920000000002</v>
      </c>
      <c r="C10793">
        <f>LOG10(1.018111)</f>
        <v>7.7951297291467053E-3</v>
      </c>
      <c r="D10793">
        <f>LOG10(3.484192)</f>
        <v>0.54210207924119036</v>
      </c>
    </row>
    <row r="10794" spans="1:4">
      <c r="A10794">
        <v>1.0140260000000001</v>
      </c>
      <c r="B10794">
        <v>3.5378630000000002</v>
      </c>
      <c r="C10794">
        <f>LOG10(1.014026)</f>
        <v>6.049090610499787E-3</v>
      </c>
      <c r="D10794">
        <f>LOG10(3.537863)</f>
        <v>0.54874101130518793</v>
      </c>
    </row>
    <row r="10795" spans="1:4">
      <c r="A10795">
        <v>1.0113890000000001</v>
      </c>
      <c r="B10795">
        <v>3.4146079999999999</v>
      </c>
      <c r="C10795">
        <f>LOG10(1.011389)</f>
        <v>4.9182258782147032E-3</v>
      </c>
      <c r="D10795">
        <f>LOG10(3.414608)</f>
        <v>0.53334085349088067</v>
      </c>
    </row>
    <row r="10796" spans="1:4">
      <c r="A10796">
        <v>1.023377</v>
      </c>
      <c r="B10796">
        <v>3.2958240000000001</v>
      </c>
      <c r="C10796">
        <f>LOG10(1.023377)</f>
        <v>1.0035652146231531E-2</v>
      </c>
      <c r="D10796">
        <f>LOG10(3.295824)</f>
        <v>0.51796401192384944</v>
      </c>
    </row>
    <row r="10797" spans="1:4">
      <c r="A10797">
        <v>1.019522</v>
      </c>
      <c r="B10797">
        <v>3.2988680000000001</v>
      </c>
      <c r="C10797">
        <f>LOG10(1.019522)</f>
        <v>8.3966017429124521E-3</v>
      </c>
      <c r="D10797">
        <f>LOG10(3.298868)</f>
        <v>0.51836493815264106</v>
      </c>
    </row>
    <row r="10798" spans="1:4">
      <c r="A10798">
        <v>1.0194019999999999</v>
      </c>
      <c r="B10798">
        <v>3.36666</v>
      </c>
      <c r="C10798">
        <f>LOG10(1.019402)</f>
        <v>8.3454813108722048E-3</v>
      </c>
      <c r="D10798">
        <f>LOG10(3.36666)</f>
        <v>0.52719925907305554</v>
      </c>
    </row>
    <row r="10799" spans="1:4">
      <c r="A10799">
        <v>1.014089</v>
      </c>
      <c r="B10799">
        <v>3.449335</v>
      </c>
      <c r="C10799">
        <f>LOG10(1.014089)</f>
        <v>6.0760718737601759E-3</v>
      </c>
      <c r="D10799">
        <f>LOG10(3.449335)</f>
        <v>0.53773537516943992</v>
      </c>
    </row>
    <row r="10800" spans="1:4">
      <c r="A10800">
        <v>1.0166569999999999</v>
      </c>
      <c r="B10800">
        <v>3.3427739999999999</v>
      </c>
      <c r="C10800">
        <f>LOG10(1.016657)</f>
        <v>7.1744552501229559E-3</v>
      </c>
      <c r="D10800">
        <f>LOG10(3.342774)</f>
        <v>0.52410701557828732</v>
      </c>
    </row>
    <row r="10801" spans="1:4">
      <c r="A10801">
        <v>1.014173</v>
      </c>
      <c r="B10801">
        <v>3.4309829999999999</v>
      </c>
      <c r="C10801">
        <f>LOG10(1.014173)</f>
        <v>6.1120442841299596E-3</v>
      </c>
      <c r="D10801">
        <f>LOG10(3.430983)</f>
        <v>0.53541856619826511</v>
      </c>
    </row>
    <row r="10802" spans="1:4">
      <c r="A10802">
        <v>1.0112920000000001</v>
      </c>
      <c r="B10802">
        <v>3.3586740000000002</v>
      </c>
      <c r="C10802">
        <f>LOG10(1.011292)</f>
        <v>4.8765716927282963E-3</v>
      </c>
      <c r="D10802">
        <f>LOG10(3.358674)</f>
        <v>0.52616785234660468</v>
      </c>
    </row>
    <row r="10803" spans="1:4">
      <c r="A10803">
        <v>1.0133239999999999</v>
      </c>
      <c r="B10803">
        <v>3.4134980000000001</v>
      </c>
      <c r="C10803">
        <f>LOG10(1.013324)</f>
        <v>5.7483287899153489E-3</v>
      </c>
      <c r="D10803">
        <f>LOG10(3.413498)</f>
        <v>0.53319965273062331</v>
      </c>
    </row>
    <row r="10804" spans="1:4">
      <c r="A10804">
        <v>1.0139609999999999</v>
      </c>
      <c r="B10804">
        <v>3.5366330000000001</v>
      </c>
      <c r="C10804">
        <f>LOG10(1.013961)</f>
        <v>6.0212510421658021E-3</v>
      </c>
      <c r="D10804">
        <f>LOG10(3.536633)</f>
        <v>0.54858999497324756</v>
      </c>
    </row>
    <row r="10805" spans="1:4">
      <c r="A10805">
        <v>1.016615</v>
      </c>
      <c r="B10805">
        <v>3.5781890000000001</v>
      </c>
      <c r="C10805">
        <f>LOG10(1.016615)</f>
        <v>7.1565133631127809E-3</v>
      </c>
      <c r="D10805">
        <f>LOG10(3.578189)</f>
        <v>0.55366327627866119</v>
      </c>
    </row>
    <row r="10806" spans="1:4">
      <c r="A10806">
        <v>1.0147440000000001</v>
      </c>
      <c r="B10806">
        <v>3.4959129999999998</v>
      </c>
      <c r="C10806">
        <f>LOG10(1.014744)</f>
        <v>6.3564920912248845E-3</v>
      </c>
      <c r="D10806">
        <f>LOG10(3.495913)</f>
        <v>0.54356061615628215</v>
      </c>
    </row>
    <row r="10807" spans="1:4">
      <c r="A10807">
        <v>1.019841</v>
      </c>
      <c r="B10807">
        <v>3.478898</v>
      </c>
      <c r="C10807">
        <f>LOG10(1.019841)</f>
        <v>8.5324676391330227E-3</v>
      </c>
      <c r="D10807">
        <f>LOG10(3.478898)</f>
        <v>0.54144169558100408</v>
      </c>
    </row>
    <row r="10808" spans="1:4">
      <c r="A10808">
        <v>1.015676</v>
      </c>
      <c r="B10808">
        <v>3.4118949999999999</v>
      </c>
      <c r="C10808">
        <f>LOG10(1.015676)</f>
        <v>6.75519037587666E-3</v>
      </c>
      <c r="D10808">
        <f>LOG10(3.411895)</f>
        <v>0.53299565742448018</v>
      </c>
    </row>
    <row r="10809" spans="1:4">
      <c r="A10809">
        <v>1.013771</v>
      </c>
      <c r="B10809">
        <v>3.3914339999999998</v>
      </c>
      <c r="C10809">
        <f>LOG10(1.013771)</f>
        <v>5.9398636085176947E-3</v>
      </c>
      <c r="D10809">
        <f>LOG10(3.391434)</f>
        <v>0.53038336976763079</v>
      </c>
    </row>
    <row r="10810" spans="1:4">
      <c r="A10810">
        <v>1.012065</v>
      </c>
      <c r="B10810">
        <v>3.465964</v>
      </c>
      <c r="C10810">
        <f>LOG10(1.012065)</f>
        <v>5.2084060164228506E-3</v>
      </c>
      <c r="D10810">
        <f>LOG10(3.465964)</f>
        <v>0.53982404750584267</v>
      </c>
    </row>
    <row r="10811" spans="1:4">
      <c r="A10811">
        <v>1.0112989999999999</v>
      </c>
      <c r="B10811">
        <v>3.4695689999999999</v>
      </c>
      <c r="C10811">
        <f>LOG10(1.011299)</f>
        <v>4.8795777986323351E-3</v>
      </c>
      <c r="D10811">
        <f>LOG10(3.469569)</f>
        <v>0.54027552881182483</v>
      </c>
    </row>
    <row r="10812" spans="1:4">
      <c r="A10812">
        <v>1.009053</v>
      </c>
      <c r="B10812">
        <v>3.4428510000000001</v>
      </c>
      <c r="C10812">
        <f>LOG10(1.009053)</f>
        <v>3.9139779346668785E-3</v>
      </c>
      <c r="D10812">
        <f>LOG10(3.442851)</f>
        <v>0.53691822767764963</v>
      </c>
    </row>
    <row r="10813" spans="1:4">
      <c r="A10813">
        <v>1.005905</v>
      </c>
      <c r="B10813">
        <v>3.4927730000000001</v>
      </c>
      <c r="C10813">
        <f>LOG10(1.005905)</f>
        <v>2.5569668789852378E-3</v>
      </c>
      <c r="D10813">
        <f>LOG10(3.492773)</f>
        <v>0.54317036117417605</v>
      </c>
    </row>
    <row r="10814" spans="1:4">
      <c r="A10814">
        <v>1.0075190000000001</v>
      </c>
      <c r="B10814">
        <v>3.5811109999999999</v>
      </c>
      <c r="C10814">
        <f>LOG10(1.007519)</f>
        <v>3.2532449048101441E-3</v>
      </c>
      <c r="D10814">
        <f>LOG10(3.581111)</f>
        <v>0.55401778259815737</v>
      </c>
    </row>
    <row r="10815" spans="1:4">
      <c r="A10815">
        <v>1.0081070000000001</v>
      </c>
      <c r="B10815">
        <v>3.454936</v>
      </c>
      <c r="C10815">
        <f>LOG10(1.008107)</f>
        <v>3.5066303667986988E-3</v>
      </c>
      <c r="D10815">
        <f>LOG10(3.454936)</f>
        <v>0.53844000681751703</v>
      </c>
    </row>
    <row r="10816" spans="1:4">
      <c r="A10816">
        <v>1.025938</v>
      </c>
      <c r="B10816">
        <v>3.471098</v>
      </c>
      <c r="C10816">
        <f>LOG10(1.025938)</f>
        <v>1.1121116066760268E-2</v>
      </c>
      <c r="D10816">
        <f>LOG10(3.471098)</f>
        <v>0.54046687534194138</v>
      </c>
    </row>
    <row r="10817" spans="1:4">
      <c r="A10817">
        <v>1.029919</v>
      </c>
      <c r="B10817">
        <v>3.380153</v>
      </c>
      <c r="C10817">
        <f>LOG10(1.029919)</f>
        <v>1.280307010680957E-2</v>
      </c>
      <c r="D10817">
        <f>LOG10(3.380153)</f>
        <v>0.52893635872495393</v>
      </c>
    </row>
    <row r="10818" spans="1:4">
      <c r="A10818">
        <v>1.0180089999999999</v>
      </c>
      <c r="B10818">
        <v>3.1854800000000001</v>
      </c>
      <c r="C10818">
        <f>LOG10(1.018009)</f>
        <v>7.7516175224091773E-3</v>
      </c>
      <c r="D10818">
        <f>LOG10(3.18548)</f>
        <v>0.50317488271364808</v>
      </c>
    </row>
    <row r="10819" spans="1:4">
      <c r="A10819">
        <v>1.009484</v>
      </c>
      <c r="B10819">
        <v>3.207087</v>
      </c>
      <c r="C10819">
        <f>LOG10(1.009484)</f>
        <v>4.0994399049403326E-3</v>
      </c>
      <c r="D10819">
        <f>LOG10(3.207087)</f>
        <v>0.50611074137759382</v>
      </c>
    </row>
    <row r="10820" spans="1:4">
      <c r="A10820">
        <v>1.0276240000000001</v>
      </c>
      <c r="B10820">
        <v>3.1204529999999999</v>
      </c>
      <c r="C10820">
        <f>LOG10(1.027624)</f>
        <v>1.1834238593384273E-2</v>
      </c>
      <c r="D10820">
        <f>LOG10(3.120453)</f>
        <v>0.49421764565929249</v>
      </c>
    </row>
    <row r="10821" spans="1:4">
      <c r="A10821">
        <v>1.0069319999999999</v>
      </c>
      <c r="B10821">
        <v>3.0055770000000002</v>
      </c>
      <c r="C10821">
        <f>LOG10(1.006932)</f>
        <v>3.0001428257893908E-3</v>
      </c>
      <c r="D10821">
        <f>LOG10(3.005577)</f>
        <v>0.47792785865524073</v>
      </c>
    </row>
    <row r="10822" spans="1:4">
      <c r="A10822">
        <v>1.012966</v>
      </c>
      <c r="B10822">
        <v>3.006367</v>
      </c>
      <c r="C10822">
        <f>LOG10(1.012966)</f>
        <v>5.5948685979990455E-3</v>
      </c>
      <c r="D10822">
        <f>LOG10(3.006367)</f>
        <v>0.47804199566073458</v>
      </c>
    </row>
    <row r="10823" spans="1:4">
      <c r="A10823">
        <v>1.0030589999999999</v>
      </c>
      <c r="B10823">
        <v>2.997414</v>
      </c>
      <c r="C10823">
        <f>LOG10(1.003059)</f>
        <v>1.3264790033026166E-3</v>
      </c>
      <c r="D10823">
        <f>LOG10(2.997414)</f>
        <v>0.47674673143352492</v>
      </c>
    </row>
    <row r="10824" spans="1:4">
      <c r="A10824">
        <v>1.0015210000000001</v>
      </c>
      <c r="B10824">
        <v>3.076956</v>
      </c>
      <c r="C10824">
        <f>LOG10(1.001521)</f>
        <v>6.6006005845458944E-4</v>
      </c>
      <c r="D10824">
        <f>LOG10(3.076956)</f>
        <v>0.48812128594722098</v>
      </c>
    </row>
    <row r="10825" spans="1:4">
      <c r="A10825">
        <v>1.0115369999999999</v>
      </c>
      <c r="B10825">
        <v>2.9368840000000001</v>
      </c>
      <c r="C10825">
        <f>LOG10(1.011537)</f>
        <v>4.9817730207560333E-3</v>
      </c>
      <c r="D10825">
        <f>LOG10(2.936884)</f>
        <v>0.46788679325252552</v>
      </c>
    </row>
    <row r="10826" spans="1:4">
      <c r="A10826">
        <v>1.0126219999999999</v>
      </c>
      <c r="B10826">
        <v>2.9956299999999998</v>
      </c>
      <c r="C10826">
        <f>LOG10(1.012622)</f>
        <v>5.4473585384893705E-3</v>
      </c>
      <c r="D10826">
        <f>LOG10(2.99563)</f>
        <v>0.4764881712165131</v>
      </c>
    </row>
    <row r="10827" spans="1:4">
      <c r="A10827">
        <v>1.005201</v>
      </c>
      <c r="B10827">
        <v>3.0330699999999999</v>
      </c>
      <c r="C10827">
        <f>LOG10(1.005201)</f>
        <v>2.2529119681566384E-3</v>
      </c>
      <c r="D10827">
        <f>LOG10(3.03307)</f>
        <v>0.48188243347681048</v>
      </c>
    </row>
    <row r="10828" spans="1:4">
      <c r="A10828">
        <v>1.0020340000000001</v>
      </c>
      <c r="B10828">
        <v>2.864932</v>
      </c>
      <c r="C10828">
        <f>LOG10(1.002034)</f>
        <v>8.8245782051758022E-4</v>
      </c>
      <c r="D10828">
        <f>LOG10(2.864932)</f>
        <v>0.45711431831903104</v>
      </c>
    </row>
    <row r="10829" spans="1:4">
      <c r="A10829">
        <v>1.002907</v>
      </c>
      <c r="B10829">
        <v>2.899826</v>
      </c>
      <c r="C10829">
        <f>LOG10(1.002907)</f>
        <v>1.2606625723405708E-3</v>
      </c>
      <c r="D10829">
        <f>LOG10(2.899826)</f>
        <v>0.46237193944828053</v>
      </c>
    </row>
    <row r="10830" spans="1:4">
      <c r="A10830">
        <v>1.0141579999999999</v>
      </c>
      <c r="B10830">
        <v>2.8900190000000001</v>
      </c>
      <c r="C10830">
        <f>LOG10(1.014158)</f>
        <v>6.105620857944874E-3</v>
      </c>
      <c r="D10830">
        <f>LOG10(2.890019)</f>
        <v>0.46090069797039968</v>
      </c>
    </row>
    <row r="10831" spans="1:4">
      <c r="A10831">
        <v>1.005727</v>
      </c>
      <c r="B10831">
        <v>2.9236</v>
      </c>
      <c r="C10831">
        <f>LOG10(1.005727)</f>
        <v>2.4801094637318119E-3</v>
      </c>
      <c r="D10831">
        <f>LOG10(2.9236)</f>
        <v>0.46591795321193535</v>
      </c>
    </row>
    <row r="10832" spans="1:4">
      <c r="A10832">
        <v>1.003252</v>
      </c>
      <c r="B10832">
        <v>2.929951</v>
      </c>
      <c r="C10832">
        <f>LOG10(1.003252)</f>
        <v>1.4100341802078141E-3</v>
      </c>
      <c r="D10832">
        <f>LOG10(2.929951)</f>
        <v>0.46686035734811715</v>
      </c>
    </row>
    <row r="10833" spans="1:4">
      <c r="A10833">
        <v>1.002597</v>
      </c>
      <c r="B10833">
        <v>2.947184</v>
      </c>
      <c r="C10833">
        <f>LOG10(1.002597)</f>
        <v>1.1264007703573442E-3</v>
      </c>
      <c r="D10833">
        <f>LOG10(2.947184)</f>
        <v>0.46940725077701129</v>
      </c>
    </row>
    <row r="10834" spans="1:4">
      <c r="A10834">
        <v>1.0214570000000001</v>
      </c>
      <c r="B10834">
        <v>3.0635219999999999</v>
      </c>
      <c r="C10834">
        <f>LOG10(1.021457)</f>
        <v>9.2200889755271725E-3</v>
      </c>
      <c r="D10834">
        <f>LOG10(3.063522)</f>
        <v>0.48622100346813435</v>
      </c>
    </row>
    <row r="10835" spans="1:4">
      <c r="A10835">
        <v>1.012119</v>
      </c>
      <c r="B10835">
        <v>3.0387940000000002</v>
      </c>
      <c r="C10835">
        <f>LOG10(1.012119)</f>
        <v>5.2315777261373216E-3</v>
      </c>
      <c r="D10835">
        <f>LOG10(3.038794)</f>
        <v>0.48270126023275284</v>
      </c>
    </row>
    <row r="10836" spans="1:4">
      <c r="A10836">
        <v>1.539663</v>
      </c>
      <c r="B10836">
        <v>2.8550909999999998</v>
      </c>
      <c r="C10836">
        <f>LOG10(1.539663)</f>
        <v>0.18742567326730658</v>
      </c>
      <c r="D10836">
        <f>LOG10(2.855091)</f>
        <v>0.45561995502250624</v>
      </c>
    </row>
    <row r="10837" spans="1:4">
      <c r="A10837">
        <v>1.041353</v>
      </c>
      <c r="B10837">
        <v>2.8782640000000002</v>
      </c>
      <c r="C10837">
        <f>LOG10(1.041353)</f>
        <v>1.7597972512640364E-2</v>
      </c>
      <c r="D10837">
        <f>LOG10(2.878264)</f>
        <v>0.45913062576630181</v>
      </c>
    </row>
    <row r="10838" spans="1:4">
      <c r="A10838">
        <v>1.0228759999999999</v>
      </c>
      <c r="B10838">
        <v>2.916687</v>
      </c>
      <c r="C10838">
        <f>LOG10(1.022876)</f>
        <v>9.8229887661106501E-3</v>
      </c>
      <c r="D10838">
        <f>LOG10(2.916687)</f>
        <v>0.4648898259450569</v>
      </c>
    </row>
    <row r="10839" spans="1:4">
      <c r="A10839">
        <v>1.0089189999999999</v>
      </c>
      <c r="B10839">
        <v>2.985039</v>
      </c>
      <c r="C10839">
        <f>LOG10(1.008919)</f>
        <v>3.8563007610880524E-3</v>
      </c>
      <c r="D10839">
        <f>LOG10(2.985039)</f>
        <v>0.4749500096275816</v>
      </c>
    </row>
    <row r="10840" spans="1:4">
      <c r="A10840">
        <v>1.015943</v>
      </c>
      <c r="B10840">
        <v>3.1781410000000001</v>
      </c>
      <c r="C10840">
        <f>LOG10(1.015943)</f>
        <v>6.8693423180821323E-3</v>
      </c>
      <c r="D10840">
        <f>LOG10(3.178141)</f>
        <v>0.50217316101596565</v>
      </c>
    </row>
    <row r="10841" spans="1:4">
      <c r="A10841">
        <v>1.021461</v>
      </c>
      <c r="B10841">
        <v>3.0658289999999999</v>
      </c>
      <c r="C10841">
        <f>LOG10(1.021461)</f>
        <v>9.221789658498852E-3</v>
      </c>
      <c r="D10841">
        <f>LOG10(3.065829)</f>
        <v>0.4865479279392777</v>
      </c>
    </row>
    <row r="10842" spans="1:4">
      <c r="A10842">
        <v>1.0197970000000001</v>
      </c>
      <c r="B10842">
        <v>3.0642990000000001</v>
      </c>
      <c r="C10842">
        <f>LOG10(1.019797)</f>
        <v>8.5137300423568513E-3</v>
      </c>
      <c r="D10842">
        <f>LOG10(3.064299)</f>
        <v>0.48633113945750067</v>
      </c>
    </row>
    <row r="10843" spans="1:4">
      <c r="A10843">
        <v>1.0496049999999999</v>
      </c>
      <c r="B10843">
        <v>2.9565929999999998</v>
      </c>
      <c r="C10843">
        <f>LOG10(1.049605)</f>
        <v>2.1025890883754783E-2</v>
      </c>
      <c r="D10843">
        <f>LOG10(2.956593)</f>
        <v>0.47079154433684395</v>
      </c>
    </row>
    <row r="10844" spans="1:4">
      <c r="A10844">
        <v>1.023517</v>
      </c>
      <c r="B10844">
        <v>3.0959750000000001</v>
      </c>
      <c r="C10844">
        <f>LOG10(1.023517)</f>
        <v>1.0095060427814532E-2</v>
      </c>
      <c r="D10844">
        <f>LOG10(3.095975)</f>
        <v>0.49079744509680978</v>
      </c>
    </row>
    <row r="10845" spans="1:4">
      <c r="A10845">
        <v>1.0154730000000001</v>
      </c>
      <c r="B10845">
        <v>3.113531</v>
      </c>
      <c r="C10845">
        <f>LOG10(1.015473)</f>
        <v>6.6683806143870991E-3</v>
      </c>
      <c r="D10845">
        <f>LOG10(3.113531)</f>
        <v>0.4932531941498921</v>
      </c>
    </row>
    <row r="10846" spans="1:4">
      <c r="A10846">
        <v>1.0116719999999999</v>
      </c>
      <c r="B10846">
        <v>3.1999520000000001</v>
      </c>
      <c r="C10846">
        <f>LOG10(1.011672)</f>
        <v>5.0397302116779296E-3</v>
      </c>
      <c r="D10846">
        <f>LOG10(3.199952)</f>
        <v>0.50514346385381881</v>
      </c>
    </row>
    <row r="10847" spans="1:4">
      <c r="A10847">
        <v>1.0116879999999999</v>
      </c>
      <c r="B10847">
        <v>3.1111800000000001</v>
      </c>
      <c r="C10847">
        <f>LOG10(1.011688)</f>
        <v>5.04659869945134E-3</v>
      </c>
      <c r="D10847">
        <f>LOG10(3.11118)</f>
        <v>0.492925138317098</v>
      </c>
    </row>
    <row r="10848" spans="1:4">
      <c r="A10848">
        <v>1.011916</v>
      </c>
      <c r="B10848">
        <v>3.1747399999999999</v>
      </c>
      <c r="C10848">
        <f>LOG10(1.011916)</f>
        <v>5.1444628490507627E-3</v>
      </c>
      <c r="D10848">
        <f>LOG10(3.17474)</f>
        <v>0.50170816389920625</v>
      </c>
    </row>
    <row r="10849" spans="1:4">
      <c r="A10849">
        <v>1.0179990000000001</v>
      </c>
      <c r="B10849">
        <v>2.983476</v>
      </c>
      <c r="C10849">
        <f>LOG10(1.017999)</f>
        <v>7.7473513851258275E-3</v>
      </c>
      <c r="D10849">
        <f>LOG10(2.983476)</f>
        <v>0.47472254859557222</v>
      </c>
    </row>
    <row r="10850" spans="1:4">
      <c r="A10850">
        <v>1.012186</v>
      </c>
      <c r="B10850">
        <v>3.1682419999999998</v>
      </c>
      <c r="C10850">
        <f>LOG10(1.012186)</f>
        <v>5.2603260919203039E-3</v>
      </c>
      <c r="D10850">
        <f>LOG10(3.168242)</f>
        <v>0.50081834692333238</v>
      </c>
    </row>
    <row r="10851" spans="1:4">
      <c r="A10851">
        <v>1.0176799999999999</v>
      </c>
      <c r="B10851">
        <v>3.2673960000000002</v>
      </c>
      <c r="C10851">
        <f>LOG10(1.01768)</f>
        <v>7.611239610272106E-3</v>
      </c>
      <c r="D10851">
        <f>LOG10(3.267396)</f>
        <v>0.51420177304066805</v>
      </c>
    </row>
    <row r="10852" spans="1:4">
      <c r="A10852">
        <v>1.0187520000000001</v>
      </c>
      <c r="B10852">
        <v>3.1537459999999999</v>
      </c>
      <c r="C10852">
        <f>LOG10(1.018752)</f>
        <v>8.0684743498600203E-3</v>
      </c>
      <c r="D10852">
        <f>LOG10(3.153746)</f>
        <v>0.49882671269597451</v>
      </c>
    </row>
    <row r="10853" spans="1:4">
      <c r="A10853">
        <v>1.0234000000000001</v>
      </c>
      <c r="B10853">
        <v>3.307617</v>
      </c>
      <c r="C10853">
        <f>LOG10(1.0234)</f>
        <v>1.0045412636098518E-2</v>
      </c>
      <c r="D10853">
        <f>LOG10(3.307617)</f>
        <v>0.51951521538582135</v>
      </c>
    </row>
    <row r="10854" spans="1:4">
      <c r="A10854">
        <v>1.0072110000000001</v>
      </c>
      <c r="B10854">
        <v>3.177238</v>
      </c>
      <c r="C10854">
        <f>LOG10(1.007211)</f>
        <v>3.1204601629656052E-3</v>
      </c>
      <c r="D10854">
        <f>LOG10(3.177238)</f>
        <v>0.50204974810233838</v>
      </c>
    </row>
    <row r="10855" spans="1:4">
      <c r="A10855">
        <v>1.0244819999999999</v>
      </c>
      <c r="B10855">
        <v>3.1380409999999999</v>
      </c>
      <c r="C10855">
        <f>LOG10(1.024482)</f>
        <v>1.0504332313252535E-2</v>
      </c>
      <c r="D10855">
        <f>LOG10(3.138041)</f>
        <v>0.49665861355220375</v>
      </c>
    </row>
    <row r="10856" spans="1:4">
      <c r="A10856">
        <v>1.0080359999999999</v>
      </c>
      <c r="B10856">
        <v>3.1235919999999999</v>
      </c>
      <c r="C10856">
        <f>LOG10(1.008036)</f>
        <v>3.4760423497503601E-3</v>
      </c>
      <c r="D10856">
        <f>LOG10(3.123592)</f>
        <v>0.4946543018632556</v>
      </c>
    </row>
    <row r="10857" spans="1:4">
      <c r="A10857">
        <v>1.014384</v>
      </c>
      <c r="B10857">
        <v>3.1832720000000001</v>
      </c>
      <c r="C10857">
        <f>LOG10(1.014384)</f>
        <v>6.2023904129417627E-3</v>
      </c>
      <c r="D10857">
        <f>LOG10(3.183272)</f>
        <v>0.50287374922486971</v>
      </c>
    </row>
    <row r="10858" spans="1:4">
      <c r="A10858">
        <v>1.008319</v>
      </c>
      <c r="B10858">
        <v>3.1921050000000002</v>
      </c>
      <c r="C10858">
        <f>LOG10(1.008319)</f>
        <v>3.5979507827253693E-3</v>
      </c>
      <c r="D10858">
        <f>LOG10(3.192105)</f>
        <v>0.50407716844642403</v>
      </c>
    </row>
    <row r="10859" spans="1:4">
      <c r="A10859">
        <v>1.0106010000000001</v>
      </c>
      <c r="B10859">
        <v>3.1136210000000002</v>
      </c>
      <c r="C10859">
        <f>LOG10(1.010601)</f>
        <v>4.5797236412449989E-3</v>
      </c>
      <c r="D10859">
        <f>LOG10(3.113621)</f>
        <v>0.49326574772281728</v>
      </c>
    </row>
    <row r="10860" spans="1:4">
      <c r="A10860">
        <v>1.0180199999999999</v>
      </c>
      <c r="B10860">
        <v>3.2116730000000002</v>
      </c>
      <c r="C10860">
        <f>LOG10(1.01802)</f>
        <v>7.7563102250189876E-3</v>
      </c>
      <c r="D10860">
        <f>LOG10(3.211673)</f>
        <v>0.50673132068976678</v>
      </c>
    </row>
    <row r="10861" spans="1:4">
      <c r="A10861">
        <v>1.0152779999999999</v>
      </c>
      <c r="B10861">
        <v>3.058719</v>
      </c>
      <c r="C10861">
        <f>LOG10(1.015278)</f>
        <v>6.5849755841972885E-3</v>
      </c>
      <c r="D10861">
        <f>LOG10(3.058719)</f>
        <v>0.48553958082419774</v>
      </c>
    </row>
    <row r="10862" spans="1:4">
      <c r="A10862">
        <v>1.0250809999999999</v>
      </c>
      <c r="B10862">
        <v>3.0570020000000002</v>
      </c>
      <c r="C10862">
        <f>LOG10(1.025081)</f>
        <v>1.0758183892410327E-2</v>
      </c>
      <c r="D10862">
        <f>LOG10(3.057002)</f>
        <v>0.48529572285715844</v>
      </c>
    </row>
    <row r="10863" spans="1:4">
      <c r="A10863">
        <v>1.009476</v>
      </c>
      <c r="B10863">
        <v>3.2467890000000001</v>
      </c>
      <c r="C10863">
        <f>LOG10(1.009476)</f>
        <v>4.0959981766690969E-3</v>
      </c>
      <c r="D10863">
        <f>LOG10(3.246789)</f>
        <v>0.51145406592405851</v>
      </c>
    </row>
    <row r="10864" spans="1:4">
      <c r="A10864">
        <v>1.0159</v>
      </c>
      <c r="B10864">
        <v>3.537865</v>
      </c>
      <c r="C10864">
        <f>LOG10(1.0159)</f>
        <v>6.8509603242719467E-3</v>
      </c>
      <c r="D10864">
        <f>LOG10(3.537865)</f>
        <v>0.54874125681744157</v>
      </c>
    </row>
    <row r="10865" spans="1:4">
      <c r="A10865">
        <v>1.0131060000000001</v>
      </c>
      <c r="B10865">
        <v>3.222531</v>
      </c>
      <c r="C10865">
        <f>LOG10(1.013106)</f>
        <v>5.6548874201961209E-3</v>
      </c>
      <c r="D10865">
        <f>LOG10(3.222531)</f>
        <v>0.5081971038576153</v>
      </c>
    </row>
    <row r="10866" spans="1:4">
      <c r="A10866">
        <v>1.0094179999999999</v>
      </c>
      <c r="B10866">
        <v>3.1707619999999999</v>
      </c>
      <c r="C10866">
        <f>LOG10(1.009418)</f>
        <v>4.0710448309685615E-3</v>
      </c>
      <c r="D10866">
        <f>LOG10(3.170762)</f>
        <v>0.50116364474994657</v>
      </c>
    </row>
    <row r="10867" spans="1:4">
      <c r="A10867">
        <v>1.0149900000000001</v>
      </c>
      <c r="B10867">
        <v>3.2093090000000002</v>
      </c>
      <c r="C10867">
        <f>LOG10(1.01499)</f>
        <v>6.4617634647854529E-3</v>
      </c>
      <c r="D10867">
        <f>LOG10(3.209309)</f>
        <v>0.50641153402735073</v>
      </c>
    </row>
    <row r="10868" spans="1:4">
      <c r="A10868">
        <v>1.0095559999999999</v>
      </c>
      <c r="B10868">
        <v>3.1316920000000001</v>
      </c>
      <c r="C10868">
        <f>LOG10(1.009556)</f>
        <v>4.1304142320564112E-3</v>
      </c>
      <c r="D10868">
        <f>LOG10(3.131692)</f>
        <v>0.49577904288847585</v>
      </c>
    </row>
    <row r="10869" spans="1:4">
      <c r="A10869">
        <v>1.003781</v>
      </c>
      <c r="B10869">
        <v>3.3097300000000001</v>
      </c>
      <c r="C10869">
        <f>LOG10(1.003781)</f>
        <v>1.6389709104428789E-3</v>
      </c>
      <c r="D10869">
        <f>LOG10(3.30973)</f>
        <v>0.51979256649690864</v>
      </c>
    </row>
    <row r="10870" spans="1:4">
      <c r="A10870">
        <v>1.0007600000000001</v>
      </c>
      <c r="B10870">
        <v>3.3929119999999999</v>
      </c>
      <c r="C10870">
        <f>LOG10(1.00076)</f>
        <v>3.2993844551222281E-4</v>
      </c>
      <c r="D10870">
        <f>LOG10(3.392912)</f>
        <v>0.53057259574590721</v>
      </c>
    </row>
    <row r="10871" spans="1:4">
      <c r="A10871">
        <v>1.005655</v>
      </c>
      <c r="B10871">
        <v>3.4305569999999999</v>
      </c>
      <c r="C10871">
        <f>LOG10(1.005655)</f>
        <v>2.4490172070541433E-3</v>
      </c>
      <c r="D10871">
        <f>LOG10(3.430557)</f>
        <v>0.53536463968919323</v>
      </c>
    </row>
    <row r="10872" spans="1:4">
      <c r="A10872">
        <v>1.0075689999999999</v>
      </c>
      <c r="B10872">
        <v>3.4123019999999999</v>
      </c>
      <c r="C10872">
        <f>LOG10(1.007569)</f>
        <v>3.2747970396048215E-3</v>
      </c>
      <c r="D10872">
        <f>LOG10(3.412302)</f>
        <v>0.53304746069286313</v>
      </c>
    </row>
    <row r="10873" spans="1:4">
      <c r="A10873">
        <v>1.002041</v>
      </c>
      <c r="B10873">
        <v>3.3383120000000002</v>
      </c>
      <c r="C10873">
        <f>LOG10(1.002041)</f>
        <v>8.8549170036067773E-4</v>
      </c>
      <c r="D10873">
        <f>LOG10(3.338312)</f>
        <v>0.52352692357936326</v>
      </c>
    </row>
    <row r="10874" spans="1:4">
      <c r="A10874">
        <v>1.0031369999999999</v>
      </c>
      <c r="B10874">
        <v>3.4272930000000001</v>
      </c>
      <c r="C10874">
        <f>LOG10(1.003137)</f>
        <v>1.360249352366748E-3</v>
      </c>
      <c r="D10874">
        <f>LOG10(3.427293)</f>
        <v>0.5349512339436695</v>
      </c>
    </row>
    <row r="10875" spans="1:4">
      <c r="A10875">
        <v>1.0048680000000001</v>
      </c>
      <c r="B10875">
        <v>3.4280010000000001</v>
      </c>
      <c r="C10875">
        <f>LOG10(1.004868)</f>
        <v>2.1090163468652405E-3</v>
      </c>
      <c r="D10875">
        <f>LOG10(3.428001)</f>
        <v>0.53504093994148105</v>
      </c>
    </row>
    <row r="10876" spans="1:4">
      <c r="A10876">
        <v>1.003498</v>
      </c>
      <c r="B10876">
        <v>3.5820240000000001</v>
      </c>
      <c r="C10876">
        <f>LOG10(1.003498)</f>
        <v>1.5165112631362744E-3</v>
      </c>
      <c r="D10876">
        <f>LOG10(3.582024)</f>
        <v>0.55412849134903941</v>
      </c>
    </row>
    <row r="10877" spans="1:4">
      <c r="A10877">
        <v>1.00708</v>
      </c>
      <c r="B10877">
        <v>3.4144700000000001</v>
      </c>
      <c r="C10877">
        <f>LOG10(1.00708)</f>
        <v>3.0639712274447878E-3</v>
      </c>
      <c r="D10877">
        <f>LOG10(3.41447)</f>
        <v>0.5333233013005233</v>
      </c>
    </row>
    <row r="10878" spans="1:4">
      <c r="A10878">
        <v>1.006454</v>
      </c>
      <c r="B10878">
        <v>3.2752560000000002</v>
      </c>
      <c r="C10878">
        <f>LOG10(1.006454)</f>
        <v>2.7939302403735817E-3</v>
      </c>
      <c r="D10878">
        <f>LOG10(3.275256)</f>
        <v>0.51524525090559181</v>
      </c>
    </row>
    <row r="10879" spans="1:4">
      <c r="A10879">
        <v>1.0071619999999999</v>
      </c>
      <c r="B10879">
        <v>3.495079</v>
      </c>
      <c r="C10879">
        <f>LOG10(1.007162)</f>
        <v>3.0993315739530061E-3</v>
      </c>
      <c r="D10879">
        <f>LOG10(3.495079)</f>
        <v>0.54345699664144775</v>
      </c>
    </row>
    <row r="10880" spans="1:4">
      <c r="A10880">
        <v>1.009234</v>
      </c>
      <c r="B10880">
        <v>3.4841060000000001</v>
      </c>
      <c r="C10880">
        <f>LOG10(1.009234)</f>
        <v>3.991873002548915E-3</v>
      </c>
      <c r="D10880">
        <f>LOG10(3.484106)</f>
        <v>0.54209135945697751</v>
      </c>
    </row>
    <row r="10881" spans="1:4">
      <c r="A10881">
        <v>1.00549</v>
      </c>
      <c r="B10881">
        <v>3.3418649999999999</v>
      </c>
      <c r="C10881">
        <f>LOG10(1.00549)</f>
        <v>2.3777557220047785E-3</v>
      </c>
      <c r="D10881">
        <f>LOG10(3.341865)</f>
        <v>0.52398890188913116</v>
      </c>
    </row>
    <row r="10882" spans="1:4">
      <c r="A10882">
        <v>1.0084169999999999</v>
      </c>
      <c r="B10882">
        <v>3.373068</v>
      </c>
      <c r="C10882">
        <f>LOG10(1.008417)</f>
        <v>3.6401584482403291E-3</v>
      </c>
      <c r="D10882">
        <f>LOG10(3.373068)</f>
        <v>0.52802509651890472</v>
      </c>
    </row>
    <row r="10883" spans="1:4">
      <c r="A10883">
        <v>1.005207</v>
      </c>
      <c r="B10883">
        <v>3.4551539999999998</v>
      </c>
      <c r="C10883">
        <f>LOG10(1.005207)</f>
        <v>2.255504244840183E-3</v>
      </c>
      <c r="D10883">
        <f>LOG10(3.455154)</f>
        <v>0.53846740912257707</v>
      </c>
    </row>
    <row r="10884" spans="1:4">
      <c r="A10884">
        <v>1.0039199999999999</v>
      </c>
      <c r="B10884">
        <v>3.490456</v>
      </c>
      <c r="C10884">
        <f>LOG10(1.00392)</f>
        <v>1.699106292236239E-3</v>
      </c>
      <c r="D10884">
        <f>LOG10(3.490456)</f>
        <v>0.54288216774632325</v>
      </c>
    </row>
    <row r="10885" spans="1:4">
      <c r="A10885">
        <v>1.0090790000000001</v>
      </c>
      <c r="B10885">
        <v>3.3281109999999998</v>
      </c>
      <c r="C10885">
        <f>LOG10(1.009079)</f>
        <v>3.925168140788326E-3</v>
      </c>
      <c r="D10885">
        <f>LOG10(3.328111)</f>
        <v>0.5221978025596663</v>
      </c>
    </row>
    <row r="10886" spans="1:4">
      <c r="A10886">
        <v>1.0134300000000001</v>
      </c>
      <c r="B10886">
        <v>3.36626</v>
      </c>
      <c r="C10886">
        <f>LOG10(1.01343)</f>
        <v>5.7937563209564018E-3</v>
      </c>
      <c r="D10886">
        <f>LOG10(3.36626)</f>
        <v>0.52714765656093132</v>
      </c>
    </row>
    <row r="10887" spans="1:4">
      <c r="A10887">
        <v>1.008057</v>
      </c>
      <c r="B10887">
        <v>3.6634310000000001</v>
      </c>
      <c r="C10887">
        <f>LOG10(1.008057)</f>
        <v>3.48508973409257E-3</v>
      </c>
      <c r="D10887">
        <f>LOG10(3.663431)</f>
        <v>0.56388801610118666</v>
      </c>
    </row>
    <row r="10888" spans="1:4">
      <c r="A10888">
        <v>1.008551</v>
      </c>
      <c r="B10888">
        <v>3.687087</v>
      </c>
      <c r="C10888">
        <f>LOG10(1.008551)</f>
        <v>3.6978643321816614E-3</v>
      </c>
      <c r="D10888">
        <f>LOG10(3.687087)</f>
        <v>0.56668338528014783</v>
      </c>
    </row>
    <row r="10889" spans="1:4">
      <c r="A10889">
        <v>1.0304629999999999</v>
      </c>
      <c r="B10889">
        <v>3.6796090000000001</v>
      </c>
      <c r="C10889">
        <f>LOG10(1.030463)</f>
        <v>1.3032402535111906E-2</v>
      </c>
      <c r="D10889">
        <f>LOG10(3.679609)</f>
        <v>0.56580167243325308</v>
      </c>
    </row>
    <row r="10890" spans="1:4">
      <c r="A10890">
        <v>1.0195510000000001</v>
      </c>
      <c r="B10890">
        <v>3.6113189999999999</v>
      </c>
      <c r="C10890">
        <f>LOG10(1.019551)</f>
        <v>8.4089549445644472E-3</v>
      </c>
      <c r="D10890">
        <f>LOG10(3.611319)</f>
        <v>0.55766585281915471</v>
      </c>
    </row>
    <row r="10891" spans="1:4">
      <c r="A10891">
        <v>1.0038069999999999</v>
      </c>
      <c r="B10891">
        <v>3.3245049999999998</v>
      </c>
      <c r="C10891">
        <f>LOG10(1.003807)</f>
        <v>1.6502198883507511E-3</v>
      </c>
      <c r="D10891">
        <f>LOG10(3.324505)</f>
        <v>0.52172699045954862</v>
      </c>
    </row>
    <row r="10892" spans="1:4">
      <c r="A10892">
        <v>1.0038800000000001</v>
      </c>
      <c r="B10892">
        <v>3.4193889999999998</v>
      </c>
      <c r="C10892">
        <f>LOG10(1.00388)</f>
        <v>1.6818019996987857E-3</v>
      </c>
      <c r="D10892">
        <f>LOG10(3.419389)</f>
        <v>0.53394851025652523</v>
      </c>
    </row>
    <row r="10893" spans="1:4">
      <c r="A10893">
        <v>1.0194460000000001</v>
      </c>
      <c r="B10893">
        <v>3.4025219999999998</v>
      </c>
      <c r="C10893">
        <f>LOG10(1.019446)</f>
        <v>8.3642261679746244E-3</v>
      </c>
      <c r="D10893">
        <f>LOG10(3.402522)</f>
        <v>0.53180094194229754</v>
      </c>
    </row>
    <row r="10894" spans="1:4">
      <c r="A10894">
        <v>1.0122249999999999</v>
      </c>
      <c r="B10894">
        <v>3.4119950000000001</v>
      </c>
      <c r="C10894">
        <f>LOG10(1.012225)</f>
        <v>5.2770593390685152E-3</v>
      </c>
      <c r="D10894">
        <f>LOG10(3.411995)</f>
        <v>0.53300838607285927</v>
      </c>
    </row>
    <row r="10895" spans="1:4">
      <c r="A10895">
        <v>1.010783</v>
      </c>
      <c r="B10895">
        <v>3.7187589999999999</v>
      </c>
      <c r="C10895">
        <f>LOG10(1.010783)</f>
        <v>4.6579290647765391E-3</v>
      </c>
      <c r="D10895">
        <f>LOG10(3.718759)</f>
        <v>0.57039803413698975</v>
      </c>
    </row>
    <row r="10896" spans="1:4">
      <c r="A10896">
        <v>1.0089980000000001</v>
      </c>
      <c r="B10896">
        <v>3.5950190000000002</v>
      </c>
      <c r="C10896">
        <f>LOG10(1.008998)</f>
        <v>3.890305394666099E-3</v>
      </c>
      <c r="D10896">
        <f>LOG10(3.595019)</f>
        <v>0.55570119001051499</v>
      </c>
    </row>
    <row r="10897" spans="1:4">
      <c r="A10897">
        <v>1.040373</v>
      </c>
      <c r="B10897">
        <v>3.7354120000000002</v>
      </c>
      <c r="C10897">
        <f>LOG10(1.040373)</f>
        <v>1.7189072759545072E-2</v>
      </c>
      <c r="D10897">
        <f>LOG10(3.735412)</f>
        <v>0.57233850962092514</v>
      </c>
    </row>
    <row r="10898" spans="1:4">
      <c r="A10898">
        <v>1.0130749999999999</v>
      </c>
      <c r="B10898">
        <v>3.4218060000000001</v>
      </c>
      <c r="C10898">
        <f>LOG10(1.013075)</f>
        <v>5.6415982530979196E-3</v>
      </c>
      <c r="D10898">
        <f>LOG10(3.421806)</f>
        <v>0.53425538348742563</v>
      </c>
    </row>
    <row r="10899" spans="1:4">
      <c r="A10899">
        <v>1.005363</v>
      </c>
      <c r="B10899">
        <v>3.3779059999999999</v>
      </c>
      <c r="C10899">
        <f>LOG10(1.005363)</f>
        <v>2.3228980081141629E-3</v>
      </c>
      <c r="D10899">
        <f>LOG10(3.377906)</f>
        <v>0.52864755990363632</v>
      </c>
    </row>
    <row r="10900" spans="1:4">
      <c r="A10900">
        <v>1.00661</v>
      </c>
      <c r="B10900">
        <v>3.4781369999999998</v>
      </c>
      <c r="C10900">
        <f>LOG10(1.00661)</f>
        <v>2.8612405090113857E-3</v>
      </c>
      <c r="D10900">
        <f>LOG10(3.478137)</f>
        <v>0.5413466843867103</v>
      </c>
    </row>
    <row r="10901" spans="1:4">
      <c r="A10901">
        <v>1.012208</v>
      </c>
      <c r="B10901">
        <v>3.4312510000000001</v>
      </c>
      <c r="C10901">
        <f>LOG10(1.012208)</f>
        <v>5.2697654388085416E-3</v>
      </c>
      <c r="D10901">
        <f>LOG10(3.431251)</f>
        <v>0.53545248836448955</v>
      </c>
    </row>
    <row r="10902" spans="1:4">
      <c r="A10902">
        <v>1.006494</v>
      </c>
      <c r="B10902">
        <v>3.3727670000000001</v>
      </c>
      <c r="C10902">
        <f>LOG10(1.006494)</f>
        <v>2.8111902781673389E-3</v>
      </c>
      <c r="D10902">
        <f>LOG10(3.372767)</f>
        <v>0.52798633997086009</v>
      </c>
    </row>
    <row r="10903" spans="1:4">
      <c r="A10903">
        <v>1.007641</v>
      </c>
      <c r="B10903">
        <v>3.3065950000000002</v>
      </c>
      <c r="C10903">
        <f>LOG10(1.007641)</f>
        <v>3.3058302348652367E-3</v>
      </c>
      <c r="D10903">
        <f>LOG10(3.306595)</f>
        <v>0.51938100470009263</v>
      </c>
    </row>
    <row r="10904" spans="1:4">
      <c r="A10904">
        <v>1.0054689999999999</v>
      </c>
      <c r="B10904">
        <v>3.3708870000000002</v>
      </c>
      <c r="C10904">
        <f>LOG10(1.005469)</f>
        <v>2.368685239592834E-3</v>
      </c>
      <c r="D10904">
        <f>LOG10(3.370887)</f>
        <v>0.52774419420029417</v>
      </c>
    </row>
    <row r="10905" spans="1:4">
      <c r="A10905">
        <v>1.0147489999999999</v>
      </c>
      <c r="B10905">
        <v>3.3078419999999999</v>
      </c>
      <c r="C10905">
        <f>LOG10(1.014749)</f>
        <v>6.3586320073610219E-3</v>
      </c>
      <c r="D10905">
        <f>LOG10(3.307842)</f>
        <v>0.5195447571783004</v>
      </c>
    </row>
    <row r="10906" spans="1:4">
      <c r="A10906">
        <v>1.007309</v>
      </c>
      <c r="B10906">
        <v>3.2594539999999999</v>
      </c>
      <c r="C10906">
        <f>LOG10(1.007309)</f>
        <v>3.1627142574993526E-3</v>
      </c>
      <c r="D10906">
        <f>LOG10(3.259454)</f>
        <v>0.51314485631127671</v>
      </c>
    </row>
    <row r="10907" spans="1:4">
      <c r="A10907">
        <v>1.0036609999999999</v>
      </c>
      <c r="B10907">
        <v>3.3437579999999998</v>
      </c>
      <c r="C10907">
        <f>LOG10(1.003661)</f>
        <v>1.5870487748190173E-3</v>
      </c>
      <c r="D10907">
        <f>LOG10(3.343758)</f>
        <v>0.52423483842375562</v>
      </c>
    </row>
    <row r="10908" spans="1:4">
      <c r="A10908">
        <v>1.010758</v>
      </c>
      <c r="B10908">
        <v>3.2402250000000001</v>
      </c>
      <c r="C10908">
        <f>LOG10(1.010758)</f>
        <v>4.647187395873352E-3</v>
      </c>
      <c r="D10908">
        <f>LOG10(3.240225)</f>
        <v>0.51057516849848239</v>
      </c>
    </row>
    <row r="10909" spans="1:4">
      <c r="A10909">
        <v>1.010221</v>
      </c>
      <c r="B10909">
        <v>3.2839689999999999</v>
      </c>
      <c r="C10909">
        <f>LOG10(1.010221)</f>
        <v>4.4163921800193916E-3</v>
      </c>
      <c r="D10909">
        <f>LOG10(3.283969)</f>
        <v>0.51639904881510001</v>
      </c>
    </row>
    <row r="10910" spans="1:4">
      <c r="A10910">
        <v>1.0087280000000001</v>
      </c>
      <c r="B10910">
        <v>3.386031</v>
      </c>
      <c r="C10910">
        <f>LOG10(1.008728)</f>
        <v>3.7740760247578311E-3</v>
      </c>
      <c r="D10910">
        <f>LOG10(3.386031)</f>
        <v>0.52969092987076338</v>
      </c>
    </row>
    <row r="10911" spans="1:4">
      <c r="A10911">
        <v>1.006022</v>
      </c>
      <c r="B10911">
        <v>3.2521049999999998</v>
      </c>
      <c r="C10911">
        <f>LOG10(1.006022)</f>
        <v>2.6074781097007913E-3</v>
      </c>
      <c r="D10911">
        <f>LOG10(3.252105)</f>
        <v>0.5121645591189673</v>
      </c>
    </row>
    <row r="10912" spans="1:4">
      <c r="A10912">
        <v>1.007925</v>
      </c>
      <c r="B10912">
        <v>3.408461</v>
      </c>
      <c r="C10912">
        <f>LOG10(1.007925)</f>
        <v>3.4282173297822513E-3</v>
      </c>
      <c r="D10912">
        <f>LOG10(3.408461)</f>
        <v>0.53255832911584688</v>
      </c>
    </row>
    <row r="10913" spans="1:4">
      <c r="A10913">
        <v>1.0092909999999999</v>
      </c>
      <c r="B10913">
        <v>3.321361</v>
      </c>
      <c r="C10913">
        <f>LOG10(1.009291)</f>
        <v>4.0164006011420006E-3</v>
      </c>
      <c r="D10913">
        <f>LOG10(3.321361)</f>
        <v>0.52131608179754285</v>
      </c>
    </row>
    <row r="10914" spans="1:4">
      <c r="A10914">
        <v>1.000848</v>
      </c>
      <c r="B10914">
        <v>3.2442739999999999</v>
      </c>
      <c r="C10914">
        <f>LOG10(1.000848)</f>
        <v>3.6812565742589586E-4</v>
      </c>
      <c r="D10914">
        <f>LOG10(3.244274)</f>
        <v>0.51111752607638061</v>
      </c>
    </row>
    <row r="10915" spans="1:4">
      <c r="A10915">
        <v>1.0093019999999999</v>
      </c>
      <c r="B10915">
        <v>3.2322350000000002</v>
      </c>
      <c r="C10915">
        <f>LOG10(1.009302)</f>
        <v>4.0211338379073872E-3</v>
      </c>
      <c r="D10915">
        <f>LOG10(3.232235)</f>
        <v>0.50950292867836677</v>
      </c>
    </row>
    <row r="10916" spans="1:4">
      <c r="A10916">
        <v>1.0095240000000001</v>
      </c>
      <c r="B10916">
        <v>3.2324389999999998</v>
      </c>
      <c r="C10916">
        <f>LOG10(1.009524)</f>
        <v>4.1166481371795512E-3</v>
      </c>
      <c r="D10916">
        <f>LOG10(3.232439)</f>
        <v>0.50953033797211855</v>
      </c>
    </row>
    <row r="10917" spans="1:4">
      <c r="A10917">
        <v>1.004613</v>
      </c>
      <c r="B10917">
        <v>3.362079</v>
      </c>
      <c r="C10917">
        <f>LOG10(1.004613)</f>
        <v>1.9987937635416557E-3</v>
      </c>
      <c r="D10917">
        <f>LOG10(3.362079)</f>
        <v>0.52660791399963858</v>
      </c>
    </row>
    <row r="10918" spans="1:4">
      <c r="A10918">
        <v>1.0051939999999999</v>
      </c>
      <c r="B10918">
        <v>3.4088980000000002</v>
      </c>
      <c r="C10918">
        <f>LOG10(1.005194)</f>
        <v>2.2498876258026487E-3</v>
      </c>
      <c r="D10918">
        <f>LOG10(3.408898)</f>
        <v>0.53261400659706848</v>
      </c>
    </row>
    <row r="10919" spans="1:4">
      <c r="A10919">
        <v>1.004526</v>
      </c>
      <c r="B10919">
        <v>3.4475730000000002</v>
      </c>
      <c r="C10919">
        <f>LOG10(1.004526)</f>
        <v>1.9611820104980123E-3</v>
      </c>
      <c r="D10919">
        <f>LOG10(3.447573)</f>
        <v>0.53751347083382695</v>
      </c>
    </row>
    <row r="10920" spans="1:4">
      <c r="A10920">
        <v>1.0065310000000001</v>
      </c>
      <c r="B10920">
        <v>3.5036170000000002</v>
      </c>
      <c r="C10920">
        <f>LOG10(1.006531)</f>
        <v>2.8271552024303338E-3</v>
      </c>
      <c r="D10920">
        <f>LOG10(3.503617)</f>
        <v>0.54451662492819741</v>
      </c>
    </row>
    <row r="10921" spans="1:4">
      <c r="A10921">
        <v>1.020678</v>
      </c>
      <c r="B10921">
        <v>3.469141</v>
      </c>
      <c r="C10921">
        <f>LOG10(1.020678)</f>
        <v>8.8887539581922817E-3</v>
      </c>
      <c r="D10921">
        <f>LOG10(3.469141)</f>
        <v>0.54022195169489962</v>
      </c>
    </row>
    <row r="10922" spans="1:4">
      <c r="A10922">
        <v>1.0148330000000001</v>
      </c>
      <c r="B10922">
        <v>3.490281</v>
      </c>
      <c r="C10922">
        <f>LOG10(1.014833)</f>
        <v>6.3945810219864846E-3</v>
      </c>
      <c r="D10922">
        <f>LOG10(3.490281)</f>
        <v>0.54286039310151157</v>
      </c>
    </row>
    <row r="10923" spans="1:4">
      <c r="A10923">
        <v>1.01769</v>
      </c>
      <c r="B10923">
        <v>3.6446860000000001</v>
      </c>
      <c r="C10923">
        <f>LOG10(1.01769)</f>
        <v>7.6155070848041035E-3</v>
      </c>
      <c r="D10923">
        <f>LOG10(3.644686)</f>
        <v>0.56166011856855769</v>
      </c>
    </row>
    <row r="10924" spans="1:4">
      <c r="A10924">
        <v>1.010964</v>
      </c>
      <c r="B10924">
        <v>3.6017730000000001</v>
      </c>
      <c r="C10924">
        <f>LOG10(1.010964)</f>
        <v>4.735690823725108E-3</v>
      </c>
      <c r="D10924">
        <f>LOG10(3.601773)</f>
        <v>0.55651633814649126</v>
      </c>
    </row>
    <row r="10925" spans="1:4">
      <c r="A10925">
        <v>1.007684</v>
      </c>
      <c r="B10925">
        <v>3.518834</v>
      </c>
      <c r="C10925">
        <f>LOG10(1.007684)</f>
        <v>3.3243628911114303E-3</v>
      </c>
      <c r="D10925">
        <f>LOG10(3.518834)</f>
        <v>0.54639877959891725</v>
      </c>
    </row>
    <row r="10926" spans="1:4">
      <c r="A10926">
        <v>1.0110220000000001</v>
      </c>
      <c r="B10926">
        <v>3.6039180000000002</v>
      </c>
      <c r="C10926">
        <f>LOG10(1.011022)</f>
        <v>4.7606060110284287E-3</v>
      </c>
      <c r="D10926">
        <f>LOG10(3.603918)</f>
        <v>0.55677490091061732</v>
      </c>
    </row>
    <row r="10927" spans="1:4">
      <c r="A10927">
        <v>1.0106470000000001</v>
      </c>
      <c r="B10927">
        <v>3.6057640000000002</v>
      </c>
      <c r="C10927">
        <f>LOG10(1.010647)</f>
        <v>4.599491177114912E-3</v>
      </c>
      <c r="D10927">
        <f>LOG10(3.605764)</f>
        <v>0.55699729841195311</v>
      </c>
    </row>
    <row r="10928" spans="1:4">
      <c r="A10928">
        <v>1.020554</v>
      </c>
      <c r="B10928">
        <v>3.5071050000000001</v>
      </c>
      <c r="C10928">
        <f>LOG10(1.020554)</f>
        <v>8.835989239804316E-3</v>
      </c>
      <c r="D10928">
        <f>LOG10(3.507105)</f>
        <v>0.54494876851565277</v>
      </c>
    </row>
    <row r="10929" spans="1:4">
      <c r="A10929">
        <v>1.0289459999999999</v>
      </c>
      <c r="B10929">
        <v>3.6029650000000002</v>
      </c>
      <c r="C10929">
        <f>LOG10(1.028946)</f>
        <v>1.2392583200333443E-2</v>
      </c>
      <c r="D10929">
        <f>LOG10(3.602965)</f>
        <v>0.5566600433102743</v>
      </c>
    </row>
    <row r="10930" spans="1:4">
      <c r="A10930">
        <v>1.023228</v>
      </c>
      <c r="B10930">
        <v>3.627192</v>
      </c>
      <c r="C10930">
        <f>LOG10(1.023228)</f>
        <v>9.9724158325140387E-3</v>
      </c>
      <c r="D10930">
        <f>LOG10(3.627192)</f>
        <v>0.55957054491971425</v>
      </c>
    </row>
    <row r="10931" spans="1:4">
      <c r="A10931">
        <v>1.0113380000000001</v>
      </c>
      <c r="B10931">
        <v>3.6149830000000001</v>
      </c>
      <c r="C10931">
        <f>LOG10(1.011338)</f>
        <v>4.8963257220574269E-3</v>
      </c>
      <c r="D10931">
        <f>LOG10(3.614983)</f>
        <v>0.55810625930038305</v>
      </c>
    </row>
    <row r="10932" spans="1:4">
      <c r="A10932">
        <v>1.0078940000000001</v>
      </c>
      <c r="B10932">
        <v>3.664593</v>
      </c>
      <c r="C10932">
        <f>LOG10(1.007894)</f>
        <v>3.4148598518142239E-3</v>
      </c>
      <c r="D10932">
        <f>LOG10(3.664593)</f>
        <v>0.5640257476894569</v>
      </c>
    </row>
    <row r="10933" spans="1:4">
      <c r="A10933">
        <v>1.0175989999999999</v>
      </c>
      <c r="B10933">
        <v>3.5644900000000002</v>
      </c>
      <c r="C10933">
        <f>LOG10(1.017599)</f>
        <v>7.5766715210295642E-3</v>
      </c>
      <c r="D10933">
        <f>LOG10(3.56449)</f>
        <v>0.55199740065907699</v>
      </c>
    </row>
    <row r="10934" spans="1:4">
      <c r="A10934">
        <v>1.0168029999999999</v>
      </c>
      <c r="B10934">
        <v>3.5958969999999999</v>
      </c>
      <c r="C10934">
        <f>LOG10(1.016803)</f>
        <v>7.2368189007153668E-3</v>
      </c>
      <c r="D10934">
        <f>LOG10(3.595897)</f>
        <v>0.555807243413727</v>
      </c>
    </row>
    <row r="10935" spans="1:4">
      <c r="A10935">
        <v>1.018011</v>
      </c>
      <c r="B10935">
        <v>3.5103689999999999</v>
      </c>
      <c r="C10935">
        <f>LOG10(1.018011)</f>
        <v>7.7524707448370827E-3</v>
      </c>
      <c r="D10935">
        <f>LOG10(3.510369)</f>
        <v>0.54535277066547361</v>
      </c>
    </row>
    <row r="10936" spans="1:4">
      <c r="A10936">
        <v>1.013979</v>
      </c>
      <c r="B10936">
        <v>3.563024</v>
      </c>
      <c r="C10936">
        <f>LOG10(1.013979)</f>
        <v>6.0289606397618805E-3</v>
      </c>
      <c r="D10936">
        <f>LOG10(3.563024)</f>
        <v>0.55181874770393768</v>
      </c>
    </row>
    <row r="10937" spans="1:4">
      <c r="A10937">
        <v>1.0110399999999999</v>
      </c>
      <c r="B10937">
        <v>3.6873710000000002</v>
      </c>
      <c r="C10937">
        <f>LOG10(1.01104)</f>
        <v>4.7683380199128253E-3</v>
      </c>
      <c r="D10937">
        <f>LOG10(3.687371)</f>
        <v>0.56671683577452225</v>
      </c>
    </row>
    <row r="10938" spans="1:4">
      <c r="A10938">
        <v>1.0135270000000001</v>
      </c>
      <c r="B10938">
        <v>3.701111</v>
      </c>
      <c r="C10938">
        <f>LOG10(1.013527)</f>
        <v>5.8353226341803909E-3</v>
      </c>
      <c r="D10938">
        <f>LOG10(3.701111)</f>
        <v>0.56833211021389074</v>
      </c>
    </row>
    <row r="10939" spans="1:4">
      <c r="A10939">
        <v>1.013598</v>
      </c>
      <c r="B10939">
        <v>3.464124</v>
      </c>
      <c r="C10939">
        <f>LOG10(1.013598)</f>
        <v>5.8657449398869565E-3</v>
      </c>
      <c r="D10939">
        <f>LOG10(3.464124)</f>
        <v>0.53959342940532806</v>
      </c>
    </row>
    <row r="10940" spans="1:4">
      <c r="A10940">
        <v>1.0233509999999999</v>
      </c>
      <c r="B10940">
        <v>3.4230239999999998</v>
      </c>
      <c r="C10940">
        <f>LOG10(1.023351)</f>
        <v>1.002461828483898E-2</v>
      </c>
      <c r="D10940">
        <f>LOG10(3.423024)</f>
        <v>0.53440994413671605</v>
      </c>
    </row>
    <row r="10941" spans="1:4">
      <c r="A10941">
        <v>1.018092</v>
      </c>
      <c r="B10941">
        <v>3.398647</v>
      </c>
      <c r="C10941">
        <f>LOG10(1.018092)</f>
        <v>7.7870248445586782E-3</v>
      </c>
      <c r="D10941">
        <f>LOG10(3.398647)</f>
        <v>0.53130605898924177</v>
      </c>
    </row>
    <row r="10942" spans="1:4">
      <c r="A10942">
        <v>1.029045</v>
      </c>
      <c r="B10942">
        <v>3.4465349999999999</v>
      </c>
      <c r="C10942">
        <f>LOG10(1.029045)</f>
        <v>1.2434366817211863E-2</v>
      </c>
      <c r="D10942">
        <f>LOG10(3.446535)</f>
        <v>0.53738269316813847</v>
      </c>
    </row>
    <row r="10943" spans="1:4">
      <c r="A10943">
        <v>1.0198259999999999</v>
      </c>
      <c r="B10943">
        <v>3.4916700000000001</v>
      </c>
      <c r="C10943">
        <f>LOG10(1.019826)</f>
        <v>8.5260799128730903E-3</v>
      </c>
      <c r="D10943">
        <f>LOG10(3.49167)</f>
        <v>0.54303319151940999</v>
      </c>
    </row>
    <row r="10944" spans="1:4">
      <c r="A10944">
        <v>1.0063420000000001</v>
      </c>
      <c r="B10944">
        <v>3.525388</v>
      </c>
      <c r="C10944">
        <f>LOG10(1.006342)</f>
        <v>2.7455984849216451E-3</v>
      </c>
      <c r="D10944">
        <f>LOG10(3.525388)</f>
        <v>0.54720692189077613</v>
      </c>
    </row>
    <row r="10945" spans="1:4">
      <c r="A10945">
        <v>1.0081500000000001</v>
      </c>
      <c r="B10945">
        <v>3.5885020000000001</v>
      </c>
      <c r="C10945">
        <f>LOG10(1.00815)</f>
        <v>3.5251544564605603E-3</v>
      </c>
      <c r="D10945">
        <f>LOG10(3.588502)</f>
        <v>0.55491319261618821</v>
      </c>
    </row>
    <row r="10946" spans="1:4">
      <c r="A10946">
        <v>1.0102249999999999</v>
      </c>
      <c r="B10946">
        <v>3.716939</v>
      </c>
      <c r="C10946">
        <f>LOG10(1.010225)</f>
        <v>4.4181117784917777E-3</v>
      </c>
      <c r="D10946">
        <f>LOG10(3.716939)</f>
        <v>0.57018543379392894</v>
      </c>
    </row>
    <row r="10947" spans="1:4">
      <c r="A10947">
        <v>1.018308</v>
      </c>
      <c r="B10947">
        <v>3.6222970000000001</v>
      </c>
      <c r="C10947">
        <f>LOG10(1.018308)</f>
        <v>7.8791556719431822E-3</v>
      </c>
      <c r="D10947">
        <f>LOG10(3.622297)</f>
        <v>0.55898405618595837</v>
      </c>
    </row>
    <row r="10948" spans="1:4">
      <c r="A10948">
        <v>1.0164390000000001</v>
      </c>
      <c r="B10948">
        <v>3.5991089999999999</v>
      </c>
      <c r="C10948">
        <f>LOG10(1.016439)</f>
        <v>7.081320250676126E-3</v>
      </c>
      <c r="D10948">
        <f>LOG10(3.599109)</f>
        <v>0.55619499957919538</v>
      </c>
    </row>
    <row r="10949" spans="1:4">
      <c r="A10949">
        <v>1.018594</v>
      </c>
      <c r="B10949">
        <v>3.6490399999999998</v>
      </c>
      <c r="C10949">
        <f>LOG10(1.018594)</f>
        <v>8.0011136479681243E-3</v>
      </c>
      <c r="D10949">
        <f>LOG10(3.64904)</f>
        <v>0.56217862403443808</v>
      </c>
    </row>
    <row r="10950" spans="1:4">
      <c r="A10950">
        <v>1.0198020000000001</v>
      </c>
      <c r="B10950">
        <v>3.5686179999999998</v>
      </c>
      <c r="C10950">
        <f>LOG10(1.019802)</f>
        <v>8.5158593554321513E-3</v>
      </c>
      <c r="D10950">
        <f>LOG10(3.568618)</f>
        <v>0.55250006172110833</v>
      </c>
    </row>
    <row r="10951" spans="1:4">
      <c r="A10951">
        <v>1.013393</v>
      </c>
      <c r="B10951">
        <v>3.705257</v>
      </c>
      <c r="C10951">
        <f>LOG10(1.013393)</f>
        <v>5.7779000810852009E-3</v>
      </c>
      <c r="D10951">
        <f>LOG10(3.705257)</f>
        <v>0.56881833642086554</v>
      </c>
    </row>
    <row r="10952" spans="1:4">
      <c r="A10952">
        <v>1.016283</v>
      </c>
      <c r="B10952">
        <v>3.5890119999999999</v>
      </c>
      <c r="C10952">
        <f>LOG10(1.016283)</f>
        <v>7.0146609246001202E-3</v>
      </c>
      <c r="D10952">
        <f>LOG10(3.589012)</f>
        <v>0.55497491041601232</v>
      </c>
    </row>
    <row r="10953" spans="1:4">
      <c r="A10953">
        <v>1.016429</v>
      </c>
      <c r="B10953">
        <v>3.5908829999999998</v>
      </c>
      <c r="C10953">
        <f>LOG10(1.016429)</f>
        <v>7.0770475238496958E-3</v>
      </c>
      <c r="D10953">
        <f>LOG10(3.590883)</f>
        <v>0.55520125495002948</v>
      </c>
    </row>
    <row r="10954" spans="1:4">
      <c r="A10954">
        <v>1.0100789999999999</v>
      </c>
      <c r="B10954">
        <v>3.5939040000000002</v>
      </c>
      <c r="C10954">
        <f>LOG10(1.010079)</f>
        <v>4.3553420225854933E-3</v>
      </c>
      <c r="D10954">
        <f>LOG10(3.593904)</f>
        <v>0.55556647209763577</v>
      </c>
    </row>
    <row r="10955" spans="1:4">
      <c r="A10955">
        <v>1.0103819999999999</v>
      </c>
      <c r="B10955">
        <v>3.5956760000000001</v>
      </c>
      <c r="C10955">
        <f>LOG10(1.010382)</f>
        <v>4.4856006407950439E-3</v>
      </c>
      <c r="D10955">
        <f>LOG10(3.595676)</f>
        <v>0.55578055131714932</v>
      </c>
    </row>
    <row r="10956" spans="1:4">
      <c r="A10956">
        <v>1.0120549999999999</v>
      </c>
      <c r="B10956">
        <v>3.6796720000000001</v>
      </c>
      <c r="C10956">
        <f>LOG10(1.012055)</f>
        <v>5.20411482339171E-3</v>
      </c>
      <c r="D10956">
        <f>LOG10(3.679672)</f>
        <v>0.56580910809235085</v>
      </c>
    </row>
    <row r="10957" spans="1:4">
      <c r="A10957">
        <v>1.0093449999999999</v>
      </c>
      <c r="B10957">
        <v>3.710744</v>
      </c>
      <c r="C10957">
        <f>LOG10(1.009345)</f>
        <v>4.0396359957632884E-3</v>
      </c>
      <c r="D10957">
        <f>LOG10(3.710744)</f>
        <v>0.56946099390083138</v>
      </c>
    </row>
    <row r="10958" spans="1:4">
      <c r="A10958">
        <v>1.0104470000000001</v>
      </c>
      <c r="B10958">
        <v>3.6487020000000001</v>
      </c>
      <c r="C10958">
        <f>LOG10(1.010447)</f>
        <v>4.513538819961649E-3</v>
      </c>
      <c r="D10958">
        <f>LOG10(3.648702)</f>
        <v>0.56213839473200777</v>
      </c>
    </row>
    <row r="10959" spans="1:4">
      <c r="A10959">
        <v>1.008362</v>
      </c>
      <c r="B10959">
        <v>3.599151</v>
      </c>
      <c r="C10959">
        <f>LOG10(1.008362)</f>
        <v>3.6164709777633318E-3</v>
      </c>
      <c r="D10959">
        <f>LOG10(3.599151)</f>
        <v>0.55620006757291607</v>
      </c>
    </row>
    <row r="10960" spans="1:4">
      <c r="A10960">
        <v>1.010859</v>
      </c>
      <c r="B10960">
        <v>3.6217220000000001</v>
      </c>
      <c r="C10960">
        <f>LOG10(1.010859)</f>
        <v>4.6905821068484602E-3</v>
      </c>
      <c r="D10960">
        <f>LOG10(3.621722)</f>
        <v>0.55891511121835991</v>
      </c>
    </row>
    <row r="10961" spans="1:4">
      <c r="A10961">
        <v>1.024994</v>
      </c>
      <c r="B10961">
        <v>3.4381010000000001</v>
      </c>
      <c r="C10961">
        <f>LOG10(1.024994)</f>
        <v>1.0721323172731055E-2</v>
      </c>
      <c r="D10961">
        <f>LOG10(3.438101)</f>
        <v>0.53631863066935248</v>
      </c>
    </row>
    <row r="10962" spans="1:4">
      <c r="A10962">
        <v>1.017998</v>
      </c>
      <c r="B10962">
        <v>3.398647</v>
      </c>
      <c r="C10962">
        <f>LOG10(1.017998)</f>
        <v>7.7469247690925384E-3</v>
      </c>
      <c r="D10962">
        <f>LOG10(3.398647)</f>
        <v>0.53130605898924177</v>
      </c>
    </row>
    <row r="10963" spans="1:4">
      <c r="A10963">
        <v>1.0135369999999999</v>
      </c>
      <c r="B10963">
        <v>3.2704080000000002</v>
      </c>
      <c r="C10963">
        <f>LOG10(1.013537)</f>
        <v>5.8396075949107874E-3</v>
      </c>
      <c r="D10963">
        <f>LOG10(3.270408)</f>
        <v>0.51460193648149311</v>
      </c>
    </row>
    <row r="10964" spans="1:4">
      <c r="A10964">
        <v>1.009341</v>
      </c>
      <c r="B10964">
        <v>3.235201</v>
      </c>
      <c r="C10964">
        <f>LOG10(1.009341)</f>
        <v>4.0379148980516401E-3</v>
      </c>
      <c r="D10964">
        <f>LOG10(3.235201)</f>
        <v>0.50990126815126768</v>
      </c>
    </row>
    <row r="10965" spans="1:4">
      <c r="A10965">
        <v>1.00997</v>
      </c>
      <c r="B10965">
        <v>3.3045170000000001</v>
      </c>
      <c r="C10965">
        <f>LOG10(1.00997)</f>
        <v>4.3084737549609351E-3</v>
      </c>
      <c r="D10965">
        <f>LOG10(3.304517)</f>
        <v>0.51910799042863121</v>
      </c>
    </row>
    <row r="10966" spans="1:4">
      <c r="A10966">
        <v>1.0065759999999999</v>
      </c>
      <c r="B10966">
        <v>3.3057059999999998</v>
      </c>
      <c r="C10966">
        <f>LOG10(1.006576)</f>
        <v>2.8465712113050104E-3</v>
      </c>
      <c r="D10966">
        <f>LOG10(3.305706)</f>
        <v>0.51926422604868572</v>
      </c>
    </row>
    <row r="10967" spans="1:4">
      <c r="A10967">
        <v>1.0084219999999999</v>
      </c>
      <c r="B10967">
        <v>3.1677879999999998</v>
      </c>
      <c r="C10967">
        <f>LOG10(1.008422)</f>
        <v>3.6423117905840011E-3</v>
      </c>
      <c r="D10967">
        <f>LOG10(3.167788)</f>
        <v>0.50075610930920456</v>
      </c>
    </row>
    <row r="10968" spans="1:4">
      <c r="A10968">
        <v>1.012705</v>
      </c>
      <c r="B10968">
        <v>3.1041319999999999</v>
      </c>
      <c r="C10968">
        <f>LOG10(1.012705)</f>
        <v>5.4829542146623269E-3</v>
      </c>
      <c r="D10968">
        <f>LOG10(3.104132)</f>
        <v>0.49194018090210151</v>
      </c>
    </row>
    <row r="10969" spans="1:4">
      <c r="A10969">
        <v>1.00905</v>
      </c>
      <c r="B10969">
        <v>3.0339499999999999</v>
      </c>
      <c r="C10969">
        <f>LOG10(1.00905)</f>
        <v>3.9126867384834335E-3</v>
      </c>
      <c r="D10969">
        <f>LOG10(3.03395)</f>
        <v>0.48200841926448051</v>
      </c>
    </row>
    <row r="10970" spans="1:4">
      <c r="A10970">
        <v>1.009026</v>
      </c>
      <c r="B10970">
        <v>3.0860560000000001</v>
      </c>
      <c r="C10970">
        <f>LOG10(1.009026)</f>
        <v>3.9023570308151594E-3</v>
      </c>
      <c r="D10970">
        <f>LOG10(3.086056)</f>
        <v>0.48940380256650851</v>
      </c>
    </row>
    <row r="10971" spans="1:4">
      <c r="A10971">
        <v>1.0093540000000001</v>
      </c>
      <c r="B10971">
        <v>3.1166049999999998</v>
      </c>
      <c r="C10971">
        <f>LOG10(1.009354)</f>
        <v>4.0435084406767888E-3</v>
      </c>
      <c r="D10971">
        <f>LOG10(3.116605)</f>
        <v>0.49368176307542061</v>
      </c>
    </row>
    <row r="10972" spans="1:4">
      <c r="A10972">
        <v>1.0122960000000001</v>
      </c>
      <c r="B10972">
        <v>3.0177010000000002</v>
      </c>
      <c r="C10972">
        <f>LOG10(1.012296)</f>
        <v>5.3075207748627994E-3</v>
      </c>
      <c r="D10972">
        <f>LOG10(3.017701)</f>
        <v>0.47967620678384565</v>
      </c>
    </row>
    <row r="10973" spans="1:4">
      <c r="A10973">
        <v>1.0071639999999999</v>
      </c>
      <c r="B10973">
        <v>3.1066720000000001</v>
      </c>
      <c r="C10973">
        <f>LOG10(1.007164)</f>
        <v>3.1001939854631904E-3</v>
      </c>
      <c r="D10973">
        <f>LOG10(3.106672)</f>
        <v>0.49229540320360499</v>
      </c>
    </row>
    <row r="10974" spans="1:4">
      <c r="A10974">
        <v>1.0072000000000001</v>
      </c>
      <c r="B10974">
        <v>3.1463220000000001</v>
      </c>
      <c r="C10974">
        <f>LOG10(1.0072)</f>
        <v>3.1157170998062241E-3</v>
      </c>
      <c r="D10974">
        <f>LOG10(3.146322)</f>
        <v>0.49780316700533905</v>
      </c>
    </row>
    <row r="10975" spans="1:4">
      <c r="A10975">
        <v>1.0081</v>
      </c>
      <c r="B10975">
        <v>3.1192229999999999</v>
      </c>
      <c r="C10975">
        <f>LOG10(1.0081)</f>
        <v>3.5036147425365331E-3</v>
      </c>
      <c r="D10975">
        <f>LOG10(3.119223)</f>
        <v>0.49404642451907294</v>
      </c>
    </row>
    <row r="10976" spans="1:4">
      <c r="A10976">
        <v>1.0141789999999999</v>
      </c>
      <c r="B10976">
        <v>3.0832250000000001</v>
      </c>
      <c r="C10976">
        <f>LOG10(1.014179)</f>
        <v>6.1146136280026261E-3</v>
      </c>
      <c r="D10976">
        <f>LOG10(3.083225)</f>
        <v>0.48900521875599035</v>
      </c>
    </row>
    <row r="10977" spans="1:4">
      <c r="A10977">
        <v>1.0094650000000001</v>
      </c>
      <c r="B10977">
        <v>2.9920360000000001</v>
      </c>
      <c r="C10977">
        <f>LOG10(1.009465)</f>
        <v>4.0912657557603373E-3</v>
      </c>
      <c r="D10977">
        <f>LOG10(2.992036)</f>
        <v>0.47596681462935253</v>
      </c>
    </row>
    <row r="10978" spans="1:4">
      <c r="A10978">
        <v>1.0093490000000001</v>
      </c>
      <c r="B10978">
        <v>2.9794909999999999</v>
      </c>
      <c r="C10978">
        <f>LOG10(1.009349)</f>
        <v>4.0413570866543944E-3</v>
      </c>
      <c r="D10978">
        <f>LOG10(2.979491)</f>
        <v>0.47414207791108565</v>
      </c>
    </row>
    <row r="10979" spans="1:4">
      <c r="A10979">
        <v>1.00986</v>
      </c>
      <c r="B10979">
        <v>3.2068400000000001</v>
      </c>
      <c r="C10979">
        <f>LOG10(1.00986)</f>
        <v>4.2611703749174555E-3</v>
      </c>
      <c r="D10979">
        <f>LOG10(3.20684)</f>
        <v>0.50607729206110397</v>
      </c>
    </row>
    <row r="10980" spans="1:4">
      <c r="A10980">
        <v>1.0201199999999999</v>
      </c>
      <c r="B10980">
        <v>3.1825899999999998</v>
      </c>
      <c r="C10980">
        <f>LOG10(1.02012)</f>
        <v>8.6512622251142916E-3</v>
      </c>
      <c r="D10980">
        <f>LOG10(3.18259)</f>
        <v>0.50278069384987378</v>
      </c>
    </row>
    <row r="10981" spans="1:4">
      <c r="A10981">
        <v>1.011433</v>
      </c>
      <c r="B10981">
        <v>3.1487599999999998</v>
      </c>
      <c r="C10981">
        <f>LOG10(1.011433)</f>
        <v>4.9371192432332046E-3</v>
      </c>
      <c r="D10981">
        <f>LOG10(3.14876)</f>
        <v>0.49813955976394558</v>
      </c>
    </row>
    <row r="10982" spans="1:4">
      <c r="A10982">
        <v>1.0044040000000001</v>
      </c>
      <c r="B10982">
        <v>3.022967</v>
      </c>
      <c r="C10982">
        <f>LOG10(1.004404)</f>
        <v>1.9084336052700432E-3</v>
      </c>
      <c r="D10982">
        <f>LOG10(3.022967)</f>
        <v>0.48043340625948161</v>
      </c>
    </row>
    <row r="10983" spans="1:4">
      <c r="A10983">
        <v>1.0137929999999999</v>
      </c>
      <c r="B10983">
        <v>3.2044090000000001</v>
      </c>
      <c r="C10983">
        <f>LOG10(1.013793)</f>
        <v>5.9492881974354626E-3</v>
      </c>
      <c r="D10983">
        <f>LOG10(3.204409)</f>
        <v>0.50574794283879021</v>
      </c>
    </row>
    <row r="10984" spans="1:4">
      <c r="A10984">
        <v>1.0158959999999999</v>
      </c>
      <c r="B10984">
        <v>3.183729</v>
      </c>
      <c r="C10984">
        <f>LOG10(1.015896)</f>
        <v>6.8492503318045286E-3</v>
      </c>
      <c r="D10984">
        <f>LOG10(3.183729)</f>
        <v>0.50293609335786749</v>
      </c>
    </row>
    <row r="10985" spans="1:4">
      <c r="A10985">
        <v>1.012127</v>
      </c>
      <c r="B10985">
        <v>3.2633700000000001</v>
      </c>
      <c r="C10985">
        <f>LOG10(1.012127)</f>
        <v>5.2350104668765869E-3</v>
      </c>
      <c r="D10985">
        <f>LOG10(3.26337)</f>
        <v>0.51366631676934127</v>
      </c>
    </row>
    <row r="10986" spans="1:4">
      <c r="A10986">
        <v>1.003722</v>
      </c>
      <c r="B10986">
        <v>3.3072339999999998</v>
      </c>
      <c r="C10986">
        <f>LOG10(1.003722)</f>
        <v>1.6134433028231812E-3</v>
      </c>
      <c r="D10986">
        <f>LOG10(3.307234)</f>
        <v>0.51946492406807132</v>
      </c>
    </row>
    <row r="10987" spans="1:4">
      <c r="A10987">
        <v>1.017663</v>
      </c>
      <c r="B10987">
        <v>3.2798370000000001</v>
      </c>
      <c r="C10987">
        <f>LOG10(1.017663)</f>
        <v>7.6039848073298022E-3</v>
      </c>
      <c r="D10987">
        <f>LOG10(3.279837)</f>
        <v>0.5158522608581525</v>
      </c>
    </row>
    <row r="10988" spans="1:4">
      <c r="A10988">
        <v>1.014</v>
      </c>
      <c r="B10988">
        <v>3.0997050000000002</v>
      </c>
      <c r="C10988">
        <f>LOG10(1.014)</f>
        <v>6.0379549973171767E-3</v>
      </c>
      <c r="D10988">
        <f>LOG10(3.099705)</f>
        <v>0.49132036384445604</v>
      </c>
    </row>
    <row r="10989" spans="1:4">
      <c r="A10989">
        <v>1.0065820000000001</v>
      </c>
      <c r="B10989">
        <v>3.2235510000000001</v>
      </c>
      <c r="C10989">
        <f>LOG10(1.006582)</f>
        <v>2.8491599469050001E-3</v>
      </c>
      <c r="D10989">
        <f>LOG10(3.223551)</f>
        <v>0.5083345456013717</v>
      </c>
    </row>
    <row r="10990" spans="1:4">
      <c r="A10990">
        <v>1.0129870000000001</v>
      </c>
      <c r="B10990">
        <v>3.28396</v>
      </c>
      <c r="C10990">
        <f>LOG10(1.012987)</f>
        <v>5.6038719501205567E-3</v>
      </c>
      <c r="D10990">
        <f>LOG10(3.28396)</f>
        <v>0.51639785859202147</v>
      </c>
    </row>
    <row r="10991" spans="1:4">
      <c r="A10991">
        <v>1.016718</v>
      </c>
      <c r="B10991">
        <v>3.3953470000000001</v>
      </c>
      <c r="C10991">
        <f>LOG10(1.016718)</f>
        <v>7.2005123850873223E-3</v>
      </c>
      <c r="D10991">
        <f>LOG10(3.395347)</f>
        <v>0.53088416520982762</v>
      </c>
    </row>
    <row r="10992" spans="1:4">
      <c r="A10992">
        <v>1.003979</v>
      </c>
      <c r="B10992">
        <v>3.0885669999999998</v>
      </c>
      <c r="C10992">
        <f>LOG10(1.003979)</f>
        <v>1.7246288652737075E-3</v>
      </c>
      <c r="D10992">
        <f>LOG10(3.088567)</f>
        <v>0.48975702688617107</v>
      </c>
    </row>
    <row r="10993" spans="1:4">
      <c r="A10993">
        <v>1.00804</v>
      </c>
      <c r="B10993">
        <v>3.1879979999999999</v>
      </c>
      <c r="C10993">
        <f>LOG10(1.00804)</f>
        <v>3.4777656755849667E-3</v>
      </c>
      <c r="D10993">
        <f>LOG10(3.187998)</f>
        <v>0.50351804026822899</v>
      </c>
    </row>
    <row r="10994" spans="1:4">
      <c r="A10994">
        <v>1.007835</v>
      </c>
      <c r="B10994">
        <v>3.2510539999999999</v>
      </c>
      <c r="C10994">
        <f>LOG10(1.007835)</f>
        <v>3.3894364199544623E-3</v>
      </c>
      <c r="D10994">
        <f>LOG10(3.251054)</f>
        <v>0.51202418318645382</v>
      </c>
    </row>
    <row r="10995" spans="1:4">
      <c r="A10995">
        <v>1.013692</v>
      </c>
      <c r="B10995">
        <v>3.1916769999999999</v>
      </c>
      <c r="C10995">
        <f>LOG10(1.013692)</f>
        <v>5.9060190805655752E-3</v>
      </c>
      <c r="D10995">
        <f>LOG10(3.191677)</f>
        <v>0.50401893398962927</v>
      </c>
    </row>
    <row r="10996" spans="1:4">
      <c r="A10996">
        <v>1.007868</v>
      </c>
      <c r="B10996">
        <v>3.1077409999999999</v>
      </c>
      <c r="C10996">
        <f>LOG10(1.007868)</f>
        <v>3.4036564889865228E-3</v>
      </c>
      <c r="D10996">
        <f>LOG10(3.107741)</f>
        <v>0.49244481741400065</v>
      </c>
    </row>
    <row r="10997" spans="1:4">
      <c r="A10997">
        <v>1.0088280000000001</v>
      </c>
      <c r="B10997">
        <v>3.1501229999999998</v>
      </c>
      <c r="C10997">
        <f>LOG10(1.008828)</f>
        <v>3.8171275665498652E-3</v>
      </c>
      <c r="D10997">
        <f>LOG10(3.150123)</f>
        <v>0.49832751162400496</v>
      </c>
    </row>
    <row r="10998" spans="1:4">
      <c r="A10998">
        <v>1.0209010000000001</v>
      </c>
      <c r="B10998">
        <v>3.206642</v>
      </c>
      <c r="C10998">
        <f>LOG10(1.020901)</f>
        <v>8.9836292188112676E-3</v>
      </c>
      <c r="D10998">
        <f>LOG10(3.206642)</f>
        <v>0.50605047657851765</v>
      </c>
    </row>
    <row r="10999" spans="1:4">
      <c r="A10999">
        <v>1.018729</v>
      </c>
      <c r="B10999">
        <v>3.243932</v>
      </c>
      <c r="C10999">
        <f>LOG10(1.018729)</f>
        <v>8.0586693277918432E-3</v>
      </c>
      <c r="D10999">
        <f>LOG10(3.243932)</f>
        <v>0.51107174186023574</v>
      </c>
    </row>
    <row r="11000" spans="1:4">
      <c r="A11000">
        <v>1.0094879999999999</v>
      </c>
      <c r="B11000">
        <v>3.1807310000000002</v>
      </c>
      <c r="C11000">
        <f>LOG10(1.009488)</f>
        <v>4.1011607588477359E-3</v>
      </c>
      <c r="D11000">
        <f>LOG10(3.180731)</f>
        <v>0.50252694161426392</v>
      </c>
    </row>
    <row r="11001" spans="1:4">
      <c r="A11001">
        <v>1.008726</v>
      </c>
      <c r="B11001">
        <v>3.1404700000000001</v>
      </c>
      <c r="C11001">
        <f>LOG10(1.008726)</f>
        <v>3.7732149503900076E-3</v>
      </c>
      <c r="D11001">
        <f>LOG10(3.14047)</f>
        <v>0.49699464907055291</v>
      </c>
    </row>
    <row r="11002" spans="1:4">
      <c r="A11002">
        <v>1.01532</v>
      </c>
      <c r="B11002">
        <v>3.1260699999999999</v>
      </c>
      <c r="C11002">
        <f>LOG10(1.01532)</f>
        <v>6.6029410980435344E-3</v>
      </c>
      <c r="D11002">
        <f>LOG10(3.12607)</f>
        <v>0.49499869865865126</v>
      </c>
    </row>
    <row r="11003" spans="1:4">
      <c r="A11003">
        <v>1.022051</v>
      </c>
      <c r="B11003">
        <v>3.2270219999999998</v>
      </c>
      <c r="C11003">
        <f>LOG10(1.022051)</f>
        <v>9.4725674874939422E-3</v>
      </c>
      <c r="D11003">
        <f>LOG10(3.227022)</f>
        <v>0.50880192618668563</v>
      </c>
    </row>
    <row r="11004" spans="1:4">
      <c r="A11004">
        <v>1.0040469999999999</v>
      </c>
      <c r="B11004">
        <v>3.3096139999999998</v>
      </c>
      <c r="C11004">
        <f>LOG10(1.004047)</f>
        <v>1.7540428517267626E-3</v>
      </c>
      <c r="D11004">
        <f>LOG10(3.309614)</f>
        <v>0.51977734500066786</v>
      </c>
    </row>
    <row r="11005" spans="1:4">
      <c r="A11005">
        <v>1.0187440000000001</v>
      </c>
      <c r="B11005">
        <v>3.2713860000000001</v>
      </c>
      <c r="C11005">
        <f>LOG10(1.018744)</f>
        <v>8.065063932509265E-3</v>
      </c>
      <c r="D11005">
        <f>LOG10(3.271386)</f>
        <v>0.51473179077114684</v>
      </c>
    </row>
    <row r="11006" spans="1:4">
      <c r="A11006">
        <v>1.014632</v>
      </c>
      <c r="B11006">
        <v>3.16038</v>
      </c>
      <c r="C11006">
        <f>LOG10(1.014632)</f>
        <v>6.3085552061699739E-3</v>
      </c>
      <c r="D11006">
        <f>LOG10(3.16038)</f>
        <v>0.4997393047643261</v>
      </c>
    </row>
    <row r="11007" spans="1:4">
      <c r="A11007">
        <v>1.0038279999999999</v>
      </c>
      <c r="B11007">
        <v>3.2641559999999998</v>
      </c>
      <c r="C11007">
        <f>LOG10(1.003828)</f>
        <v>1.6593053885739712E-3</v>
      </c>
      <c r="D11007">
        <f>LOG10(3.264156)</f>
        <v>0.51377090630737632</v>
      </c>
    </row>
    <row r="11008" spans="1:4">
      <c r="A11008">
        <v>1.010345</v>
      </c>
      <c r="B11008">
        <v>3.1421070000000002</v>
      </c>
      <c r="C11008">
        <f>LOG10(1.010345)</f>
        <v>4.4696965668333975E-3</v>
      </c>
      <c r="D11008">
        <f>LOG10(3.142107)</f>
        <v>0.49722097023875023</v>
      </c>
    </row>
    <row r="11009" spans="1:4">
      <c r="A11009">
        <v>1.0142659999999999</v>
      </c>
      <c r="B11009">
        <v>3.2478790000000002</v>
      </c>
      <c r="C11009">
        <f>LOG10(1.014266)</f>
        <v>6.1518674060924722E-3</v>
      </c>
      <c r="D11009">
        <f>LOG10(3.247879)</f>
        <v>0.51159984119377799</v>
      </c>
    </row>
    <row r="11010" spans="1:4">
      <c r="A11010">
        <v>1.0099100000000001</v>
      </c>
      <c r="B11010">
        <v>3.291846</v>
      </c>
      <c r="C11010">
        <f>LOG10(1.00991)</f>
        <v>4.2826725500162482E-3</v>
      </c>
      <c r="D11010">
        <f>LOG10(3.291846)</f>
        <v>0.51743950973749253</v>
      </c>
    </row>
    <row r="11011" spans="1:4">
      <c r="A11011">
        <v>1.0105040000000001</v>
      </c>
      <c r="B11011">
        <v>3.2155960000000001</v>
      </c>
      <c r="C11011">
        <f>LOG10(1.010504)</f>
        <v>4.538036975013442E-3</v>
      </c>
      <c r="D11011">
        <f>LOG10(3.215596)</f>
        <v>0.50726147975548563</v>
      </c>
    </row>
    <row r="11012" spans="1:4">
      <c r="A11012">
        <v>1.006203</v>
      </c>
      <c r="B11012">
        <v>3.1486939999999999</v>
      </c>
      <c r="C11012">
        <f>LOG10(1.006203)</f>
        <v>2.6856078431416221E-3</v>
      </c>
      <c r="D11012">
        <f>LOG10(3.148694)</f>
        <v>0.49813045658167332</v>
      </c>
    </row>
    <row r="11013" spans="1:4">
      <c r="A11013">
        <v>1.0131669999999999</v>
      </c>
      <c r="B11013">
        <v>3.142258</v>
      </c>
      <c r="C11013">
        <f>LOG10(1.013167)</f>
        <v>5.6810358843014455E-3</v>
      </c>
      <c r="D11013">
        <f>LOG10(3.142258)</f>
        <v>0.49724184059455545</v>
      </c>
    </row>
    <row r="11014" spans="1:4">
      <c r="A11014">
        <v>1.0039769999999999</v>
      </c>
      <c r="B11014">
        <v>2.8394979999999999</v>
      </c>
      <c r="C11014">
        <f>LOG10(1.003977)</f>
        <v>1.7237637178662626E-3</v>
      </c>
      <c r="D11014">
        <f>LOG10(2.839498)</f>
        <v>0.45324156712433106</v>
      </c>
    </row>
    <row r="11015" spans="1:4">
      <c r="A11015">
        <v>1.0063759999999999</v>
      </c>
      <c r="B11015">
        <v>3.3750270000000002</v>
      </c>
      <c r="C11015">
        <f>LOG10(1.006376)</f>
        <v>2.7602711935535125E-3</v>
      </c>
      <c r="D11015">
        <f>LOG10(3.375027)</f>
        <v>0.52827725150900162</v>
      </c>
    </row>
    <row r="11016" spans="1:4">
      <c r="A11016">
        <v>1.0053780000000001</v>
      </c>
      <c r="B11016">
        <v>3.4835739999999999</v>
      </c>
      <c r="C11016">
        <f>LOG10(1.005378)</f>
        <v>2.3293776265520543E-3</v>
      </c>
      <c r="D11016">
        <f>LOG10(3.483574)</f>
        <v>0.54202504049146194</v>
      </c>
    </row>
    <row r="11017" spans="1:4">
      <c r="A11017">
        <v>1.0146269999999999</v>
      </c>
      <c r="B11017">
        <v>3.3739430000000001</v>
      </c>
      <c r="C11017">
        <f>LOG10(1.014627)</f>
        <v>6.3064150432735324E-3</v>
      </c>
      <c r="D11017">
        <f>LOG10(3.373943)</f>
        <v>0.52813774126597746</v>
      </c>
    </row>
    <row r="11018" spans="1:4">
      <c r="A11018">
        <v>1.01325</v>
      </c>
      <c r="B11018">
        <v>3.3391660000000001</v>
      </c>
      <c r="C11018">
        <f>LOG10(1.01325)</f>
        <v>5.7166124137306316E-3</v>
      </c>
      <c r="D11018">
        <f>LOG10(3.339166)</f>
        <v>0.52363800967790741</v>
      </c>
    </row>
    <row r="11019" spans="1:4">
      <c r="A11019">
        <v>1.0060899999999999</v>
      </c>
      <c r="B11019">
        <v>3.387667</v>
      </c>
      <c r="C11019">
        <f>LOG10(1.00609)</f>
        <v>2.6368323651106747E-3</v>
      </c>
      <c r="D11019">
        <f>LOG10(3.387667)</f>
        <v>0.52990071359191804</v>
      </c>
    </row>
    <row r="11020" spans="1:4">
      <c r="A11020">
        <v>1.0068280000000001</v>
      </c>
      <c r="B11020">
        <v>3.461176</v>
      </c>
      <c r="C11020">
        <f>LOG10(1.006828)</f>
        <v>2.9552848226926534E-3</v>
      </c>
      <c r="D11020">
        <f>LOG10(3.461176)</f>
        <v>0.5392236836296983</v>
      </c>
    </row>
    <row r="11021" spans="1:4">
      <c r="A11021">
        <v>1.009088</v>
      </c>
      <c r="B11021">
        <v>3.5115270000000001</v>
      </c>
      <c r="C11021">
        <f>LOG10(1.009088)</f>
        <v>3.9290416064996607E-3</v>
      </c>
      <c r="D11021">
        <f>LOG10(3.511527)</f>
        <v>0.5454960120392004</v>
      </c>
    </row>
    <row r="11022" spans="1:4">
      <c r="A11022">
        <v>1.0064010000000001</v>
      </c>
      <c r="B11022">
        <v>3.3486910000000001</v>
      </c>
      <c r="C11022">
        <f>LOG10(1.006401)</f>
        <v>2.7710596336521531E-3</v>
      </c>
      <c r="D11022">
        <f>LOG10(3.348691)</f>
        <v>0.52487507492528873</v>
      </c>
    </row>
    <row r="11023" spans="1:4">
      <c r="A11023">
        <v>1.0095829999999999</v>
      </c>
      <c r="B11023">
        <v>3.259163</v>
      </c>
      <c r="C11023">
        <f>LOG10(1.009583)</f>
        <v>4.1420290352097225E-3</v>
      </c>
      <c r="D11023">
        <f>LOG10(3.259163)</f>
        <v>0.51310608130905833</v>
      </c>
    </row>
    <row r="11024" spans="1:4">
      <c r="A11024">
        <v>1.004427</v>
      </c>
      <c r="B11024">
        <v>3.418399</v>
      </c>
      <c r="C11024">
        <f>LOG10(1.004427)</f>
        <v>1.918378466818039E-3</v>
      </c>
      <c r="D11024">
        <f>LOG10(3.418399)</f>
        <v>0.53382275276299407</v>
      </c>
    </row>
    <row r="11025" spans="1:4">
      <c r="A11025">
        <v>1.00406</v>
      </c>
      <c r="B11025">
        <v>3.4569709999999998</v>
      </c>
      <c r="C11025">
        <f>LOG10(1.00406)</f>
        <v>1.7596658870180483E-3</v>
      </c>
      <c r="D11025">
        <f>LOG10(3.456971)</f>
        <v>0.53869573632782708</v>
      </c>
    </row>
    <row r="11026" spans="1:4">
      <c r="A11026">
        <v>1.008624</v>
      </c>
      <c r="B11026">
        <v>3.340916</v>
      </c>
      <c r="C11026">
        <f>LOG10(1.008624)</f>
        <v>3.7292978936651947E-3</v>
      </c>
      <c r="D11026">
        <f>LOG10(3.340916)</f>
        <v>0.52386555639386612</v>
      </c>
    </row>
    <row r="11027" spans="1:4">
      <c r="A11027">
        <v>1.00664</v>
      </c>
      <c r="B11027">
        <v>3.32578</v>
      </c>
      <c r="C11027">
        <f>LOG10(1.00664)</f>
        <v>2.8741835955213083E-3</v>
      </c>
      <c r="D11027">
        <f>LOG10(3.32578)</f>
        <v>0.52189351729898814</v>
      </c>
    </row>
    <row r="11028" spans="1:4">
      <c r="A11028">
        <v>1.0024040000000001</v>
      </c>
      <c r="B11028">
        <v>3.3889119999999999</v>
      </c>
      <c r="C11028">
        <f>LOG10(1.002404)</f>
        <v>1.0427910013186621E-3</v>
      </c>
      <c r="D11028">
        <f>LOG10(3.388912)</f>
        <v>0.5300602916433369</v>
      </c>
    </row>
    <row r="11029" spans="1:4">
      <c r="A11029">
        <v>1.0037309999999999</v>
      </c>
      <c r="B11029">
        <v>3.4500980000000001</v>
      </c>
      <c r="C11029">
        <f>LOG10(1.003731)</f>
        <v>1.6173374416519591E-3</v>
      </c>
      <c r="D11029">
        <f>LOG10(3.450098)</f>
        <v>0.53783143137899891</v>
      </c>
    </row>
    <row r="11030" spans="1:4">
      <c r="A11030">
        <v>1.0097849999999999</v>
      </c>
      <c r="B11030">
        <v>3.3818519999999999</v>
      </c>
      <c r="C11030">
        <f>LOG10(1.009785)</f>
        <v>4.2289151160400419E-3</v>
      </c>
      <c r="D11030">
        <f>LOG10(3.381852)</f>
        <v>0.52915459764677686</v>
      </c>
    </row>
    <row r="11031" spans="1:4">
      <c r="A11031">
        <v>1.004283</v>
      </c>
      <c r="B11031">
        <v>3.3314219999999999</v>
      </c>
      <c r="C11031">
        <f>LOG10(1.004283)</f>
        <v>1.8561112351109577E-3</v>
      </c>
      <c r="D11031">
        <f>LOG10(3.331422)</f>
        <v>0.5226296494017989</v>
      </c>
    </row>
    <row r="11032" spans="1:4">
      <c r="A11032">
        <v>1.0037</v>
      </c>
      <c r="B11032">
        <v>3.7078449999999998</v>
      </c>
      <c r="C11032">
        <f>LOG10(1.0037)</f>
        <v>1.603924149797819E-3</v>
      </c>
      <c r="D11032">
        <f>LOG10(3.707845)</f>
        <v>0.56912157092777715</v>
      </c>
    </row>
    <row r="11033" spans="1:4">
      <c r="A11033">
        <v>1.007366</v>
      </c>
      <c r="B11033">
        <v>3.6834479999999998</v>
      </c>
      <c r="C11033">
        <f>LOG10(1.007366)</f>
        <v>3.1872887277986112E-3</v>
      </c>
      <c r="D11033">
        <f>LOG10(3.683448)</f>
        <v>0.56625454320883017</v>
      </c>
    </row>
    <row r="11034" spans="1:4">
      <c r="A11034">
        <v>1.0233380000000001</v>
      </c>
      <c r="B11034">
        <v>3.6609419999999999</v>
      </c>
      <c r="C11034">
        <f>LOG10(1.023338)</f>
        <v>1.0019101249016987E-2</v>
      </c>
      <c r="D11034">
        <f>LOG10(3.660942)</f>
        <v>0.56359284844463309</v>
      </c>
    </row>
    <row r="11035" spans="1:4">
      <c r="A11035">
        <v>1.0293300000000001</v>
      </c>
      <c r="B11035">
        <v>3.535161</v>
      </c>
      <c r="C11035">
        <f>LOG10(1.02933)</f>
        <v>1.2554630547711325E-2</v>
      </c>
      <c r="D11035">
        <f>LOG10(3.535161)</f>
        <v>0.54840919743118266</v>
      </c>
    </row>
    <row r="11036" spans="1:4">
      <c r="A11036">
        <v>1.0046120000000001</v>
      </c>
      <c r="B11036">
        <v>3.258019</v>
      </c>
      <c r="C11036">
        <f>LOG10(1.004612)</f>
        <v>1.9983614630458249E-3</v>
      </c>
      <c r="D11036">
        <f>LOG10(3.258019)</f>
        <v>0.51295361268307849</v>
      </c>
    </row>
    <row r="11037" spans="1:4">
      <c r="A11037">
        <v>1.0091859999999999</v>
      </c>
      <c r="B11037">
        <v>3.3998149999999998</v>
      </c>
      <c r="C11037">
        <f>LOG10(1.009186)</f>
        <v>3.971217108200557E-3</v>
      </c>
      <c r="D11037">
        <f>LOG10(3.399815)</f>
        <v>0.53145528567017453</v>
      </c>
    </row>
    <row r="11038" spans="1:4">
      <c r="A11038">
        <v>1.021638</v>
      </c>
      <c r="B11038">
        <v>3.4694769999999999</v>
      </c>
      <c r="C11038">
        <f>LOG10(1.021638)</f>
        <v>9.2970382132573116E-3</v>
      </c>
      <c r="D11038">
        <f>LOG10(3.469477)</f>
        <v>0.540264012792955</v>
      </c>
    </row>
    <row r="11039" spans="1:4">
      <c r="A11039">
        <v>1.0162040000000001</v>
      </c>
      <c r="B11039">
        <v>3.380817</v>
      </c>
      <c r="C11039">
        <f>LOG10(1.016204)</f>
        <v>6.9809000551946986E-3</v>
      </c>
      <c r="D11039">
        <f>LOG10(3.380817)</f>
        <v>0.52902166350722957</v>
      </c>
    </row>
    <row r="11040" spans="1:4">
      <c r="A11040">
        <v>1.0202020000000001</v>
      </c>
      <c r="B11040">
        <v>3.654382</v>
      </c>
      <c r="C11040">
        <f>LOG10(1.020202)</f>
        <v>8.6861705852018661E-3</v>
      </c>
      <c r="D11040">
        <f>LOG10(3.654382)</f>
        <v>0.5628139430769532</v>
      </c>
    </row>
    <row r="11041" spans="1:4">
      <c r="A11041">
        <v>1.0324089999999999</v>
      </c>
      <c r="B11041">
        <v>3.5512899999999998</v>
      </c>
      <c r="C11041">
        <f>LOG10(1.032409)</f>
        <v>1.3851781839770297E-2</v>
      </c>
      <c r="D11041">
        <f>LOG10(3.55129)</f>
        <v>0.55038613843995166</v>
      </c>
    </row>
    <row r="11042" spans="1:4">
      <c r="A11042">
        <v>1.041223</v>
      </c>
      <c r="B11042">
        <v>3.64933</v>
      </c>
      <c r="C11042">
        <f>LOG10(1.041223)</f>
        <v>1.7543752851297164E-2</v>
      </c>
      <c r="D11042">
        <f>LOG10(3.64933)</f>
        <v>0.5622131373298227</v>
      </c>
    </row>
    <row r="11043" spans="1:4">
      <c r="A11043">
        <v>1.009671</v>
      </c>
      <c r="B11043">
        <v>3.4595899999999999</v>
      </c>
      <c r="C11043">
        <f>LOG10(1.009671)</f>
        <v>4.179882534008506E-3</v>
      </c>
      <c r="D11043">
        <f>LOG10(3.45959)</f>
        <v>0.53902463310252946</v>
      </c>
    </row>
    <row r="11044" spans="1:4">
      <c r="A11044">
        <v>1.002461</v>
      </c>
      <c r="B11044">
        <v>3.3288890000000002</v>
      </c>
      <c r="C11044">
        <f>LOG10(1.002461)</f>
        <v>1.0674857168981589E-3</v>
      </c>
      <c r="D11044">
        <f>LOG10(3.328889)</f>
        <v>0.52229931408391428</v>
      </c>
    </row>
    <row r="11045" spans="1:4">
      <c r="A11045">
        <v>1.004923</v>
      </c>
      <c r="B11045">
        <v>3.453891</v>
      </c>
      <c r="C11045">
        <f>LOG10(1.004923)</f>
        <v>2.1327861781667095E-3</v>
      </c>
      <c r="D11045">
        <f>LOG10(3.453891)</f>
        <v>0.53830862771740351</v>
      </c>
    </row>
    <row r="11046" spans="1:4">
      <c r="A11046">
        <v>1.006327</v>
      </c>
      <c r="B11046">
        <v>3.3355380000000001</v>
      </c>
      <c r="C11046">
        <f>LOG10(1.006327)</f>
        <v>2.7391250735174727E-3</v>
      </c>
      <c r="D11046">
        <f>LOG10(3.335538)</f>
        <v>0.52316589270148051</v>
      </c>
    </row>
    <row r="11047" spans="1:4">
      <c r="A11047">
        <v>1.0027429999999999</v>
      </c>
      <c r="B11047">
        <v>3.2803369999999998</v>
      </c>
      <c r="C11047">
        <f>LOG10(1.002743)</f>
        <v>1.189638918970446E-3</v>
      </c>
      <c r="D11047">
        <f>LOG10(3.280337)</f>
        <v>0.51591846252944107</v>
      </c>
    </row>
    <row r="11048" spans="1:4">
      <c r="A11048">
        <v>1.009139</v>
      </c>
      <c r="B11048">
        <v>3.2697449999999999</v>
      </c>
      <c r="C11048">
        <f>LOG10(1.009139)</f>
        <v>3.9509905929930433E-3</v>
      </c>
      <c r="D11048">
        <f>LOG10(3.269745)</f>
        <v>0.51451388433883272</v>
      </c>
    </row>
    <row r="11049" spans="1:4">
      <c r="A11049">
        <v>1.0056849999999999</v>
      </c>
      <c r="B11049">
        <v>3.3464480000000001</v>
      </c>
      <c r="C11049">
        <f>LOG10(1.005685)</f>
        <v>2.4619725845219536E-3</v>
      </c>
      <c r="D11049">
        <f>LOG10(3.346448)</f>
        <v>0.5245840809491058</v>
      </c>
    </row>
    <row r="11050" spans="1:4">
      <c r="A11050">
        <v>1.007285</v>
      </c>
      <c r="B11050">
        <v>3.322498</v>
      </c>
      <c r="C11050">
        <f>LOG10(1.007285)</f>
        <v>3.152366696088784E-3</v>
      </c>
      <c r="D11050">
        <f>LOG10(3.322498)</f>
        <v>0.5214647281883662</v>
      </c>
    </row>
    <row r="11051" spans="1:4">
      <c r="A11051">
        <v>1.0067159999999999</v>
      </c>
      <c r="B11051">
        <v>3.2298010000000001</v>
      </c>
      <c r="C11051">
        <f>LOG10(1.006716)</f>
        <v>2.9069710217293995E-3</v>
      </c>
      <c r="D11051">
        <f>LOG10(3.229801)</f>
        <v>0.50917576466413261</v>
      </c>
    </row>
    <row r="11052" spans="1:4">
      <c r="A11052">
        <v>1.0084660000000001</v>
      </c>
      <c r="B11052">
        <v>3.2692570000000001</v>
      </c>
      <c r="C11052">
        <f>LOG10(1.008466)</f>
        <v>3.6612607428380102E-3</v>
      </c>
      <c r="D11052">
        <f>LOG10(3.269257)</f>
        <v>0.51444906230404452</v>
      </c>
    </row>
    <row r="11053" spans="1:4">
      <c r="A11053">
        <v>1.0067250000000001</v>
      </c>
      <c r="B11053">
        <v>3.129975</v>
      </c>
      <c r="C11053">
        <f>LOG10(1.006725)</f>
        <v>2.9108535793382091E-3</v>
      </c>
      <c r="D11053">
        <f>LOG10(3.129975)</f>
        <v>0.49554086872682934</v>
      </c>
    </row>
    <row r="11054" spans="1:4">
      <c r="A11054">
        <v>1.009374</v>
      </c>
      <c r="B11054">
        <v>3.3025370000000001</v>
      </c>
      <c r="C11054">
        <f>LOG10(1.009374)</f>
        <v>4.0521137501967541E-3</v>
      </c>
      <c r="D11054">
        <f>LOG10(3.302537)</f>
        <v>0.5188476919355629</v>
      </c>
    </row>
    <row r="11055" spans="1:4">
      <c r="A11055">
        <v>1.1263890000000001</v>
      </c>
      <c r="B11055">
        <v>3.3031109999999999</v>
      </c>
      <c r="C11055">
        <f>LOG10(1.126389)</f>
        <v>5.1688400620278283E-2</v>
      </c>
      <c r="D11055">
        <f>LOG10(3.303111)</f>
        <v>0.51892316826528551</v>
      </c>
    </row>
    <row r="11056" spans="1:4">
      <c r="A11056">
        <v>1.003846</v>
      </c>
      <c r="B11056">
        <v>3.2504179999999998</v>
      </c>
      <c r="C11056">
        <f>LOG10(1.003846)</f>
        <v>1.6670928089166164E-3</v>
      </c>
      <c r="D11056">
        <f>LOG10(3.250418)</f>
        <v>0.51193921433897693</v>
      </c>
    </row>
    <row r="11057" spans="1:4">
      <c r="A11057">
        <v>1.0078860000000001</v>
      </c>
      <c r="B11057">
        <v>3.3741989999999999</v>
      </c>
      <c r="C11057">
        <f>LOG10(1.007886)</f>
        <v>3.4114126940338633E-3</v>
      </c>
      <c r="D11057">
        <f>LOG10(3.374199)</f>
        <v>0.52817069237679293</v>
      </c>
    </row>
    <row r="11058" spans="1:4">
      <c r="A11058">
        <v>1.0007980000000001</v>
      </c>
      <c r="B11058">
        <v>3.2985530000000001</v>
      </c>
      <c r="C11058">
        <f>LOG10(1.000798)</f>
        <v>3.4642878984828375E-4</v>
      </c>
      <c r="D11058">
        <f>LOG10(3.298553)</f>
        <v>0.51832346656490891</v>
      </c>
    </row>
    <row r="11059" spans="1:4">
      <c r="A11059">
        <v>1.001984</v>
      </c>
      <c r="B11059">
        <v>3.1940249999999999</v>
      </c>
      <c r="C11059">
        <f>LOG10(1.001984)</f>
        <v>8.607866338319175E-4</v>
      </c>
      <c r="D11059">
        <f>LOG10(3.194025)</f>
        <v>0.50433831108848681</v>
      </c>
    </row>
    <row r="11060" spans="1:4">
      <c r="A11060">
        <v>1.00556</v>
      </c>
      <c r="B11060">
        <v>3.1680100000000002</v>
      </c>
      <c r="C11060">
        <f>LOG10(1.00556)</f>
        <v>2.4079892952580655E-3</v>
      </c>
      <c r="D11060">
        <f>LOG10(3.16801)</f>
        <v>0.50078654379433873</v>
      </c>
    </row>
    <row r="11061" spans="1:4">
      <c r="A11061">
        <v>1.007115</v>
      </c>
      <c r="B11061">
        <v>3.1821619999999999</v>
      </c>
      <c r="C11061">
        <f>LOG10(1.007115)</f>
        <v>3.0790644104465793E-3</v>
      </c>
      <c r="D11061">
        <f>LOG10(3.182162)</f>
        <v>0.50272228527761997</v>
      </c>
    </row>
    <row r="11062" spans="1:4">
      <c r="A11062">
        <v>1.003061</v>
      </c>
      <c r="B11062">
        <v>3.248764</v>
      </c>
      <c r="C11062">
        <f>LOG10(1.003061)</f>
        <v>1.3273449424925272E-3</v>
      </c>
      <c r="D11062">
        <f>LOG10(3.248764)</f>
        <v>0.51171816403185344</v>
      </c>
    </row>
    <row r="11063" spans="1:4">
      <c r="A11063">
        <v>1.0185740000000001</v>
      </c>
      <c r="B11063">
        <v>3.2557149999999999</v>
      </c>
      <c r="C11063">
        <f>LOG10(1.018574)</f>
        <v>7.9925862318313071E-3</v>
      </c>
      <c r="D11063">
        <f>LOG10(3.255715)</f>
        <v>0.51264638044791655</v>
      </c>
    </row>
    <row r="11064" spans="1:4">
      <c r="A11064">
        <v>1.0028509999999999</v>
      </c>
      <c r="B11064">
        <v>3.3187579999999999</v>
      </c>
      <c r="C11064">
        <f>LOG10(1.002851)</f>
        <v>1.2364118990360888E-3</v>
      </c>
      <c r="D11064">
        <f>LOG10(3.318758)</f>
        <v>0.52097558531116916</v>
      </c>
    </row>
    <row r="11065" spans="1:4">
      <c r="A11065">
        <v>1.0067839999999999</v>
      </c>
      <c r="B11065">
        <v>3.369529</v>
      </c>
      <c r="C11065">
        <f>LOG10(1.006784)</f>
        <v>2.936305041874053E-3</v>
      </c>
      <c r="D11065">
        <f>LOG10(3.369529)</f>
        <v>0.52756919849842521</v>
      </c>
    </row>
    <row r="11066" spans="1:4">
      <c r="A11066">
        <v>1.020688</v>
      </c>
      <c r="B11066">
        <v>3.3618990000000002</v>
      </c>
      <c r="C11066">
        <f>LOG10(1.020688)</f>
        <v>8.8930088980894838E-3</v>
      </c>
      <c r="D11066">
        <f>LOG10(3.361899)</f>
        <v>0.52658466198817711</v>
      </c>
    </row>
    <row r="11067" spans="1:4">
      <c r="A11067">
        <v>1.014678</v>
      </c>
      <c r="B11067">
        <v>3.3802249999999998</v>
      </c>
      <c r="C11067">
        <f>LOG10(1.014678)</f>
        <v>6.3282442099899588E-3</v>
      </c>
      <c r="D11067">
        <f>LOG10(3.380225)</f>
        <v>0.52894560945108138</v>
      </c>
    </row>
    <row r="11068" spans="1:4">
      <c r="A11068">
        <v>1.017309</v>
      </c>
      <c r="B11068">
        <v>3.533738</v>
      </c>
      <c r="C11068">
        <f>LOG10(1.017309)</f>
        <v>7.4528866613655957E-3</v>
      </c>
      <c r="D11068">
        <f>LOG10(3.533738)</f>
        <v>0.54823434670659432</v>
      </c>
    </row>
    <row r="11069" spans="1:4">
      <c r="A11069">
        <v>1.0114559999999999</v>
      </c>
      <c r="B11069">
        <v>3.4961790000000001</v>
      </c>
      <c r="C11069">
        <f>LOG10(1.011456)</f>
        <v>4.9469949932957683E-3</v>
      </c>
      <c r="D11069">
        <f>LOG10(3.496179)</f>
        <v>0.54359365986687469</v>
      </c>
    </row>
    <row r="11070" spans="1:4">
      <c r="A11070">
        <v>1.0076670000000001</v>
      </c>
      <c r="B11070">
        <v>3.4077579999999998</v>
      </c>
      <c r="C11070">
        <f>LOG10(1.007667)</f>
        <v>3.3170361215387836E-3</v>
      </c>
      <c r="D11070">
        <f>LOG10(3.407758)</f>
        <v>0.53246874601358429</v>
      </c>
    </row>
    <row r="11071" spans="1:4">
      <c r="A11071">
        <v>1.0087140000000001</v>
      </c>
      <c r="B11071">
        <v>3.5035080000000001</v>
      </c>
      <c r="C11071">
        <f>LOG10(1.008714)</f>
        <v>3.7680484683307071E-3</v>
      </c>
      <c r="D11071">
        <f>LOG10(3.503508)</f>
        <v>0.54450311350988212</v>
      </c>
    </row>
    <row r="11072" spans="1:4">
      <c r="A11072">
        <v>1.0091639999999999</v>
      </c>
      <c r="B11072">
        <v>3.5027789999999999</v>
      </c>
      <c r="C11072">
        <f>LOG10(1.009164)</f>
        <v>3.9617494949498967E-3</v>
      </c>
      <c r="D11072">
        <f>LOG10(3.502779)</f>
        <v>0.54441273734389006</v>
      </c>
    </row>
    <row r="11073" spans="1:4">
      <c r="A11073">
        <v>1.012832</v>
      </c>
      <c r="B11073">
        <v>3.4084530000000002</v>
      </c>
      <c r="C11073">
        <f>LOG10(1.012832)</f>
        <v>5.5374142410888833E-3</v>
      </c>
      <c r="D11073">
        <f>LOG10(3.408453)</f>
        <v>0.53255730978192095</v>
      </c>
    </row>
    <row r="11074" spans="1:4">
      <c r="A11074">
        <v>1.0162949999999999</v>
      </c>
      <c r="B11074">
        <v>3.4758209999999998</v>
      </c>
      <c r="C11074">
        <f>LOG10(1.016295)</f>
        <v>7.0197889283302173E-3</v>
      </c>
      <c r="D11074">
        <f>LOG10(3.475821)</f>
        <v>0.54105740278412462</v>
      </c>
    </row>
    <row r="11075" spans="1:4">
      <c r="A11075">
        <v>1.0172300000000001</v>
      </c>
      <c r="B11075">
        <v>3.4745460000000001</v>
      </c>
      <c r="C11075">
        <f>LOG10(1.01723)</f>
        <v>7.4191598425751241E-3</v>
      </c>
      <c r="D11075">
        <f>LOG10(3.474546)</f>
        <v>0.54089806573886134</v>
      </c>
    </row>
    <row r="11076" spans="1:4">
      <c r="A11076">
        <v>1.0080469999999999</v>
      </c>
      <c r="B11076">
        <v>3.457408</v>
      </c>
      <c r="C11076">
        <f>LOG10(1.008047)</f>
        <v>3.4807814793407351E-3</v>
      </c>
      <c r="D11076">
        <f>LOG10(3.457408)</f>
        <v>0.5387506325632937</v>
      </c>
    </row>
    <row r="11077" spans="1:4">
      <c r="A11077">
        <v>1.0125379999999999</v>
      </c>
      <c r="B11077">
        <v>3.5092319999999999</v>
      </c>
      <c r="C11077">
        <f>LOG10(1.012538)</f>
        <v>5.4113310280696674E-3</v>
      </c>
      <c r="D11077">
        <f>LOG10(3.509232)</f>
        <v>0.54521208095098916</v>
      </c>
    </row>
    <row r="11078" spans="1:4">
      <c r="A11078">
        <v>1.0174430000000001</v>
      </c>
      <c r="B11078">
        <v>3.4146770000000002</v>
      </c>
      <c r="C11078">
        <f>LOG10(1.017443)</f>
        <v>7.5100881882929071E-3</v>
      </c>
      <c r="D11078">
        <f>LOG10(3.414677)</f>
        <v>0.53334962932004948</v>
      </c>
    </row>
    <row r="11079" spans="1:4">
      <c r="A11079">
        <v>1.013137</v>
      </c>
      <c r="B11079">
        <v>3.4525399999999999</v>
      </c>
      <c r="C11079">
        <f>LOG10(1.013137)</f>
        <v>5.6681761806656253E-3</v>
      </c>
      <c r="D11079">
        <f>LOG10(3.45254)</f>
        <v>0.53813871887373732</v>
      </c>
    </row>
    <row r="11080" spans="1:4">
      <c r="A11080">
        <v>1.0107459999999999</v>
      </c>
      <c r="B11080">
        <v>3.39819</v>
      </c>
      <c r="C11080">
        <f>LOG10(1.010746)</f>
        <v>4.6420313004286199E-3</v>
      </c>
      <c r="D11080">
        <f>LOG10(3.39819)</f>
        <v>0.53124765753617509</v>
      </c>
    </row>
    <row r="11081" spans="1:4">
      <c r="A11081">
        <v>1.0103960000000001</v>
      </c>
      <c r="B11081">
        <v>3.4704489999999999</v>
      </c>
      <c r="C11081">
        <f>LOG10(1.010396)</f>
        <v>4.4916182466347961E-3</v>
      </c>
      <c r="D11081">
        <f>LOG10(3.470449)</f>
        <v>0.54038566660862108</v>
      </c>
    </row>
    <row r="11082" spans="1:4">
      <c r="A11082">
        <v>1.0081070000000001</v>
      </c>
      <c r="B11082">
        <v>3.616301</v>
      </c>
      <c r="C11082">
        <f>LOG10(1.008107)</f>
        <v>3.5066303667986988E-3</v>
      </c>
      <c r="D11082">
        <f>LOG10(3.616301)</f>
        <v>0.55826457147108111</v>
      </c>
    </row>
    <row r="11083" spans="1:4">
      <c r="A11083">
        <v>1.00902</v>
      </c>
      <c r="B11083">
        <v>3.5775359999999998</v>
      </c>
      <c r="C11083">
        <f>LOG10(1.00902)</f>
        <v>3.8997745655082179E-3</v>
      </c>
      <c r="D11083">
        <f>LOG10(3.577536)</f>
        <v>0.55358401266876278</v>
      </c>
    </row>
    <row r="11084" spans="1:4">
      <c r="A11084">
        <v>1.0080979999999999</v>
      </c>
      <c r="B11084">
        <v>3.3575020000000002</v>
      </c>
      <c r="C11084">
        <f>LOG10(1.008098)</f>
        <v>3.5027531317583936E-3</v>
      </c>
      <c r="D11084">
        <f>LOG10(3.357502)</f>
        <v>0.52601628004178203</v>
      </c>
    </row>
    <row r="11085" spans="1:4">
      <c r="A11085">
        <v>1.0159579999999999</v>
      </c>
      <c r="B11085">
        <v>3.3244349999999998</v>
      </c>
      <c r="C11085">
        <f>LOG10(1.015958)</f>
        <v>6.8757544584655593E-3</v>
      </c>
      <c r="D11085">
        <f>LOG10(3.324435)</f>
        <v>0.52171784596020454</v>
      </c>
    </row>
    <row r="11086" spans="1:4">
      <c r="A11086">
        <v>1.01362</v>
      </c>
      <c r="B11086">
        <v>3.2948219999999999</v>
      </c>
      <c r="C11086">
        <f>LOG10(1.01362)</f>
        <v>5.875171137367673E-3</v>
      </c>
      <c r="D11086">
        <f>LOG10(3.294822)</f>
        <v>0.51783195716799701</v>
      </c>
    </row>
    <row r="11087" spans="1:4">
      <c r="A11087">
        <v>1.019701</v>
      </c>
      <c r="B11087">
        <v>3.3331569999999999</v>
      </c>
      <c r="C11087">
        <f>LOG10(1.019701)</f>
        <v>8.472845206683028E-3</v>
      </c>
      <c r="D11087">
        <f>LOG10(3.333157)</f>
        <v>0.52285577049455645</v>
      </c>
    </row>
    <row r="11088" spans="1:4">
      <c r="A11088">
        <v>1.019026</v>
      </c>
      <c r="B11088">
        <v>3.3770660000000001</v>
      </c>
      <c r="C11088">
        <f>LOG10(1.019026)</f>
        <v>8.1852649803983574E-3</v>
      </c>
      <c r="D11088">
        <f>LOG10(3.377066)</f>
        <v>0.52853954839250672</v>
      </c>
    </row>
    <row r="11089" spans="1:4">
      <c r="A11089">
        <v>1.018481</v>
      </c>
      <c r="B11089">
        <v>3.3386119999999999</v>
      </c>
      <c r="C11089">
        <f>LOG10(1.018481)</f>
        <v>7.952931547156504E-3</v>
      </c>
      <c r="D11089">
        <f>LOG10(3.338612)</f>
        <v>0.52356595003665363</v>
      </c>
    </row>
    <row r="11090" spans="1:4">
      <c r="A11090">
        <v>1.0048220000000001</v>
      </c>
      <c r="B11090">
        <v>3.4337499999999999</v>
      </c>
      <c r="C11090">
        <f>LOG10(1.004822)</f>
        <v>2.0891351252131109E-3</v>
      </c>
      <c r="D11090">
        <f>LOG10(3.43375)</f>
        <v>0.53576867242861836</v>
      </c>
    </row>
    <row r="11091" spans="1:4">
      <c r="A11091">
        <v>1.0085869999999999</v>
      </c>
      <c r="B11091">
        <v>3.5934219999999999</v>
      </c>
      <c r="C11091">
        <f>LOG10(1.008587)</f>
        <v>3.7133660988928575E-3</v>
      </c>
      <c r="D11091">
        <f>LOG10(3.593422)</f>
        <v>0.55550822235619046</v>
      </c>
    </row>
    <row r="11092" spans="1:4">
      <c r="A11092">
        <v>1.0128189999999999</v>
      </c>
      <c r="B11092">
        <v>3.4729320000000001</v>
      </c>
      <c r="C11092">
        <f>LOG10(1.012819)</f>
        <v>5.5318399064529199E-3</v>
      </c>
      <c r="D11092">
        <f>LOG10(3.472932)</f>
        <v>0.54069627990912517</v>
      </c>
    </row>
    <row r="11093" spans="1:4">
      <c r="A11093">
        <v>1.011104</v>
      </c>
      <c r="B11093">
        <v>3.4481739999999999</v>
      </c>
      <c r="C11093">
        <f>LOG10(1.011104)</f>
        <v>4.7958284922541786E-3</v>
      </c>
      <c r="D11093">
        <f>LOG10(3.448174)</f>
        <v>0.53758917285255958</v>
      </c>
    </row>
    <row r="11094" spans="1:4">
      <c r="A11094">
        <v>1.013126</v>
      </c>
      <c r="B11094">
        <v>3.4969769999999998</v>
      </c>
      <c r="C11094">
        <f>LOG10(1.013126)</f>
        <v>5.6634608605902201E-3</v>
      </c>
      <c r="D11094">
        <f>LOG10(3.496977)</f>
        <v>0.5436927759163559</v>
      </c>
    </row>
    <row r="11095" spans="1:4">
      <c r="A11095">
        <v>1.013331</v>
      </c>
      <c r="B11095">
        <v>3.4314499999999999</v>
      </c>
      <c r="C11095">
        <f>LOG10(1.013331)</f>
        <v>5.7513288677513638E-3</v>
      </c>
      <c r="D11095">
        <f>LOG10(3.43145)</f>
        <v>0.53547767512460709</v>
      </c>
    </row>
    <row r="11096" spans="1:4">
      <c r="A11096">
        <v>1.011425</v>
      </c>
      <c r="B11096">
        <v>3.5694569999999999</v>
      </c>
      <c r="C11096">
        <f>LOG10(1.011425)</f>
        <v>4.9336841470917579E-3</v>
      </c>
      <c r="D11096">
        <f>LOG10(3.569457)</f>
        <v>0.55260215453240413</v>
      </c>
    </row>
    <row r="11097" spans="1:4">
      <c r="A11097">
        <v>1.0137940000000001</v>
      </c>
      <c r="B11097">
        <v>3.4503430000000002</v>
      </c>
      <c r="C11097">
        <f>LOG10(1.013794)</f>
        <v>5.9497165829813983E-3</v>
      </c>
      <c r="D11097">
        <f>LOG10(3.450343)</f>
        <v>0.53786227061032077</v>
      </c>
    </row>
    <row r="11098" spans="1:4">
      <c r="A11098">
        <v>1.009978</v>
      </c>
      <c r="B11098">
        <v>3.4230830000000001</v>
      </c>
      <c r="C11098">
        <f>LOG10(1.009978)</f>
        <v>4.311913799808869E-3</v>
      </c>
      <c r="D11098">
        <f>LOG10(3.423083)</f>
        <v>0.53441742966810868</v>
      </c>
    </row>
    <row r="11099" spans="1:4">
      <c r="A11099">
        <v>1.0097529999999999</v>
      </c>
      <c r="B11099">
        <v>3.4477549999999999</v>
      </c>
      <c r="C11099">
        <f>LOG10(1.009753)</f>
        <v>4.2151521431006058E-3</v>
      </c>
      <c r="D11099">
        <f>LOG10(3.447755)</f>
        <v>0.53753639696459976</v>
      </c>
    </row>
    <row r="11100" spans="1:4">
      <c r="A11100">
        <v>1.00949</v>
      </c>
      <c r="B11100">
        <v>3.4320759999999999</v>
      </c>
      <c r="C11100">
        <f>LOG10(1.00949)</f>
        <v>4.1020211832444673E-3</v>
      </c>
      <c r="D11100">
        <f>LOG10(3.432076)</f>
        <v>0.53555689631395653</v>
      </c>
    </row>
    <row r="11101" spans="1:4">
      <c r="A11101">
        <v>1.0076959999999999</v>
      </c>
      <c r="B11101">
        <v>3.4663400000000002</v>
      </c>
      <c r="C11101">
        <f>LOG10(1.007696)</f>
        <v>3.3295346540373875E-3</v>
      </c>
      <c r="D11101">
        <f>LOG10(3.46634)</f>
        <v>0.53987115874774894</v>
      </c>
    </row>
    <row r="11102" spans="1:4">
      <c r="A11102">
        <v>1.012756</v>
      </c>
      <c r="B11102">
        <v>3.5202849999999999</v>
      </c>
      <c r="C11102">
        <f>LOG10(1.012756)</f>
        <v>5.5048248096347873E-3</v>
      </c>
      <c r="D11102">
        <f>LOG10(3.520285)</f>
        <v>0.54657782510224429</v>
      </c>
    </row>
    <row r="11103" spans="1:4">
      <c r="A11103">
        <v>1.016214</v>
      </c>
      <c r="B11103">
        <v>3.4779460000000002</v>
      </c>
      <c r="C11103">
        <f>LOG10(1.016214)</f>
        <v>6.9851737280503803E-3</v>
      </c>
      <c r="D11103">
        <f>LOG10(3.477946)</f>
        <v>0.54132283468679609</v>
      </c>
    </row>
    <row r="11104" spans="1:4">
      <c r="A11104">
        <v>1.020648</v>
      </c>
      <c r="B11104">
        <v>3.4434849999999999</v>
      </c>
      <c r="C11104">
        <f>LOG10(1.020648)</f>
        <v>8.8759888883719537E-3</v>
      </c>
      <c r="D11104">
        <f>LOG10(3.443485)</f>
        <v>0.53699819551607764</v>
      </c>
    </row>
    <row r="11105" spans="1:4">
      <c r="A11105">
        <v>1.0270619999999999</v>
      </c>
      <c r="B11105">
        <v>3.451511</v>
      </c>
      <c r="C11105">
        <f>LOG10(1.027062)</f>
        <v>1.1596661168009892E-2</v>
      </c>
      <c r="D11105">
        <f>LOG10(3.451511)</f>
        <v>0.53800926182737796</v>
      </c>
    </row>
    <row r="11106" spans="1:4">
      <c r="A11106">
        <v>1.041876</v>
      </c>
      <c r="B11106">
        <v>3.252643</v>
      </c>
      <c r="C11106">
        <f>LOG10(1.041876)</f>
        <v>1.781603401121527E-2</v>
      </c>
      <c r="D11106">
        <f>LOG10(3.252643)</f>
        <v>0.51223639908318941</v>
      </c>
    </row>
    <row r="11107" spans="1:4">
      <c r="A11107">
        <v>1.0431239999999999</v>
      </c>
      <c r="B11107">
        <v>3.2063109999999999</v>
      </c>
      <c r="C11107">
        <f>LOG10(1.043124)</f>
        <v>1.8335937683295472E-2</v>
      </c>
      <c r="D11107">
        <f>LOG10(3.206311)</f>
        <v>0.50600564497796241</v>
      </c>
    </row>
    <row r="11108" spans="1:4">
      <c r="A11108">
        <v>1.0323199999999999</v>
      </c>
      <c r="B11108">
        <v>3.0303879999999999</v>
      </c>
      <c r="C11108">
        <f>LOG10(1.03232)</f>
        <v>1.3814341372848652E-2</v>
      </c>
      <c r="D11108">
        <f>LOG10(3.030388)</f>
        <v>0.48149823756865806</v>
      </c>
    </row>
    <row r="11109" spans="1:4">
      <c r="A11109">
        <v>1.026861</v>
      </c>
      <c r="B11109">
        <v>3.0073620000000001</v>
      </c>
      <c r="C11109">
        <f>LOG10(1.026861)</f>
        <v>1.151165974279466E-2</v>
      </c>
      <c r="D11109">
        <f>LOG10(3.007362)</f>
        <v>0.47818570782782321</v>
      </c>
    </row>
    <row r="11110" spans="1:4">
      <c r="A11110">
        <v>1.0258890000000001</v>
      </c>
      <c r="B11110">
        <v>3.0604429999999998</v>
      </c>
      <c r="C11110">
        <f>LOG10(1.025889)</f>
        <v>1.1100373158496275E-2</v>
      </c>
      <c r="D11110">
        <f>LOG10(3.060443)</f>
        <v>0.48578429528235767</v>
      </c>
    </row>
    <row r="11111" spans="1:4">
      <c r="A11111">
        <v>1.021363</v>
      </c>
      <c r="B11111">
        <v>3.0141230000000001</v>
      </c>
      <c r="C11111">
        <f>LOG10(1.021363)</f>
        <v>9.1801210083761412E-3</v>
      </c>
      <c r="D11111">
        <f>LOG10(3.014123)</f>
        <v>0.47916097098170418</v>
      </c>
    </row>
    <row r="11112" spans="1:4">
      <c r="A11112">
        <v>1.023857</v>
      </c>
      <c r="B11112">
        <v>2.9545409999999999</v>
      </c>
      <c r="C11112">
        <f>LOG10(1.023857)</f>
        <v>1.0239303858867678E-2</v>
      </c>
      <c r="D11112">
        <f>LOG10(2.954541)</f>
        <v>0.4704900210377061</v>
      </c>
    </row>
    <row r="11113" spans="1:4">
      <c r="A11113">
        <v>1.02119</v>
      </c>
      <c r="B11113">
        <v>2.8785889999999998</v>
      </c>
      <c r="C11113">
        <f>LOG10(1.02119)</f>
        <v>9.1065533256291919E-3</v>
      </c>
      <c r="D11113">
        <f>LOG10(2.878589)</f>
        <v>0.45917966148313127</v>
      </c>
    </row>
    <row r="11114" spans="1:4">
      <c r="A11114">
        <v>1.020384</v>
      </c>
      <c r="B11114">
        <v>2.8645619999999998</v>
      </c>
      <c r="C11114">
        <f>LOG10(1.020384)</f>
        <v>8.7636400924080687E-3</v>
      </c>
      <c r="D11114">
        <f>LOG10(2.864562)</f>
        <v>0.45705822646920008</v>
      </c>
    </row>
    <row r="11115" spans="1:4">
      <c r="A11115">
        <v>1.0223180000000001</v>
      </c>
      <c r="B11115">
        <v>2.8834970000000002</v>
      </c>
      <c r="C11115">
        <f>LOG10(1.022318)</f>
        <v>9.5860075047584075E-3</v>
      </c>
      <c r="D11115">
        <f>LOG10(2.883497)</f>
        <v>0.45991950390570807</v>
      </c>
    </row>
    <row r="11116" spans="1:4">
      <c r="A11116">
        <v>1.021231</v>
      </c>
      <c r="B11116">
        <v>2.94685</v>
      </c>
      <c r="C11116">
        <f>LOG10(1.021231)</f>
        <v>9.1239895679713998E-3</v>
      </c>
      <c r="D11116">
        <f>LOG10(2.94685)</f>
        <v>0.46935803003715437</v>
      </c>
    </row>
    <row r="11117" spans="1:4">
      <c r="A11117">
        <v>1.018397</v>
      </c>
      <c r="B11117">
        <v>2.8576489999999999</v>
      </c>
      <c r="C11117">
        <f>LOG10(1.018397)</f>
        <v>7.9171113001897803E-3</v>
      </c>
      <c r="D11117">
        <f>LOG10(2.857649)</f>
        <v>0.45600888410345686</v>
      </c>
    </row>
    <row r="11118" spans="1:4">
      <c r="A11118">
        <v>1.012432</v>
      </c>
      <c r="B11118">
        <v>2.9335589999999998</v>
      </c>
      <c r="C11118">
        <f>LOG10(1.012432)</f>
        <v>5.3658634753417098E-3</v>
      </c>
      <c r="D11118">
        <f>LOG10(2.933559)</f>
        <v>0.46739482720950426</v>
      </c>
    </row>
    <row r="11119" spans="1:4">
      <c r="A11119">
        <v>1.025698</v>
      </c>
      <c r="B11119">
        <v>2.8974009999999999</v>
      </c>
      <c r="C11119">
        <f>LOG10(1.025698)</f>
        <v>1.1019508689884223E-2</v>
      </c>
      <c r="D11119">
        <f>LOG10(2.897401)</f>
        <v>0.46200860567506719</v>
      </c>
    </row>
    <row r="11120" spans="1:4">
      <c r="A11120">
        <v>1.0194700000000001</v>
      </c>
      <c r="B11120">
        <v>2.8289589999999998</v>
      </c>
      <c r="C11120">
        <f>LOG10(1.01947)</f>
        <v>8.3744502944871138E-3</v>
      </c>
      <c r="D11120">
        <f>LOG10(2.828959)</f>
        <v>0.45162665328845464</v>
      </c>
    </row>
    <row r="11121" spans="1:4">
      <c r="A11121">
        <v>1.024977</v>
      </c>
      <c r="B11121">
        <v>2.8583940000000001</v>
      </c>
      <c r="C11121">
        <f>LOG10(1.024977)</f>
        <v>1.0714120137963737E-2</v>
      </c>
      <c r="D11121">
        <f>LOG10(2.858394)</f>
        <v>0.45612209157612638</v>
      </c>
    </row>
    <row r="11122" spans="1:4">
      <c r="A11122">
        <v>1.025604</v>
      </c>
      <c r="B11122">
        <v>2.8420519999999998</v>
      </c>
      <c r="C11122">
        <f>LOG10(1.025604)</f>
        <v>1.0979705987671192E-2</v>
      </c>
      <c r="D11122">
        <f>LOG10(2.842052)</f>
        <v>0.45363201979358264</v>
      </c>
    </row>
    <row r="11123" spans="1:4">
      <c r="A11123">
        <v>1.024799</v>
      </c>
      <c r="B11123">
        <v>2.8040959999999999</v>
      </c>
      <c r="C11123">
        <f>LOG10(1.024799)</f>
        <v>1.0638692951799882E-2</v>
      </c>
      <c r="D11123">
        <f>LOG10(2.804096)</f>
        <v>0.44779287789539635</v>
      </c>
    </row>
    <row r="11124" spans="1:4">
      <c r="A11124">
        <v>1.0183629999999999</v>
      </c>
      <c r="B11124">
        <v>2.917011</v>
      </c>
      <c r="C11124">
        <f>LOG10(1.018363)</f>
        <v>7.9026117888225892E-3</v>
      </c>
      <c r="D11124">
        <f>LOG10(2.917011)</f>
        <v>0.46493806684209382</v>
      </c>
    </row>
    <row r="11125" spans="1:4">
      <c r="A11125">
        <v>1.023593</v>
      </c>
      <c r="B11125">
        <v>2.903467</v>
      </c>
      <c r="C11125">
        <f>LOG10(1.023593)</f>
        <v>1.0127307234913121E-2</v>
      </c>
      <c r="D11125">
        <f>LOG10(2.903467)</f>
        <v>0.46291689432686062</v>
      </c>
    </row>
    <row r="11126" spans="1:4">
      <c r="A11126">
        <v>1.0242370000000001</v>
      </c>
      <c r="B11126">
        <v>2.9466299999999999</v>
      </c>
      <c r="C11126">
        <f>LOG10(1.024237)</f>
        <v>1.0400460431775923E-2</v>
      </c>
      <c r="D11126">
        <f>LOG10(2.94663)</f>
        <v>0.46932560614293117</v>
      </c>
    </row>
    <row r="11127" spans="1:4">
      <c r="A11127">
        <v>1.0193939999999999</v>
      </c>
      <c r="B11127">
        <v>2.7903829999999998</v>
      </c>
      <c r="C11127">
        <f>LOG10(1.019394)</f>
        <v>8.3420730681100577E-3</v>
      </c>
      <c r="D11127">
        <f>LOG10(2.790383)</f>
        <v>0.44566381738496952</v>
      </c>
    </row>
    <row r="11128" spans="1:4">
      <c r="A11128">
        <v>1.0187930000000001</v>
      </c>
      <c r="B11128">
        <v>2.984064</v>
      </c>
      <c r="C11128">
        <f>LOG10(1.018793)</f>
        <v>8.0859523184549885E-3</v>
      </c>
      <c r="D11128">
        <f>LOG10(2.984064)</f>
        <v>0.47480813332770155</v>
      </c>
    </row>
    <row r="11129" spans="1:4">
      <c r="A11129">
        <v>1.028203</v>
      </c>
      <c r="B11129">
        <v>2.93425</v>
      </c>
      <c r="C11129">
        <f>LOG10(1.028203)</f>
        <v>1.2078866678987258E-2</v>
      </c>
      <c r="D11129">
        <f>LOG10(2.93425)</f>
        <v>0.46749711325473253</v>
      </c>
    </row>
    <row r="11130" spans="1:4">
      <c r="A11130">
        <v>1.0275030000000001</v>
      </c>
      <c r="B11130">
        <v>3.0382570000000002</v>
      </c>
      <c r="C11130">
        <f>LOG10(1.027503)</f>
        <v>1.1783098559341577E-2</v>
      </c>
      <c r="D11130">
        <f>LOG10(3.038257)</f>
        <v>0.48262450717032535</v>
      </c>
    </row>
    <row r="11131" spans="1:4">
      <c r="A11131">
        <v>1.014456</v>
      </c>
      <c r="B11131">
        <v>3.0410279999999998</v>
      </c>
      <c r="C11131">
        <f>LOG10(1.014456)</f>
        <v>6.2332151233281822E-3</v>
      </c>
      <c r="D11131">
        <f>LOG10(3.041028)</f>
        <v>0.48302041889109398</v>
      </c>
    </row>
    <row r="11132" spans="1:4">
      <c r="A11132">
        <v>1.0185660000000001</v>
      </c>
      <c r="B11132">
        <v>3.1176219999999999</v>
      </c>
      <c r="C11132">
        <f>LOG10(1.018566)</f>
        <v>7.9891752184937381E-3</v>
      </c>
      <c r="D11132">
        <f>LOG10(3.117622)</f>
        <v>0.49382345746415995</v>
      </c>
    </row>
    <row r="11133" spans="1:4">
      <c r="A11133">
        <v>1.023817</v>
      </c>
      <c r="B11133">
        <v>2.978396</v>
      </c>
      <c r="C11133">
        <f>LOG10(1.023817)</f>
        <v>1.0222336529812021E-2</v>
      </c>
      <c r="D11133">
        <f>LOG10(2.978396)</f>
        <v>0.47398243995117184</v>
      </c>
    </row>
    <row r="11134" spans="1:4">
      <c r="A11134">
        <v>1.009773</v>
      </c>
      <c r="B11134">
        <v>3.2214710000000002</v>
      </c>
      <c r="C11134">
        <f>LOG10(1.009773)</f>
        <v>4.223754052299503E-3</v>
      </c>
      <c r="D11134">
        <f>LOG10(3.221471)</f>
        <v>0.50805422613815787</v>
      </c>
    </row>
    <row r="11135" spans="1:4">
      <c r="A11135">
        <v>1.0143530000000001</v>
      </c>
      <c r="B11135">
        <v>3.2291569999999998</v>
      </c>
      <c r="C11135">
        <f>LOG10(1.014353)</f>
        <v>6.189117988827644E-3</v>
      </c>
      <c r="D11135">
        <f>LOG10(3.229157)</f>
        <v>0.50908916071121246</v>
      </c>
    </row>
    <row r="11136" spans="1:4">
      <c r="A11136">
        <v>1.023188</v>
      </c>
      <c r="B11136">
        <v>3.4497439999999999</v>
      </c>
      <c r="C11136">
        <f>LOG10(1.023188)</f>
        <v>9.9554380730767014E-3</v>
      </c>
      <c r="D11136">
        <f>LOG10(3.449744)</f>
        <v>0.53778686796820518</v>
      </c>
    </row>
    <row r="11137" spans="1:4">
      <c r="A11137">
        <v>1.0170840000000001</v>
      </c>
      <c r="B11137">
        <v>3.2377030000000002</v>
      </c>
      <c r="C11137">
        <f>LOG10(1.017084)</f>
        <v>7.3568223720895153E-3</v>
      </c>
      <c r="D11137">
        <f>LOG10(3.237703)</f>
        <v>0.51023700767338576</v>
      </c>
    </row>
    <row r="11138" spans="1:4">
      <c r="A11138">
        <v>1.018519</v>
      </c>
      <c r="B11138">
        <v>3.3618299999999999</v>
      </c>
      <c r="C11138">
        <f>LOG10(1.018519)</f>
        <v>7.9691349740727817E-3</v>
      </c>
      <c r="D11138">
        <f>LOG10(3.36183)</f>
        <v>0.52657574838703336</v>
      </c>
    </row>
    <row r="11139" spans="1:4">
      <c r="A11139">
        <v>1.008278</v>
      </c>
      <c r="B11139">
        <v>3.3450850000000001</v>
      </c>
      <c r="C11139">
        <f>LOG10(1.008278)</f>
        <v>3.580291256542926E-3</v>
      </c>
      <c r="D11139">
        <f>LOG10(3.345085)</f>
        <v>0.52440715784732317</v>
      </c>
    </row>
    <row r="11140" spans="1:4">
      <c r="A11140">
        <v>1.0196210000000001</v>
      </c>
      <c r="B11140">
        <v>3.29758</v>
      </c>
      <c r="C11140">
        <f>LOG10(1.019621)</f>
        <v>8.4387715698860718E-3</v>
      </c>
      <c r="D11140">
        <f>LOG10(3.29758)</f>
        <v>0.51819534042374205</v>
      </c>
    </row>
    <row r="11141" spans="1:4">
      <c r="A11141">
        <v>1.0099199999999999</v>
      </c>
      <c r="B11141">
        <v>3.1975069999999999</v>
      </c>
      <c r="C11141">
        <f>LOG10(1.00992)</f>
        <v>4.286972857288642E-3</v>
      </c>
      <c r="D11141">
        <f>LOG10(3.197507)</f>
        <v>0.50481150391161278</v>
      </c>
    </row>
    <row r="11142" spans="1:4">
      <c r="A11142">
        <v>1.01058</v>
      </c>
      <c r="B11142">
        <v>3.2079029999999999</v>
      </c>
      <c r="C11142">
        <f>LOG10(1.01058)</f>
        <v>4.5706990322462821E-3</v>
      </c>
      <c r="D11142">
        <f>LOG10(3.207903)</f>
        <v>0.50622122769141331</v>
      </c>
    </row>
    <row r="11143" spans="1:4">
      <c r="A11143">
        <v>1.0195559999999999</v>
      </c>
      <c r="B11143">
        <v>3.2427429999999999</v>
      </c>
      <c r="C11143">
        <f>LOG10(1.019556)</f>
        <v>8.4110847714047622E-3</v>
      </c>
      <c r="D11143">
        <f>LOG10(3.242743)</f>
        <v>0.51091253050934604</v>
      </c>
    </row>
    <row r="11144" spans="1:4">
      <c r="A11144">
        <v>1.0197000000000001</v>
      </c>
      <c r="B11144">
        <v>3.360811</v>
      </c>
      <c r="C11144">
        <f>LOG10(1.0197)</f>
        <v>8.4724193027221426E-3</v>
      </c>
      <c r="D11144">
        <f>LOG10(3.360811)</f>
        <v>0.52644408998657777</v>
      </c>
    </row>
    <row r="11145" spans="1:4">
      <c r="A11145">
        <v>1.0144839999999999</v>
      </c>
      <c r="B11145">
        <v>3.2897020000000001</v>
      </c>
      <c r="C11145">
        <f>LOG10(1.014484)</f>
        <v>6.2452019198761602E-3</v>
      </c>
      <c r="D11145">
        <f>LOG10(3.289702)</f>
        <v>0.51715655885659417</v>
      </c>
    </row>
    <row r="11146" spans="1:4">
      <c r="A11146">
        <v>1.0105299999999999</v>
      </c>
      <c r="B11146">
        <v>3.3013469999999998</v>
      </c>
      <c r="C11146">
        <f>LOG10(1.01053)</f>
        <v>4.5492111131328859E-3</v>
      </c>
      <c r="D11146">
        <f>LOG10(3.301347)</f>
        <v>0.51869117481955695</v>
      </c>
    </row>
    <row r="11147" spans="1:4">
      <c r="A11147">
        <v>1.015191</v>
      </c>
      <c r="B11147">
        <v>3.2897669999999999</v>
      </c>
      <c r="C11147">
        <f>LOG10(1.015191)</f>
        <v>6.5477589411964028E-3</v>
      </c>
      <c r="D11147">
        <f>LOG10(3.289767)</f>
        <v>0.51716513983518819</v>
      </c>
    </row>
    <row r="11148" spans="1:4">
      <c r="A11148">
        <v>1.0349410000000001</v>
      </c>
      <c r="B11148">
        <v>3.4317319999999998</v>
      </c>
      <c r="C11148">
        <f>LOG10(1.034941)</f>
        <v>1.4915592203769347E-2</v>
      </c>
      <c r="D11148">
        <f>LOG10(3.431732)</f>
        <v>0.53551336441390918</v>
      </c>
    </row>
    <row r="11149" spans="1:4">
      <c r="A11149">
        <v>1.0117039999999999</v>
      </c>
      <c r="B11149">
        <v>3.5075050000000001</v>
      </c>
      <c r="C11149">
        <f>LOG10(1.011704)</f>
        <v>5.053467078599428E-3</v>
      </c>
      <c r="D11149">
        <f>LOG10(3.507505)</f>
        <v>0.54499829879401462</v>
      </c>
    </row>
    <row r="11150" spans="1:4">
      <c r="A11150">
        <v>1.010062</v>
      </c>
      <c r="B11150">
        <v>3.4551210000000001</v>
      </c>
      <c r="C11150">
        <f>LOG10(1.010062)</f>
        <v>4.3480326256745833E-3</v>
      </c>
      <c r="D11150">
        <f>LOG10(3.455121)</f>
        <v>0.53846326117827592</v>
      </c>
    </row>
    <row r="11151" spans="1:4">
      <c r="A11151">
        <v>1.0073529999999999</v>
      </c>
      <c r="B11151">
        <v>3.3698730000000001</v>
      </c>
      <c r="C11151">
        <f>LOG10(1.007353)</f>
        <v>3.1816841464502063E-3</v>
      </c>
      <c r="D11151">
        <f>LOG10(3.369873)</f>
        <v>0.52761353397563948</v>
      </c>
    </row>
    <row r="11152" spans="1:4">
      <c r="A11152">
        <v>1.0070730000000001</v>
      </c>
      <c r="B11152">
        <v>3.3607320000000001</v>
      </c>
      <c r="C11152">
        <f>LOG10(1.007073)</f>
        <v>3.0609525278988466E-3</v>
      </c>
      <c r="D11152">
        <f>LOG10(3.360732)</f>
        <v>0.52643388124014201</v>
      </c>
    </row>
    <row r="11153" spans="1:4">
      <c r="A11153">
        <v>1.013218</v>
      </c>
      <c r="B11153">
        <v>3.0832860000000002</v>
      </c>
      <c r="C11153">
        <f>LOG10(1.013218)</f>
        <v>5.702896506623218E-3</v>
      </c>
      <c r="D11153">
        <f>LOG10(3.083286)</f>
        <v>0.48901381096101426</v>
      </c>
    </row>
    <row r="11154" spans="1:4">
      <c r="A11154">
        <v>1.0042800000000001</v>
      </c>
      <c r="B11154">
        <v>3.2293620000000001</v>
      </c>
      <c r="C11154">
        <f>LOG10(1.00428)</f>
        <v>1.8548139061790796E-3</v>
      </c>
      <c r="D11154">
        <f>LOG10(3.229362)</f>
        <v>0.50911673061348273</v>
      </c>
    </row>
    <row r="11155" spans="1:4">
      <c r="A11155">
        <v>1.007978</v>
      </c>
      <c r="B11155">
        <v>3.1904089999999998</v>
      </c>
      <c r="C11155">
        <f>LOG10(1.007978)</f>
        <v>3.4510533566607378E-3</v>
      </c>
      <c r="D11155">
        <f>LOG10(3.190409)</f>
        <v>0.50384636175844988</v>
      </c>
    </row>
    <row r="11156" spans="1:4">
      <c r="A11156">
        <v>1.0008170000000001</v>
      </c>
      <c r="B11156">
        <v>3.2383350000000002</v>
      </c>
      <c r="C11156">
        <f>LOG10(1.000817)</f>
        <v>3.5467372721776372E-4</v>
      </c>
      <c r="D11156">
        <f>LOG10(3.238335)</f>
        <v>0.51032177373357079</v>
      </c>
    </row>
    <row r="11157" spans="1:4">
      <c r="A11157">
        <v>1.007646</v>
      </c>
      <c r="B11157">
        <v>3.0758290000000001</v>
      </c>
      <c r="C11157">
        <f>LOG10(1.007646)</f>
        <v>3.3079852355272117E-3</v>
      </c>
      <c r="D11157">
        <f>LOG10(3.075829)</f>
        <v>0.4879621872995098</v>
      </c>
    </row>
    <row r="11158" spans="1:4">
      <c r="A11158">
        <v>1.0080549999999999</v>
      </c>
      <c r="B11158">
        <v>3.3707560000000001</v>
      </c>
      <c r="C11158">
        <f>LOG10(1.008055)</f>
        <v>3.4842280865612506E-3</v>
      </c>
      <c r="D11158">
        <f>LOG10(3.370756)</f>
        <v>0.52772731624424207</v>
      </c>
    </row>
    <row r="11159" spans="1:4">
      <c r="A11159">
        <v>1.007069</v>
      </c>
      <c r="B11159">
        <v>3.525217</v>
      </c>
      <c r="C11159">
        <f>LOG10(1.007069)</f>
        <v>3.0592275473089328E-3</v>
      </c>
      <c r="D11159">
        <f>LOG10(3.525217)</f>
        <v>0.54718585579604528</v>
      </c>
    </row>
    <row r="11160" spans="1:4">
      <c r="A11160">
        <v>1.0102709999999999</v>
      </c>
      <c r="B11160">
        <v>3.5057420000000001</v>
      </c>
      <c r="C11160">
        <f>LOG10(1.010271)</f>
        <v>4.4378866715586258E-3</v>
      </c>
      <c r="D11160">
        <f>LOG10(3.505742)</f>
        <v>0.544779951661018</v>
      </c>
    </row>
    <row r="11161" spans="1:4">
      <c r="A11161">
        <v>1.011045</v>
      </c>
      <c r="B11161">
        <v>3.435597</v>
      </c>
      <c r="C11161">
        <f>LOG10(1.011045)</f>
        <v>4.770485775728763E-3</v>
      </c>
      <c r="D11161">
        <f>LOG10(3.435597)</f>
        <v>0.53600221483880828</v>
      </c>
    </row>
    <row r="11162" spans="1:4">
      <c r="A11162">
        <v>1.006211</v>
      </c>
      <c r="B11162">
        <v>3.2990740000000001</v>
      </c>
      <c r="C11162">
        <f>LOG10(1.006211)</f>
        <v>2.6890607667003409E-3</v>
      </c>
      <c r="D11162">
        <f>LOG10(3.299074)</f>
        <v>0.51839205711285652</v>
      </c>
    </row>
    <row r="11163" spans="1:4">
      <c r="A11163">
        <v>1.0041310000000001</v>
      </c>
      <c r="B11163">
        <v>3.2436630000000002</v>
      </c>
      <c r="C11163">
        <f>LOG10(1.004131)</f>
        <v>1.7903750259675264E-3</v>
      </c>
      <c r="D11163">
        <f>LOG10(3.243663)</f>
        <v>0.51103572690686738</v>
      </c>
    </row>
    <row r="11164" spans="1:4">
      <c r="A11164">
        <v>1.0127660000000001</v>
      </c>
      <c r="B11164">
        <v>3.2774040000000002</v>
      </c>
      <c r="C11164">
        <f>LOG10(1.012766)</f>
        <v>5.5091130324426323E-3</v>
      </c>
      <c r="D11164">
        <f>LOG10(3.277404)</f>
        <v>0.51552997942211554</v>
      </c>
    </row>
    <row r="11165" spans="1:4">
      <c r="A11165">
        <v>1.0081629999999999</v>
      </c>
      <c r="B11165">
        <v>3.3077740000000002</v>
      </c>
      <c r="C11165">
        <f>LOG10(1.008163)</f>
        <v>3.5307546070966387E-3</v>
      </c>
      <c r="D11165">
        <f>LOG10(3.307774)</f>
        <v>0.51953582920401342</v>
      </c>
    </row>
    <row r="11166" spans="1:4">
      <c r="A11166">
        <v>1.0068299999999999</v>
      </c>
      <c r="B11166">
        <v>3.3552759999999999</v>
      </c>
      <c r="C11166">
        <f>LOG10(1.00683)</f>
        <v>2.956147520294466E-3</v>
      </c>
      <c r="D11166">
        <f>LOG10(3.355276)</f>
        <v>0.52572825039082327</v>
      </c>
    </row>
    <row r="11167" spans="1:4">
      <c r="A11167">
        <v>1.0042819999999999</v>
      </c>
      <c r="B11167">
        <v>3.4262519999999999</v>
      </c>
      <c r="C11167">
        <f>LOG10(1.004282)</f>
        <v>1.8556787925642002E-3</v>
      </c>
      <c r="D11167">
        <f>LOG10(3.426252)</f>
        <v>0.534819302057576</v>
      </c>
    </row>
    <row r="11168" spans="1:4">
      <c r="A11168">
        <v>1.015396</v>
      </c>
      <c r="B11168">
        <v>3.4104130000000001</v>
      </c>
      <c r="C11168">
        <f>LOG10(1.015396)</f>
        <v>6.6354482340882023E-3</v>
      </c>
      <c r="D11168">
        <f>LOG10(3.410413)</f>
        <v>0.53280697510984287</v>
      </c>
    </row>
    <row r="11169" spans="1:4">
      <c r="A11169">
        <v>1.010224</v>
      </c>
      <c r="B11169">
        <v>3.4382640000000002</v>
      </c>
      <c r="C11169">
        <f>LOG10(1.010224)</f>
        <v>4.4176818795120289E-3</v>
      </c>
      <c r="D11169">
        <f>LOG10(3.438264)</f>
        <v>0.53633922003613665</v>
      </c>
    </row>
    <row r="11170" spans="1:4">
      <c r="A11170">
        <v>1.0115689999999999</v>
      </c>
      <c r="B11170">
        <v>3.26363</v>
      </c>
      <c r="C11170">
        <f>LOG10(1.011569)</f>
        <v>4.9955117209744861E-3</v>
      </c>
      <c r="D11170">
        <f>LOG10(3.26363)</f>
        <v>0.51370091660551553</v>
      </c>
    </row>
    <row r="11171" spans="1:4">
      <c r="A11171">
        <v>1.012165</v>
      </c>
      <c r="B11171">
        <v>3.3758569999999999</v>
      </c>
      <c r="C11171">
        <f>LOG10(1.012165)</f>
        <v>5.251315614863394E-3</v>
      </c>
      <c r="D11171">
        <f>LOG10(3.375857)</f>
        <v>0.52838404179655385</v>
      </c>
    </row>
    <row r="11172" spans="1:4">
      <c r="A11172">
        <v>1.0083120000000001</v>
      </c>
      <c r="B11172">
        <v>3.531215</v>
      </c>
      <c r="C11172">
        <f>LOG10(1.008312)</f>
        <v>3.5949357925032831E-3</v>
      </c>
      <c r="D11172">
        <f>LOG10(3.531215)</f>
        <v>0.54792416063050242</v>
      </c>
    </row>
    <row r="11173" spans="1:4">
      <c r="A11173">
        <v>1.006035</v>
      </c>
      <c r="B11173">
        <v>3.6538729999999999</v>
      </c>
      <c r="C11173">
        <f>LOG10(1.006035)</f>
        <v>2.6130901060456651E-3</v>
      </c>
      <c r="D11173">
        <f>LOG10(3.653873)</f>
        <v>0.56275344822786921</v>
      </c>
    </row>
    <row r="11174" spans="1:4">
      <c r="A11174">
        <v>1.009943</v>
      </c>
      <c r="B11174">
        <v>3.4449260000000002</v>
      </c>
      <c r="C11174">
        <f>LOG10(1.009943)</f>
        <v>4.2968634024238839E-3</v>
      </c>
      <c r="D11174">
        <f>LOG10(3.444926)</f>
        <v>0.5371798973214873</v>
      </c>
    </row>
    <row r="11175" spans="1:4">
      <c r="A11175">
        <v>1.0182519999999999</v>
      </c>
      <c r="B11175">
        <v>3.3235899999999998</v>
      </c>
      <c r="C11175">
        <f>LOG10(1.018252)</f>
        <v>7.8552717785221812E-3</v>
      </c>
      <c r="D11175">
        <f>LOG10(3.32359)</f>
        <v>0.52160744359583777</v>
      </c>
    </row>
    <row r="11176" spans="1:4">
      <c r="A11176">
        <v>1.006691</v>
      </c>
      <c r="B11176">
        <v>3.3855559999999998</v>
      </c>
      <c r="C11176">
        <f>LOG10(1.006691)</f>
        <v>2.8961859573602838E-3</v>
      </c>
      <c r="D11176">
        <f>LOG10(3.385556)</f>
        <v>0.52963000179607644</v>
      </c>
    </row>
    <row r="11177" spans="1:4">
      <c r="A11177">
        <v>1.0067619999999999</v>
      </c>
      <c r="B11177">
        <v>3.4497990000000001</v>
      </c>
      <c r="C11177">
        <f>LOG10(1.006762)</f>
        <v>2.9268148404063567E-3</v>
      </c>
      <c r="D11177">
        <f>LOG10(3.449799)</f>
        <v>0.53779379196201327</v>
      </c>
    </row>
    <row r="11178" spans="1:4">
      <c r="A11178">
        <v>1.007309</v>
      </c>
      <c r="B11178">
        <v>3.587148</v>
      </c>
      <c r="C11178">
        <f>LOG10(1.007309)</f>
        <v>3.1627142574993526E-3</v>
      </c>
      <c r="D11178">
        <f>LOG10(3.587148)</f>
        <v>0.55474929534263773</v>
      </c>
    </row>
    <row r="11179" spans="1:4">
      <c r="A11179">
        <v>1.0121290000000001</v>
      </c>
      <c r="B11179">
        <v>3.459768</v>
      </c>
      <c r="C11179">
        <f>LOG10(1.012129)</f>
        <v>5.2358686478219145E-3</v>
      </c>
      <c r="D11179">
        <f>LOG10(3.459768)</f>
        <v>0.53904697749280261</v>
      </c>
    </row>
    <row r="11180" spans="1:4">
      <c r="A11180">
        <v>1.0073259999999999</v>
      </c>
      <c r="B11180">
        <v>3.4522560000000002</v>
      </c>
      <c r="C11180">
        <f>LOG10(1.007326)</f>
        <v>3.1700436310012543E-3</v>
      </c>
      <c r="D11180">
        <f>LOG10(3.452256)</f>
        <v>0.53810299308750709</v>
      </c>
    </row>
    <row r="11181" spans="1:4">
      <c r="A11181">
        <v>1.006723</v>
      </c>
      <c r="B11181">
        <v>3.4304510000000001</v>
      </c>
      <c r="C11181">
        <f>LOG10(1.006723)</f>
        <v>2.9099907917580661E-3</v>
      </c>
      <c r="D11181">
        <f>LOG10(3.430451)</f>
        <v>0.53535122031551363</v>
      </c>
    </row>
    <row r="11182" spans="1:4">
      <c r="A11182">
        <v>1.010802</v>
      </c>
      <c r="B11182">
        <v>3.4961820000000001</v>
      </c>
      <c r="C11182">
        <f>LOG10(1.010802)</f>
        <v>4.6660925554597417E-3</v>
      </c>
      <c r="D11182">
        <f>LOG10(3.496182)</f>
        <v>0.54359403252596528</v>
      </c>
    </row>
    <row r="11183" spans="1:4">
      <c r="A11183">
        <v>1.0115400000000001</v>
      </c>
      <c r="B11183">
        <v>3.4846979999999999</v>
      </c>
      <c r="C11183">
        <f>LOG10(1.01154)</f>
        <v>4.9830610423645004E-3</v>
      </c>
      <c r="D11183">
        <f>LOG10(3.484698)</f>
        <v>0.54216514610211919</v>
      </c>
    </row>
    <row r="11184" spans="1:4">
      <c r="A11184">
        <v>1.027304</v>
      </c>
      <c r="B11184">
        <v>3.471981</v>
      </c>
      <c r="C11184">
        <f>LOG10(1.027304)</f>
        <v>1.1698979124115817E-2</v>
      </c>
      <c r="D11184">
        <f>LOG10(3.471981)</f>
        <v>0.5405773398864433</v>
      </c>
    </row>
    <row r="11185" spans="1:4">
      <c r="A11185">
        <v>1.0155460000000001</v>
      </c>
      <c r="B11185">
        <v>3.5814319999999999</v>
      </c>
      <c r="C11185">
        <f>LOG10(1.015546)</f>
        <v>6.6995999158240482E-3</v>
      </c>
      <c r="D11185">
        <f>LOG10(3.581432)</f>
        <v>0.55405670970233922</v>
      </c>
    </row>
    <row r="11186" spans="1:4">
      <c r="A11186">
        <v>1.009266</v>
      </c>
      <c r="B11186">
        <v>3.3534410000000001</v>
      </c>
      <c r="C11186">
        <f>LOG10(1.009266)</f>
        <v>4.0056430530042856E-3</v>
      </c>
      <c r="D11186">
        <f>LOG10(3.353441)</f>
        <v>0.52549066982387826</v>
      </c>
    </row>
    <row r="11187" spans="1:4">
      <c r="A11187">
        <v>1.0083770000000001</v>
      </c>
      <c r="B11187">
        <v>3.3715030000000001</v>
      </c>
      <c r="C11187">
        <f>LOG10(1.008377)</f>
        <v>3.6229313251148845E-3</v>
      </c>
      <c r="D11187">
        <f>LOG10(3.371503)</f>
        <v>0.52782355045277929</v>
      </c>
    </row>
    <row r="11188" spans="1:4">
      <c r="A11188">
        <v>1.016926</v>
      </c>
      <c r="B11188">
        <v>3.3949669999999998</v>
      </c>
      <c r="C11188">
        <f>LOG10(1.016926)</f>
        <v>7.2893511912410693E-3</v>
      </c>
      <c r="D11188">
        <f>LOG10(3.394967)</f>
        <v>0.53083555717688669</v>
      </c>
    </row>
    <row r="11189" spans="1:4">
      <c r="A11189">
        <v>1.0072460000000001</v>
      </c>
      <c r="B11189">
        <v>3.6164040000000002</v>
      </c>
      <c r="C11189">
        <f>LOG10(1.007246)</f>
        <v>3.1355513829500938E-3</v>
      </c>
      <c r="D11189">
        <f>LOG10(3.616404)</f>
        <v>0.55827694093219948</v>
      </c>
    </row>
    <row r="11190" spans="1:4">
      <c r="A11190">
        <v>1.0117590000000001</v>
      </c>
      <c r="B11190">
        <v>3.333656</v>
      </c>
      <c r="C11190">
        <f>LOG10(1.011759)</f>
        <v>5.0770763034882656E-3</v>
      </c>
      <c r="D11190">
        <f>LOG10(3.333656)</f>
        <v>0.52292078295159528</v>
      </c>
    </row>
    <row r="11191" spans="1:4">
      <c r="A11191">
        <v>1.011458</v>
      </c>
      <c r="B11191">
        <v>3.2726660000000001</v>
      </c>
      <c r="C11191">
        <f>LOG10(1.011458)</f>
        <v>4.9478537435578476E-3</v>
      </c>
      <c r="D11191">
        <f>LOG10(3.272666)</f>
        <v>0.5149016845751464</v>
      </c>
    </row>
    <row r="11192" spans="1:4">
      <c r="A11192">
        <v>1.009109</v>
      </c>
      <c r="B11192">
        <v>2.8596919999999999</v>
      </c>
      <c r="C11192">
        <f>LOG10(1.009109)</f>
        <v>3.9380795588108758E-3</v>
      </c>
      <c r="D11192">
        <f>LOG10(2.859692)</f>
        <v>0.45631926043549392</v>
      </c>
    </row>
    <row r="11193" spans="1:4">
      <c r="A11193">
        <v>1.00902</v>
      </c>
      <c r="B11193">
        <v>3.1508569999999998</v>
      </c>
      <c r="C11193">
        <f>LOG10(1.00902)</f>
        <v>3.8997745655082179E-3</v>
      </c>
      <c r="D11193">
        <f>LOG10(3.150857)</f>
        <v>0.49842869339292306</v>
      </c>
    </row>
    <row r="11194" spans="1:4">
      <c r="A11194">
        <v>1.0084679999999999</v>
      </c>
      <c r="B11194">
        <v>3.2360570000000002</v>
      </c>
      <c r="C11194">
        <f>LOG10(1.008468)</f>
        <v>3.6621220392054031E-3</v>
      </c>
      <c r="D11194">
        <f>LOG10(3.236057)</f>
        <v>0.51001616268295769</v>
      </c>
    </row>
    <row r="11195" spans="1:4">
      <c r="A11195">
        <v>1.0111779999999999</v>
      </c>
      <c r="B11195">
        <v>3.1515659999999999</v>
      </c>
      <c r="C11195">
        <f>LOG10(1.011178)</f>
        <v>4.8276121818436072E-3</v>
      </c>
      <c r="D11195">
        <f>LOG10(3.151566)</f>
        <v>0.4985264065387936</v>
      </c>
    </row>
    <row r="11196" spans="1:4">
      <c r="A11196">
        <v>1.008059</v>
      </c>
      <c r="B11196">
        <v>3.1984629999999998</v>
      </c>
      <c r="C11196">
        <f>LOG10(1.008059)</f>
        <v>3.4859513799143696E-3</v>
      </c>
      <c r="D11196">
        <f>LOG10(3.198463)</f>
        <v>0.50494133113963025</v>
      </c>
    </row>
    <row r="11197" spans="1:4">
      <c r="A11197">
        <v>1.007287</v>
      </c>
      <c r="B11197">
        <v>3.3012109999999999</v>
      </c>
      <c r="C11197">
        <f>LOG10(1.007287)</f>
        <v>3.1532290022896364E-3</v>
      </c>
      <c r="D11197">
        <f>LOG10(3.301211)</f>
        <v>0.5186732835569442</v>
      </c>
    </row>
    <row r="11198" spans="1:4">
      <c r="A11198">
        <v>1.005425</v>
      </c>
      <c r="B11198">
        <v>3.323153</v>
      </c>
      <c r="C11198">
        <f>LOG10(1.005425)</f>
        <v>2.3496798049883606E-3</v>
      </c>
      <c r="D11198">
        <f>LOG10(3.323153)</f>
        <v>0.52155033692303132</v>
      </c>
    </row>
    <row r="11199" spans="1:4">
      <c r="A11199">
        <v>1.0087790000000001</v>
      </c>
      <c r="B11199">
        <v>3.4153190000000002</v>
      </c>
      <c r="C11199">
        <f>LOG10(1.008779)</f>
        <v>3.7960328443195912E-3</v>
      </c>
      <c r="D11199">
        <f>LOG10(3.415319)</f>
        <v>0.53343127418725089</v>
      </c>
    </row>
    <row r="11200" spans="1:4">
      <c r="A11200">
        <v>1.0169010000000001</v>
      </c>
      <c r="B11200">
        <v>3.2854190000000001</v>
      </c>
      <c r="C11200">
        <f>LOG10(1.016901)</f>
        <v>7.2786744109169781E-3</v>
      </c>
      <c r="D11200">
        <f>LOG10(3.285419)</f>
        <v>0.51659076439316787</v>
      </c>
    </row>
    <row r="11201" spans="1:4">
      <c r="A11201">
        <v>1.005171</v>
      </c>
      <c r="B11201">
        <v>3.1912289999999999</v>
      </c>
      <c r="C11201">
        <f>LOG10(1.005171)</f>
        <v>2.2399503526366713E-3</v>
      </c>
      <c r="D11201">
        <f>LOG10(3.191229)</f>
        <v>0.50395796993087227</v>
      </c>
    </row>
    <row r="11202" spans="1:4">
      <c r="A11202">
        <v>1.0042450000000001</v>
      </c>
      <c r="B11202">
        <v>3.2077170000000002</v>
      </c>
      <c r="C11202">
        <f>LOG10(1.004245)</f>
        <v>1.8396781156181899E-3</v>
      </c>
      <c r="D11202">
        <f>LOG10(3.207717)</f>
        <v>0.50619604578423782</v>
      </c>
    </row>
    <row r="11203" spans="1:4">
      <c r="A11203">
        <v>1.0057529999999999</v>
      </c>
      <c r="B11203">
        <v>3.2119049999999998</v>
      </c>
      <c r="C11203">
        <f>LOG10(1.005753)</f>
        <v>2.4913366760630829E-3</v>
      </c>
      <c r="D11203">
        <f>LOG10(3.211905)</f>
        <v>0.5067626914678115</v>
      </c>
    </row>
    <row r="11204" spans="1:4">
      <c r="A11204">
        <v>1.0057720000000001</v>
      </c>
      <c r="B11204">
        <v>3.1998500000000001</v>
      </c>
      <c r="C11204">
        <f>LOG10(1.005772)</f>
        <v>2.4995409938384024E-3</v>
      </c>
      <c r="D11204">
        <f>LOG10(3.19985)</f>
        <v>0.50512962028892172</v>
      </c>
    </row>
    <row r="11205" spans="1:4">
      <c r="A11205">
        <v>1.007179</v>
      </c>
      <c r="B11205">
        <v>3.3536169999999998</v>
      </c>
      <c r="C11205">
        <f>LOG10(1.007179)</f>
        <v>3.1066620172022852E-3</v>
      </c>
      <c r="D11205">
        <f>LOG10(3.353617)</f>
        <v>0.52551346247867048</v>
      </c>
    </row>
    <row r="11206" spans="1:4">
      <c r="A11206">
        <v>1.0101549999999999</v>
      </c>
      <c r="B11206">
        <v>3.3815879999999998</v>
      </c>
      <c r="C11206">
        <f>LOG10(1.010155)</f>
        <v>4.388017822161386E-3</v>
      </c>
      <c r="D11206">
        <f>LOG10(3.381588)</f>
        <v>0.5291206936738635</v>
      </c>
    </row>
    <row r="11207" spans="1:4">
      <c r="A11207">
        <v>1.0050829999999999</v>
      </c>
      <c r="B11207">
        <v>3.4527380000000001</v>
      </c>
      <c r="C11207">
        <f>LOG10(1.005083)</f>
        <v>2.2019273819753153E-3</v>
      </c>
      <c r="D11207">
        <f>LOG10(3.452738)</f>
        <v>0.53816362454949451</v>
      </c>
    </row>
    <row r="11208" spans="1:4">
      <c r="A11208">
        <v>1.01708</v>
      </c>
      <c r="B11208">
        <v>3.4522560000000002</v>
      </c>
      <c r="C11208">
        <f>LOG10(1.01708)</f>
        <v>7.3551143702492846E-3</v>
      </c>
      <c r="D11208">
        <f>LOG10(3.452256)</f>
        <v>0.53810299308750709</v>
      </c>
    </row>
    <row r="11209" spans="1:4">
      <c r="A11209">
        <v>1.022958</v>
      </c>
      <c r="B11209">
        <v>3.4607100000000002</v>
      </c>
      <c r="C11209">
        <f>LOG10(1.022958)</f>
        <v>9.8578030741485433E-3</v>
      </c>
      <c r="D11209">
        <f>LOG10(3.46071)</f>
        <v>0.53916520788222932</v>
      </c>
    </row>
    <row r="11210" spans="1:4">
      <c r="A11210">
        <v>1.0211650000000001</v>
      </c>
      <c r="B11210">
        <v>3.5449220000000001</v>
      </c>
      <c r="C11210">
        <f>LOG10(1.021165)</f>
        <v>9.0959211269682361E-3</v>
      </c>
      <c r="D11210">
        <f>LOG10(3.544922)</f>
        <v>0.54960668371026555</v>
      </c>
    </row>
    <row r="11211" spans="1:4">
      <c r="A11211">
        <v>1.0104919999999999</v>
      </c>
      <c r="B11211">
        <v>3.5957180000000002</v>
      </c>
      <c r="C11211">
        <f>LOG10(1.010492)</f>
        <v>4.5328795835263194E-3</v>
      </c>
      <c r="D11211">
        <f>LOG10(3.595718)</f>
        <v>0.5557856241495488</v>
      </c>
    </row>
    <row r="11212" spans="1:4">
      <c r="A11212">
        <v>1.0161979999999999</v>
      </c>
      <c r="B11212">
        <v>3.7700170000000002</v>
      </c>
      <c r="C11212">
        <f>LOG10(1.016198)</f>
        <v>6.9783358312946013E-3</v>
      </c>
      <c r="D11212">
        <f>LOG10(3.770017)</f>
        <v>0.57634330855845772</v>
      </c>
    </row>
    <row r="11213" spans="1:4">
      <c r="A11213">
        <v>1.014087</v>
      </c>
      <c r="B11213">
        <v>3.7572139999999998</v>
      </c>
      <c r="C11213">
        <f>LOG10(1.014087)</f>
        <v>6.0752153514821968E-3</v>
      </c>
      <c r="D11213">
        <f>LOG10(3.757214)</f>
        <v>0.57486593192053359</v>
      </c>
    </row>
    <row r="11214" spans="1:4">
      <c r="A11214">
        <v>1.0132620000000001</v>
      </c>
      <c r="B11214">
        <v>3.7860779999999998</v>
      </c>
      <c r="C11214">
        <f>LOG10(1.013262)</f>
        <v>5.7217557672197333E-3</v>
      </c>
      <c r="D11214">
        <f>LOG10(3.786078)</f>
        <v>0.57818955696550733</v>
      </c>
    </row>
    <row r="11215" spans="1:4">
      <c r="A11215">
        <v>1.01684</v>
      </c>
      <c r="B11215">
        <v>3.7774019999999999</v>
      </c>
      <c r="C11215">
        <f>LOG10(1.01684)</f>
        <v>7.2526219652967331E-3</v>
      </c>
      <c r="D11215">
        <f>LOG10(3.777402)</f>
        <v>0.57719320592666423</v>
      </c>
    </row>
    <row r="11216" spans="1:4">
      <c r="A11216">
        <v>1.019247</v>
      </c>
      <c r="B11216">
        <v>3.6770990000000001</v>
      </c>
      <c r="C11216">
        <f>LOG10(1.019247)</f>
        <v>8.2794418456923983E-3</v>
      </c>
      <c r="D11216">
        <f>LOG10(3.677099)</f>
        <v>0.56550532270947029</v>
      </c>
    </row>
    <row r="11217" spans="1:4">
      <c r="A11217">
        <v>1.0190170000000001</v>
      </c>
      <c r="B11217">
        <v>3.6354299999999999</v>
      </c>
      <c r="C11217">
        <f>LOG10(1.019017)</f>
        <v>8.1814292906340867E-3</v>
      </c>
      <c r="D11217">
        <f>LOG10(3.63543)</f>
        <v>0.56055578674458983</v>
      </c>
    </row>
    <row r="11218" spans="1:4">
      <c r="A11218">
        <v>1.023782</v>
      </c>
      <c r="B11218">
        <v>3.5124919999999999</v>
      </c>
      <c r="C11218">
        <f>LOG10(1.023782)</f>
        <v>1.0207489573090419E-2</v>
      </c>
      <c r="D11218">
        <f>LOG10(3.512492)</f>
        <v>0.54561534377155285</v>
      </c>
    </row>
    <row r="11219" spans="1:4">
      <c r="A11219">
        <v>1.011806</v>
      </c>
      <c r="B11219">
        <v>3.7600660000000001</v>
      </c>
      <c r="C11219">
        <f>LOG10(1.011806)</f>
        <v>5.0972504423502088E-3</v>
      </c>
      <c r="D11219">
        <f>LOG10(3.760066)</f>
        <v>0.57519546811495925</v>
      </c>
    </row>
    <row r="11220" spans="1:4">
      <c r="A11220">
        <v>1.0148900000000001</v>
      </c>
      <c r="B11220">
        <v>3.6187710000000002</v>
      </c>
      <c r="C11220">
        <f>LOG10(1.01489)</f>
        <v>6.4189733015980188E-3</v>
      </c>
      <c r="D11220">
        <f>LOG10(3.618771)</f>
        <v>0.55856110132233217</v>
      </c>
    </row>
    <row r="11221" spans="1:4">
      <c r="A11221">
        <v>1.0151810000000001</v>
      </c>
      <c r="B11221">
        <v>3.705959</v>
      </c>
      <c r="C11221">
        <f>LOG10(1.015181)</f>
        <v>6.5434809617729277E-3</v>
      </c>
      <c r="D11221">
        <f>LOG10(3.705959)</f>
        <v>0.56890061029527639</v>
      </c>
    </row>
    <row r="11222" spans="1:4">
      <c r="A11222">
        <v>1.0066059999999999</v>
      </c>
      <c r="B11222">
        <v>3.7379989999999998</v>
      </c>
      <c r="C11222">
        <f>LOG10(1.006606)</f>
        <v>2.8595147349983981E-3</v>
      </c>
      <c r="D11222">
        <f>LOG10(3.737999)</f>
        <v>0.57263918085914822</v>
      </c>
    </row>
    <row r="11223" spans="1:4">
      <c r="A11223">
        <v>1.0280530000000001</v>
      </c>
      <c r="B11223">
        <v>3.6765110000000001</v>
      </c>
      <c r="C11223">
        <f>LOG10(1.028053)</f>
        <v>1.2015504750899523E-2</v>
      </c>
      <c r="D11223">
        <f>LOG10(3.676511)</f>
        <v>0.56543586970450999</v>
      </c>
    </row>
    <row r="11224" spans="1:4">
      <c r="A11224">
        <v>1.0467960000000001</v>
      </c>
      <c r="B11224">
        <v>3.7295180000000001</v>
      </c>
      <c r="C11224">
        <f>LOG10(1.046796)</f>
        <v>1.9862054451940975E-2</v>
      </c>
      <c r="D11224">
        <f>LOG10(3.729518)</f>
        <v>0.57165270755493058</v>
      </c>
    </row>
    <row r="11225" spans="1:4">
      <c r="A11225">
        <v>1.0822670000000001</v>
      </c>
      <c r="B11225">
        <v>3.745139</v>
      </c>
      <c r="C11225">
        <f>LOG10(1.082267)</f>
        <v>3.4334416336159197E-2</v>
      </c>
      <c r="D11225">
        <f>LOG10(3.745139)</f>
        <v>0.57346794107759957</v>
      </c>
    </row>
    <row r="11226" spans="1:4">
      <c r="A11226">
        <v>1.100174</v>
      </c>
      <c r="B11226">
        <v>3.66168</v>
      </c>
      <c r="C11226">
        <f>LOG10(1.100174)</f>
        <v>4.1461377216224726E-2</v>
      </c>
      <c r="D11226">
        <f>LOG10(3.66168)</f>
        <v>0.56368038794311592</v>
      </c>
    </row>
    <row r="11227" spans="1:4">
      <c r="A11227">
        <v>1.1931609999999999</v>
      </c>
      <c r="B11227">
        <v>3.790314</v>
      </c>
      <c r="C11227">
        <f>LOG10(1.193161)</f>
        <v>7.6699049448990086E-2</v>
      </c>
      <c r="D11227">
        <f>LOG10(3.790314)</f>
        <v>0.57867518960358499</v>
      </c>
    </row>
    <row r="11228" spans="1:4">
      <c r="A11228">
        <v>1.1586179999999999</v>
      </c>
      <c r="B11228">
        <v>3.5743459999999998</v>
      </c>
      <c r="C11228">
        <f>LOG10(1.158618)</f>
        <v>6.3940271306099014E-2</v>
      </c>
      <c r="D11228">
        <f>LOG10(3.574346)</f>
        <v>0.55319659031220103</v>
      </c>
    </row>
    <row r="11229" spans="1:4">
      <c r="A11229">
        <v>1.2265600000000001</v>
      </c>
      <c r="B11229">
        <v>3.570497</v>
      </c>
      <c r="C11229">
        <f>LOG10(1.22656)</f>
        <v>8.8688797574258155E-2</v>
      </c>
      <c r="D11229">
        <f>LOG10(3.570497)</f>
        <v>0.55272867250839486</v>
      </c>
    </row>
    <row r="11230" spans="1:4">
      <c r="A11230">
        <v>1.0121849999999999</v>
      </c>
      <c r="B11230">
        <v>3.5393560000000002</v>
      </c>
      <c r="C11230">
        <f>LOG10(1.012185)</f>
        <v>5.2598970258232658E-3</v>
      </c>
      <c r="D11230">
        <f>LOG10(3.539356)</f>
        <v>0.54892424759365099</v>
      </c>
    </row>
    <row r="11231" spans="1:4">
      <c r="A11231">
        <v>1.0069030000000001</v>
      </c>
      <c r="B11231">
        <v>3.6529850000000001</v>
      </c>
      <c r="C11231">
        <f>LOG10(1.006903)</f>
        <v>2.9876348100125339E-3</v>
      </c>
      <c r="D11231">
        <f>LOG10(3.652985)</f>
        <v>0.56264788890214301</v>
      </c>
    </row>
    <row r="11232" spans="1:4">
      <c r="A11232">
        <v>1.0142789999999999</v>
      </c>
      <c r="B11232">
        <v>3.735919</v>
      </c>
      <c r="C11232">
        <f>LOG10(1.014279)</f>
        <v>6.1574337881691206E-3</v>
      </c>
      <c r="D11232">
        <f>LOG10(3.735919)</f>
        <v>0.57239745154242827</v>
      </c>
    </row>
    <row r="11233" spans="1:4">
      <c r="A11233">
        <v>1.022902</v>
      </c>
      <c r="B11233">
        <v>3.6010979999999999</v>
      </c>
      <c r="C11233">
        <f>LOG10(1.022902)</f>
        <v>9.8340277513085817E-3</v>
      </c>
      <c r="D11233">
        <f>LOG10(3.601098)</f>
        <v>0.55643494038825203</v>
      </c>
    </row>
    <row r="11234" spans="1:4">
      <c r="A11234">
        <v>1.0120089999999999</v>
      </c>
      <c r="B11234">
        <v>3.793139</v>
      </c>
      <c r="C11234">
        <f>LOG10(1.012009)</f>
        <v>5.1843747893107871E-3</v>
      </c>
      <c r="D11234">
        <f>LOG10(3.793139)</f>
        <v>0.57899875776392806</v>
      </c>
    </row>
    <row r="11235" spans="1:4">
      <c r="A11235">
        <v>1.0126219999999999</v>
      </c>
      <c r="B11235">
        <v>3.8581989999999999</v>
      </c>
      <c r="C11235">
        <f>LOG10(1.012622)</f>
        <v>5.4473585384893705E-3</v>
      </c>
      <c r="D11235">
        <f>LOG10(3.858199)</f>
        <v>0.58638462413032189</v>
      </c>
    </row>
    <row r="11236" spans="1:4">
      <c r="A11236">
        <v>1.014397</v>
      </c>
      <c r="B11236">
        <v>3.8974709999999999</v>
      </c>
      <c r="C11236">
        <f>LOG10(1.014397)</f>
        <v>6.2079561475033903E-3</v>
      </c>
      <c r="D11236">
        <f>LOG10(3.897471)</f>
        <v>0.59078289240819648</v>
      </c>
    </row>
    <row r="11237" spans="1:4">
      <c r="A11237">
        <v>1.0111399999999999</v>
      </c>
      <c r="B11237">
        <v>3.753301</v>
      </c>
      <c r="C11237">
        <f>LOG10(1.01114)</f>
        <v>4.8112911182776816E-3</v>
      </c>
      <c r="D11237">
        <f>LOG10(3.753301)</f>
        <v>0.57441339452158002</v>
      </c>
    </row>
    <row r="11238" spans="1:4">
      <c r="A11238">
        <v>1.007182</v>
      </c>
      <c r="B11238">
        <v>3.6947209999999999</v>
      </c>
      <c r="C11238">
        <f>LOG10(1.007182)</f>
        <v>3.1079556119906078E-3</v>
      </c>
      <c r="D11238">
        <f>LOG10(3.694721)</f>
        <v>0.5675816490271286</v>
      </c>
    </row>
    <row r="11239" spans="1:4">
      <c r="A11239">
        <v>1.015946</v>
      </c>
      <c r="B11239">
        <v>3.7048610000000002</v>
      </c>
      <c r="C11239">
        <f>LOG10(1.015946)</f>
        <v>6.8706247537326029E-3</v>
      </c>
      <c r="D11239">
        <f>LOG10(3.704861)</f>
        <v>0.56877191864047461</v>
      </c>
    </row>
    <row r="11240" spans="1:4">
      <c r="A11240">
        <v>1.0075609999999999</v>
      </c>
      <c r="B11240">
        <v>3.6217700000000002</v>
      </c>
      <c r="C11240">
        <f>LOG10(1.007561)</f>
        <v>3.2713487699098163E-3</v>
      </c>
      <c r="D11240">
        <f>LOG10(3.62177)</f>
        <v>0.55892086704307309</v>
      </c>
    </row>
    <row r="11241" spans="1:4">
      <c r="A11241">
        <v>1.0058309999999999</v>
      </c>
      <c r="B11241">
        <v>3.5763919999999998</v>
      </c>
      <c r="C11241">
        <f>LOG10(1.005831)</f>
        <v>2.5250165717129198E-3</v>
      </c>
      <c r="D11241">
        <f>LOG10(3.576392)</f>
        <v>0.55344511473981173</v>
      </c>
    </row>
    <row r="11242" spans="1:4">
      <c r="A11242">
        <v>1.012259</v>
      </c>
      <c r="B11242">
        <v>3.674687</v>
      </c>
      <c r="C11242">
        <f>LOG10(1.012259)</f>
        <v>5.2916467720994882E-3</v>
      </c>
      <c r="D11242">
        <f>LOG10(3.674687)</f>
        <v>0.56522035295438355</v>
      </c>
    </row>
    <row r="11243" spans="1:4">
      <c r="A11243">
        <v>1.040154</v>
      </c>
      <c r="B11243">
        <v>3.7416339999999999</v>
      </c>
      <c r="C11243">
        <f>LOG10(1.040154)</f>
        <v>1.7097643528501134E-2</v>
      </c>
      <c r="D11243">
        <f>LOG10(3.741634)</f>
        <v>0.5730613033258527</v>
      </c>
    </row>
    <row r="11244" spans="1:4">
      <c r="A11244">
        <v>1.0450390000000001</v>
      </c>
      <c r="B11244">
        <v>3.774168</v>
      </c>
      <c r="C11244">
        <f>LOG10(1.045039)</f>
        <v>1.9132498264052503E-2</v>
      </c>
      <c r="D11244">
        <f>LOG10(3.774168)</f>
        <v>0.57682122806236891</v>
      </c>
    </row>
    <row r="11245" spans="1:4">
      <c r="A11245">
        <v>1.035841</v>
      </c>
      <c r="B11245">
        <v>3.5983830000000001</v>
      </c>
      <c r="C11245">
        <f>LOG10(1.035841)</f>
        <v>1.5293096990196374E-2</v>
      </c>
      <c r="D11245">
        <f>LOG10(3.598383)</f>
        <v>0.55610738633976942</v>
      </c>
    </row>
    <row r="11246" spans="1:4">
      <c r="A11246">
        <v>1.0360370000000001</v>
      </c>
      <c r="B11246">
        <v>3.548089</v>
      </c>
      <c r="C11246">
        <f>LOG10(1.036037)</f>
        <v>1.5375265649458162E-2</v>
      </c>
      <c r="D11246">
        <f>LOG10(3.548089)</f>
        <v>0.54999450510673242</v>
      </c>
    </row>
    <row r="11247" spans="1:4">
      <c r="A11247">
        <v>1.008859</v>
      </c>
      <c r="B11247">
        <v>3.5384859999999998</v>
      </c>
      <c r="C11247">
        <f>LOG10(1.008859)</f>
        <v>3.8304726779967977E-3</v>
      </c>
      <c r="D11247">
        <f>LOG10(3.538486)</f>
        <v>0.54881748166099564</v>
      </c>
    </row>
    <row r="11248" spans="1:4">
      <c r="A11248">
        <v>1.0082070000000001</v>
      </c>
      <c r="B11248">
        <v>3.5526450000000001</v>
      </c>
      <c r="C11248">
        <f>LOG10(1.008207)</f>
        <v>3.5497084272852384E-3</v>
      </c>
      <c r="D11248">
        <f>LOG10(3.552645)</f>
        <v>0.55055181254313967</v>
      </c>
    </row>
    <row r="11249" spans="1:4">
      <c r="A11249">
        <v>1.0145459999999999</v>
      </c>
      <c r="B11249">
        <v>3.3803800000000002</v>
      </c>
      <c r="C11249">
        <f>LOG10(1.014546)</f>
        <v>6.271742934929052E-3</v>
      </c>
      <c r="D11249">
        <f>LOG10(3.38038)</f>
        <v>0.52896552354004445</v>
      </c>
    </row>
    <row r="11250" spans="1:4">
      <c r="A11250">
        <v>1.0152490000000001</v>
      </c>
      <c r="B11250">
        <v>3.2983210000000001</v>
      </c>
      <c r="C11250">
        <f>LOG10(1.015249)</f>
        <v>6.5725703908893649E-3</v>
      </c>
      <c r="D11250">
        <f>LOG10(3.298321)</f>
        <v>0.51829291987875326</v>
      </c>
    </row>
    <row r="11251" spans="1:4">
      <c r="A11251">
        <v>1.0609550000000001</v>
      </c>
      <c r="B11251">
        <v>3.2701340000000001</v>
      </c>
      <c r="C11251">
        <f>LOG10(1.060955)</f>
        <v>2.5696963857853847E-2</v>
      </c>
      <c r="D11251">
        <f>LOG10(3.270134)</f>
        <v>0.51456554907258689</v>
      </c>
    </row>
    <row r="11252" spans="1:4">
      <c r="A11252">
        <v>1.027134</v>
      </c>
      <c r="B11252">
        <v>3.0742400000000001</v>
      </c>
      <c r="C11252">
        <f>LOG10(1.027134)</f>
        <v>1.1627105393108053E-2</v>
      </c>
      <c r="D11252">
        <f>LOG10(3.07424)</f>
        <v>0.48773776902156851</v>
      </c>
    </row>
    <row r="11253" spans="1:4">
      <c r="A11253">
        <v>1.0140960000000001</v>
      </c>
      <c r="B11253">
        <v>3.2723200000000001</v>
      </c>
      <c r="C11253">
        <f>LOG10(1.014096)</f>
        <v>6.0790696884303113E-3</v>
      </c>
      <c r="D11253">
        <f>LOG10(3.27232)</f>
        <v>0.51485576671042421</v>
      </c>
    </row>
    <row r="11254" spans="1:4">
      <c r="A11254">
        <v>1.0496570000000001</v>
      </c>
      <c r="B11254">
        <v>3.1907960000000002</v>
      </c>
      <c r="C11254">
        <f>LOG10(1.049657)</f>
        <v>2.1047406362112091E-2</v>
      </c>
      <c r="D11254">
        <f>LOG10(3.190796)</f>
        <v>0.50389903894550236</v>
      </c>
    </row>
    <row r="11255" spans="1:4">
      <c r="A11255">
        <v>1.0365960000000001</v>
      </c>
      <c r="B11255">
        <v>3.1573980000000001</v>
      </c>
      <c r="C11255">
        <f>LOG10(1.036596)</f>
        <v>1.5609528658172547E-2</v>
      </c>
      <c r="D11255">
        <f>LOG10(3.157398)</f>
        <v>0.49932932953531067</v>
      </c>
    </row>
    <row r="11256" spans="1:4">
      <c r="A11256">
        <v>1.011484</v>
      </c>
      <c r="B11256">
        <v>3.1273789999999999</v>
      </c>
      <c r="C11256">
        <f>LOG10(1.011484)</f>
        <v>4.9590173424451534E-3</v>
      </c>
      <c r="D11256">
        <f>LOG10(3.127379)</f>
        <v>0.49518051560002696</v>
      </c>
    </row>
    <row r="11257" spans="1:4">
      <c r="A11257">
        <v>1.005123</v>
      </c>
      <c r="B11257">
        <v>3.1973210000000001</v>
      </c>
      <c r="C11257">
        <f>LOG10(1.005123)</f>
        <v>2.2192109631390768E-3</v>
      </c>
      <c r="D11257">
        <f>LOG10(3.197321)</f>
        <v>0.50478624012855033</v>
      </c>
    </row>
    <row r="11258" spans="1:4">
      <c r="A11258">
        <v>1.0122819999999999</v>
      </c>
      <c r="B11258">
        <v>3.2331370000000001</v>
      </c>
      <c r="C11258">
        <f>LOG10(1.012282)</f>
        <v>5.3015144636741748E-3</v>
      </c>
      <c r="D11258">
        <f>LOG10(3.233137)</f>
        <v>0.50962410766859911</v>
      </c>
    </row>
    <row r="11259" spans="1:4">
      <c r="A11259">
        <v>1.015245</v>
      </c>
      <c r="B11259">
        <v>3.2607620000000002</v>
      </c>
      <c r="C11259">
        <f>LOG10(1.015245)</f>
        <v>6.5708593019349866E-3</v>
      </c>
      <c r="D11259">
        <f>LOG10(3.260762)</f>
        <v>0.51331910121050994</v>
      </c>
    </row>
    <row r="11260" spans="1:4">
      <c r="A11260">
        <v>1.01159</v>
      </c>
      <c r="B11260">
        <v>3.1427130000000001</v>
      </c>
      <c r="C11260">
        <f>LOG10(1.01159)</f>
        <v>5.0045275068028037E-3</v>
      </c>
      <c r="D11260">
        <f>LOG10(3.142713)</f>
        <v>0.49730472202697934</v>
      </c>
    </row>
    <row r="11261" spans="1:4">
      <c r="A11261">
        <v>1.0050539999999999</v>
      </c>
      <c r="B11261">
        <v>3.0854159999999999</v>
      </c>
      <c r="C11261">
        <f>LOG10(1.005054)</f>
        <v>2.189396355506878E-3</v>
      </c>
      <c r="D11261">
        <f>LOG10(3.085416)</f>
        <v>0.48931372730750566</v>
      </c>
    </row>
    <row r="11262" spans="1:4">
      <c r="A11262">
        <v>1.0134449999999999</v>
      </c>
      <c r="B11262">
        <v>3.249854</v>
      </c>
      <c r="C11262">
        <f>LOG10(1.013445)</f>
        <v>5.8001843613916665E-3</v>
      </c>
      <c r="D11262">
        <f>LOG10(3.249854)</f>
        <v>0.51186385069622231</v>
      </c>
    </row>
    <row r="11263" spans="1:4">
      <c r="A11263">
        <v>1.0209220000000001</v>
      </c>
      <c r="B11263">
        <v>3.2993739999999998</v>
      </c>
      <c r="C11263">
        <f>LOG10(1.020922)</f>
        <v>8.9925625926838438E-3</v>
      </c>
      <c r="D11263">
        <f>LOG10(3.299374)</f>
        <v>0.51843154771569544</v>
      </c>
    </row>
    <row r="11264" spans="1:4">
      <c r="A11264">
        <v>1.008769</v>
      </c>
      <c r="B11264">
        <v>3.1749109999999998</v>
      </c>
      <c r="C11264">
        <f>LOG10(1.008769)</f>
        <v>3.7917276730730122E-3</v>
      </c>
      <c r="D11264">
        <f>LOG10(3.174911)</f>
        <v>0.50173155553330495</v>
      </c>
    </row>
    <row r="11265" spans="1:4">
      <c r="A11265">
        <v>1.015625</v>
      </c>
      <c r="B11265">
        <v>3.13557</v>
      </c>
      <c r="C11265">
        <f>LOG10(1.015625)</f>
        <v>6.7333826589684028E-3</v>
      </c>
      <c r="D11265">
        <f>LOG10(3.13557)</f>
        <v>0.49631650062225735</v>
      </c>
    </row>
    <row r="11266" spans="1:4">
      <c r="A11266">
        <v>1.0199130000000001</v>
      </c>
      <c r="B11266">
        <v>3.0797300000000001</v>
      </c>
      <c r="C11266">
        <f>LOG10(1.019913)</f>
        <v>8.5631274174298687E-3</v>
      </c>
      <c r="D11266">
        <f>LOG10(3.07973)</f>
        <v>0.48851264356212099</v>
      </c>
    </row>
    <row r="11267" spans="1:4">
      <c r="A11267">
        <v>1.018921</v>
      </c>
      <c r="B11267">
        <v>3.3092100000000002</v>
      </c>
      <c r="C11267">
        <f>LOG10(1.018921)</f>
        <v>8.1405131584518578E-3</v>
      </c>
      <c r="D11267">
        <f>LOG10(3.30921)</f>
        <v>0.51972432803846835</v>
      </c>
    </row>
    <row r="11268" spans="1:4">
      <c r="A11268">
        <v>1.003709</v>
      </c>
      <c r="B11268">
        <v>3.0986060000000002</v>
      </c>
      <c r="C11268">
        <f>LOG10(1.003709)</f>
        <v>1.6078183739814539E-3</v>
      </c>
      <c r="D11268">
        <f>LOG10(3.098606)</f>
        <v>0.49116635748994647</v>
      </c>
    </row>
    <row r="11269" spans="1:4">
      <c r="A11269">
        <v>1.0110269999999999</v>
      </c>
      <c r="B11269">
        <v>3.0621659999999999</v>
      </c>
      <c r="C11269">
        <f>LOG10(1.011027)</f>
        <v>4.76275380508232E-3</v>
      </c>
      <c r="D11269">
        <f>LOG10(3.062166)</f>
        <v>0.48602873010159009</v>
      </c>
    </row>
    <row r="11270" spans="1:4">
      <c r="A11270">
        <v>1.0149870000000001</v>
      </c>
      <c r="B11270">
        <v>3.1763129999999999</v>
      </c>
      <c r="C11270">
        <f>LOG10(1.014987)</f>
        <v>6.4604798212311663E-3</v>
      </c>
      <c r="D11270">
        <f>LOG10(3.176313)</f>
        <v>0.5019232920784239</v>
      </c>
    </row>
    <row r="11271" spans="1:4">
      <c r="A11271">
        <v>1.0096579999999999</v>
      </c>
      <c r="B11271">
        <v>3.0715279999999998</v>
      </c>
      <c r="C11271">
        <f>LOG10(1.009658)</f>
        <v>4.1742907475637633E-3</v>
      </c>
      <c r="D11271">
        <f>LOG10(3.071528)</f>
        <v>0.48735447869516108</v>
      </c>
    </row>
    <row r="11272" spans="1:4">
      <c r="A11272">
        <v>1.001471</v>
      </c>
      <c r="B11272">
        <v>3.1360009999999998</v>
      </c>
      <c r="C11272">
        <f>LOG10(1.001471)</f>
        <v>6.3837777105681776E-4</v>
      </c>
      <c r="D11272">
        <f>LOG10(3.136001)</f>
        <v>0.49637619249913956</v>
      </c>
    </row>
    <row r="11273" spans="1:4">
      <c r="A11273">
        <v>1.008885</v>
      </c>
      <c r="B11273">
        <v>3.3681890000000001</v>
      </c>
      <c r="C11273">
        <f>LOG10(1.008885)</f>
        <v>3.8416650359273823E-3</v>
      </c>
      <c r="D11273">
        <f>LOG10(3.368189)</f>
        <v>0.52739645318215544</v>
      </c>
    </row>
    <row r="11274" spans="1:4">
      <c r="A11274">
        <v>1.013836</v>
      </c>
      <c r="B11274">
        <v>3.2660260000000001</v>
      </c>
      <c r="C11274">
        <f>LOG10(1.013836)</f>
        <v>5.9677083943498344E-3</v>
      </c>
      <c r="D11274">
        <f>LOG10(3.266026)</f>
        <v>0.51401963772201631</v>
      </c>
    </row>
    <row r="11275" spans="1:4">
      <c r="A11275">
        <v>1.04698</v>
      </c>
      <c r="B11275">
        <v>3.3057129999999999</v>
      </c>
      <c r="C11275">
        <f>LOG10(1.04698)</f>
        <v>1.9938385620963731E-2</v>
      </c>
      <c r="D11275">
        <f>LOG10(3.305713)</f>
        <v>0.51926514568828908</v>
      </c>
    </row>
    <row r="11276" spans="1:4">
      <c r="A11276">
        <v>1.0110779999999999</v>
      </c>
      <c r="B11276">
        <v>3.2952840000000001</v>
      </c>
      <c r="C11276">
        <f>LOG10(1.011078)</f>
        <v>4.7846606977330697E-3</v>
      </c>
      <c r="D11276">
        <f>LOG10(3.295284)</f>
        <v>0.51789284967897264</v>
      </c>
    </row>
    <row r="11277" spans="1:4">
      <c r="A11277">
        <v>1.0168980000000001</v>
      </c>
      <c r="B11277">
        <v>3.2110910000000001</v>
      </c>
      <c r="C11277">
        <f>LOG10(1.016898)</f>
        <v>7.2773931796392558E-3</v>
      </c>
      <c r="D11277">
        <f>LOG10(3.211091)</f>
        <v>0.50665261333288447</v>
      </c>
    </row>
    <row r="11278" spans="1:4">
      <c r="A11278">
        <v>1.0131619999999999</v>
      </c>
      <c r="B11278">
        <v>3.4782760000000001</v>
      </c>
      <c r="C11278">
        <f>LOG10(1.013162)</f>
        <v>5.6788926268052193E-3</v>
      </c>
      <c r="D11278">
        <f>LOG10(3.478276)</f>
        <v>0.54136404015123807</v>
      </c>
    </row>
    <row r="11279" spans="1:4">
      <c r="A11279">
        <v>1.0095369999999999</v>
      </c>
      <c r="B11279">
        <v>3.3813260000000001</v>
      </c>
      <c r="C11279">
        <f>LOG10(1.009537)</f>
        <v>4.1222406658498016E-3</v>
      </c>
      <c r="D11279">
        <f>LOG10(3.381326)</f>
        <v>0.52908704393225348</v>
      </c>
    </row>
    <row r="11280" spans="1:4">
      <c r="A11280">
        <v>1.006645</v>
      </c>
      <c r="B11280">
        <v>3.2111960000000002</v>
      </c>
      <c r="C11280">
        <f>LOG10(1.006645)</f>
        <v>2.8763407391045911E-3</v>
      </c>
      <c r="D11280">
        <f>LOG10(3.211196)</f>
        <v>0.50666681416838244</v>
      </c>
    </row>
    <row r="11281" spans="1:4">
      <c r="A11281">
        <v>1.0134559999999999</v>
      </c>
      <c r="B11281">
        <v>3.2366009999999998</v>
      </c>
      <c r="C11281">
        <f>LOG10(1.013456)</f>
        <v>5.8048981972435168E-3</v>
      </c>
      <c r="D11281">
        <f>LOG10(3.236601)</f>
        <v>0.51008916397507331</v>
      </c>
    </row>
    <row r="11282" spans="1:4">
      <c r="A11282">
        <v>1.0133970000000001</v>
      </c>
      <c r="B11282">
        <v>3.36191</v>
      </c>
      <c r="C11282">
        <f>LOG10(1.013397)</f>
        <v>5.7796142970894882E-3</v>
      </c>
      <c r="D11282">
        <f>LOG10(3.36191)</f>
        <v>0.52658608298014786</v>
      </c>
    </row>
    <row r="11283" spans="1:4">
      <c r="A11283">
        <v>1.00152</v>
      </c>
      <c r="B11283">
        <v>3.2540049999999998</v>
      </c>
      <c r="C11283">
        <f>LOG10(1.00152)</f>
        <v>6.5962642331485546E-4</v>
      </c>
      <c r="D11283">
        <f>LOG10(3.254005)</f>
        <v>0.5124182159243621</v>
      </c>
    </row>
    <row r="11284" spans="1:4">
      <c r="A11284">
        <v>1.0105230000000001</v>
      </c>
      <c r="B11284">
        <v>3.2172459999999998</v>
      </c>
      <c r="C11284">
        <f>LOG10(1.010523)</f>
        <v>4.5462027196139848E-3</v>
      </c>
      <c r="D11284">
        <f>LOG10(3.217246)</f>
        <v>0.50748426959265402</v>
      </c>
    </row>
    <row r="11285" spans="1:4">
      <c r="A11285">
        <v>1.0116750000000001</v>
      </c>
      <c r="B11285">
        <v>3.23197</v>
      </c>
      <c r="C11285">
        <f>LOG10(1.011675)</f>
        <v>5.0410180614098802E-3</v>
      </c>
      <c r="D11285">
        <f>LOG10(3.23197)</f>
        <v>0.50946732088505919</v>
      </c>
    </row>
    <row r="11286" spans="1:4">
      <c r="A11286">
        <v>1.0114939999999999</v>
      </c>
      <c r="B11286">
        <v>3.285895</v>
      </c>
      <c r="C11286">
        <f>LOG10(1.011494)</f>
        <v>4.9633109579160081E-3</v>
      </c>
      <c r="D11286">
        <f>LOG10(3.285895)</f>
        <v>0.5166536815429944</v>
      </c>
    </row>
    <row r="11287" spans="1:4">
      <c r="A11287">
        <v>1.003476</v>
      </c>
      <c r="B11287">
        <v>3.2335950000000002</v>
      </c>
      <c r="C11287">
        <f>LOG10(1.003476)</f>
        <v>1.5069899852300937E-3</v>
      </c>
      <c r="D11287">
        <f>LOG10(3.233595)</f>
        <v>0.50968562463668887</v>
      </c>
    </row>
    <row r="11288" spans="1:4">
      <c r="A11288">
        <v>1.0043</v>
      </c>
      <c r="B11288">
        <v>3.1803249999999998</v>
      </c>
      <c r="C11288">
        <f>LOG10(1.0043)</f>
        <v>1.8634626925239726E-3</v>
      </c>
      <c r="D11288">
        <f>LOG10(3.180325)</f>
        <v>0.50247150315879607</v>
      </c>
    </row>
    <row r="11289" spans="1:4">
      <c r="A11289">
        <v>1.0146459999999999</v>
      </c>
      <c r="B11289">
        <v>3.1142089999999998</v>
      </c>
      <c r="C11289">
        <f>LOG10(1.014646)</f>
        <v>6.3145476061730529E-3</v>
      </c>
      <c r="D11289">
        <f>LOG10(3.114209)</f>
        <v>0.49334775547065812</v>
      </c>
    </row>
    <row r="11290" spans="1:4">
      <c r="A11290">
        <v>1.0035289999999999</v>
      </c>
      <c r="B11290">
        <v>3.1773189999999998</v>
      </c>
      <c r="C11290">
        <f>LOG10(1.003529)</f>
        <v>1.5299272549889249E-3</v>
      </c>
      <c r="D11290">
        <f>LOG10(3.177319)</f>
        <v>0.50206081979562434</v>
      </c>
    </row>
    <row r="11291" spans="1:4">
      <c r="A11291">
        <v>1.0040629999999999</v>
      </c>
      <c r="B11291">
        <v>3.3132100000000002</v>
      </c>
      <c r="C11291">
        <f>LOG10(1.004063)</f>
        <v>1.7609635002077781E-3</v>
      </c>
      <c r="D11291">
        <f>LOG10(3.31321)</f>
        <v>0.52024896348559169</v>
      </c>
    </row>
    <row r="11292" spans="1:4">
      <c r="A11292">
        <v>1.022464</v>
      </c>
      <c r="B11292">
        <v>3.308138</v>
      </c>
      <c r="C11292">
        <f>LOG10(1.022464)</f>
        <v>9.6480258465333427E-3</v>
      </c>
      <c r="D11292">
        <f>LOG10(3.308138)</f>
        <v>0.51958361798704811</v>
      </c>
    </row>
    <row r="11293" spans="1:4">
      <c r="A11293">
        <v>1.015306</v>
      </c>
      <c r="B11293">
        <v>3.118233</v>
      </c>
      <c r="C11293">
        <f>LOG10(1.015306)</f>
        <v>6.5969526760035098E-3</v>
      </c>
      <c r="D11293">
        <f>LOG10(3.118233)</f>
        <v>0.4939085633331361</v>
      </c>
    </row>
    <row r="11294" spans="1:4">
      <c r="A11294">
        <v>1.002921</v>
      </c>
      <c r="B11294">
        <v>3.2027540000000001</v>
      </c>
      <c r="C11294">
        <f>LOG10(1.002921)</f>
        <v>1.2667250290883342E-3</v>
      </c>
      <c r="D11294">
        <f>LOG10(3.202754)</f>
        <v>0.50552358226499639</v>
      </c>
    </row>
    <row r="11295" spans="1:4">
      <c r="A11295">
        <v>1.014027</v>
      </c>
      <c r="B11295">
        <v>3.4747330000000001</v>
      </c>
      <c r="C11295">
        <f>LOG10(1.014027)</f>
        <v>6.0495188976124681E-3</v>
      </c>
      <c r="D11295">
        <f>LOG10(3.474733)</f>
        <v>0.54092143883069876</v>
      </c>
    </row>
    <row r="11296" spans="1:4">
      <c r="A11296">
        <v>1.012939</v>
      </c>
      <c r="B11296">
        <v>3.4030529999999999</v>
      </c>
      <c r="C11296">
        <f>LOG10(1.012939)</f>
        <v>5.5832925852915575E-3</v>
      </c>
      <c r="D11296">
        <f>LOG10(3.403053)</f>
        <v>0.53186871295954696</v>
      </c>
    </row>
    <row r="11297" spans="1:4">
      <c r="A11297">
        <v>1.0115749999999999</v>
      </c>
      <c r="B11297">
        <v>3.4297689999999998</v>
      </c>
      <c r="C11297">
        <f>LOG10(1.011575)</f>
        <v>4.9980876788809974E-3</v>
      </c>
      <c r="D11297">
        <f>LOG10(3.429769)</f>
        <v>0.53526487065394779</v>
      </c>
    </row>
    <row r="11298" spans="1:4">
      <c r="A11298">
        <v>1.0061070000000001</v>
      </c>
      <c r="B11298">
        <v>3.3286600000000002</v>
      </c>
      <c r="C11298">
        <f>LOG10(1.006107)</f>
        <v>2.6441706189621601E-3</v>
      </c>
      <c r="D11298">
        <f>LOG10(3.32866)</f>
        <v>0.52226943719186436</v>
      </c>
    </row>
    <row r="11299" spans="1:4">
      <c r="A11299">
        <v>1.0055959999999999</v>
      </c>
      <c r="B11299">
        <v>3.1811310000000002</v>
      </c>
      <c r="C11299">
        <f>LOG10(1.005596)</f>
        <v>2.4235371705597871E-3</v>
      </c>
      <c r="D11299">
        <f>LOG10(3.181131)</f>
        <v>0.50258155386237313</v>
      </c>
    </row>
    <row r="11300" spans="1:4">
      <c r="A11300">
        <v>1.0083610000000001</v>
      </c>
      <c r="B11300">
        <v>2.6091500000000001</v>
      </c>
      <c r="C11300">
        <f>LOG10(1.008361)</f>
        <v>3.6160402845229933E-3</v>
      </c>
      <c r="D11300">
        <f>LOG10(2.60915)</f>
        <v>0.41649904740212984</v>
      </c>
    </row>
    <row r="11301" spans="1:4">
      <c r="A11301">
        <v>1.008373</v>
      </c>
      <c r="B11301">
        <v>3.1485439999999998</v>
      </c>
      <c r="C11301">
        <f>LOG10(1.008373)</f>
        <v>3.6212085752176087E-3</v>
      </c>
      <c r="D11301">
        <f>LOG10(3.148544)</f>
        <v>0.49810976682140135</v>
      </c>
    </row>
    <row r="11302" spans="1:4">
      <c r="A11302">
        <v>1.0191730000000001</v>
      </c>
      <c r="B11302">
        <v>3.3367390000000001</v>
      </c>
      <c r="C11302">
        <f>LOG10(1.019173)</f>
        <v>8.2479097849052028E-3</v>
      </c>
      <c r="D11302">
        <f>LOG10(3.336739)</f>
        <v>0.52332223743309125</v>
      </c>
    </row>
    <row r="11303" spans="1:4">
      <c r="A11303">
        <v>1.004203</v>
      </c>
      <c r="B11303">
        <v>3.4497110000000002</v>
      </c>
      <c r="C11303">
        <f>LOG10(1.004203)</f>
        <v>1.821514470612058E-3</v>
      </c>
      <c r="D11303">
        <f>LOG10(3.449711)</f>
        <v>0.5377827135189327</v>
      </c>
    </row>
    <row r="11304" spans="1:4">
      <c r="A11304">
        <v>1.0036510000000001</v>
      </c>
      <c r="B11304">
        <v>3.5471170000000001</v>
      </c>
      <c r="C11304">
        <f>LOG10(1.003651)</f>
        <v>1.5827216499684704E-3</v>
      </c>
      <c r="D11304">
        <f>LOG10(3.547117)</f>
        <v>0.54987551370914634</v>
      </c>
    </row>
    <row r="11305" spans="1:4">
      <c r="A11305">
        <v>1.004114</v>
      </c>
      <c r="B11305">
        <v>3.5112239999999999</v>
      </c>
      <c r="C11305">
        <f>LOG10(1.004114)</f>
        <v>1.7830223312588636E-3</v>
      </c>
      <c r="D11305">
        <f>LOG10(3.511224)</f>
        <v>0.54545853634681196</v>
      </c>
    </row>
    <row r="11306" spans="1:4">
      <c r="A11306">
        <v>1.004856</v>
      </c>
      <c r="B11306">
        <v>3.2473070000000002</v>
      </c>
      <c r="C11306">
        <f>LOG10(1.004856)</f>
        <v>2.1038300289599418E-3</v>
      </c>
      <c r="D11306">
        <f>LOG10(3.247307)</f>
        <v>0.51152334871325744</v>
      </c>
    </row>
    <row r="11307" spans="1:4">
      <c r="A11307">
        <v>1.002583</v>
      </c>
      <c r="B11307">
        <v>3.235096</v>
      </c>
      <c r="C11307">
        <f>LOG10(1.002583)</f>
        <v>1.1203363544478235E-3</v>
      </c>
      <c r="D11307">
        <f>LOG10(3.235096)</f>
        <v>0.50988717268683881</v>
      </c>
    </row>
    <row r="11308" spans="1:4">
      <c r="A11308">
        <v>1.0054909999999999</v>
      </c>
      <c r="B11308">
        <v>3.2206299999999999</v>
      </c>
      <c r="C11308">
        <f>LOG10(1.005491)</f>
        <v>2.3781876450133673E-3</v>
      </c>
      <c r="D11308">
        <f>LOG10(3.22063)</f>
        <v>0.50794083404407064</v>
      </c>
    </row>
    <row r="11309" spans="1:4">
      <c r="A11309">
        <v>1.013703</v>
      </c>
      <c r="B11309">
        <v>3.1892200000000002</v>
      </c>
      <c r="C11309">
        <f>LOG10(1.013703)</f>
        <v>5.9107317678327087E-3</v>
      </c>
      <c r="D11309">
        <f>LOG10(3.18922)</f>
        <v>0.50368447894521362</v>
      </c>
    </row>
    <row r="11310" spans="1:4">
      <c r="A11310">
        <v>1.0043230000000001</v>
      </c>
      <c r="B11310">
        <v>3.3552369999999998</v>
      </c>
      <c r="C11310">
        <f>LOG10(1.004323)</f>
        <v>1.8734085838975729E-3</v>
      </c>
      <c r="D11310">
        <f>LOG10(3.355237)</f>
        <v>0.52572320234612258</v>
      </c>
    </row>
    <row r="11311" spans="1:4">
      <c r="A11311">
        <v>1.0080960000000001</v>
      </c>
      <c r="B11311">
        <v>3.3437000000000001</v>
      </c>
      <c r="C11311">
        <f>LOG10(1.008096)</f>
        <v>3.5018915192709691E-3</v>
      </c>
      <c r="D11311">
        <f>LOG10(3.3437)</f>
        <v>0.52422730519365512</v>
      </c>
    </row>
    <row r="11312" spans="1:4">
      <c r="A11312">
        <v>1.0107619999999999</v>
      </c>
      <c r="B11312">
        <v>3.3751030000000002</v>
      </c>
      <c r="C11312">
        <f>LOG10(1.010762)</f>
        <v>4.6489060807516306E-3</v>
      </c>
      <c r="D11312">
        <f>LOG10(3.375103)</f>
        <v>0.52828703098898977</v>
      </c>
    </row>
    <row r="11313" spans="1:4">
      <c r="A11313">
        <v>1.014518</v>
      </c>
      <c r="B11313">
        <v>3.5375869999999998</v>
      </c>
      <c r="C11313">
        <f>LOG10(1.014518)</f>
        <v>6.2597568709172454E-3</v>
      </c>
      <c r="D11313">
        <f>LOG10(3.537587)</f>
        <v>0.54870712928296561</v>
      </c>
    </row>
    <row r="11314" spans="1:4">
      <c r="A11314">
        <v>1.0094270000000001</v>
      </c>
      <c r="B11314">
        <v>3.2752889999999999</v>
      </c>
      <c r="C11314">
        <f>LOG10(1.009427)</f>
        <v>4.074916995832352E-3</v>
      </c>
      <c r="D11314">
        <f>LOG10(3.275289)</f>
        <v>0.51524962663857365</v>
      </c>
    </row>
    <row r="11315" spans="1:4">
      <c r="A11315">
        <v>1.0079340000000001</v>
      </c>
      <c r="B11315">
        <v>3.3246980000000002</v>
      </c>
      <c r="C11315">
        <f>LOG10(1.007934)</f>
        <v>3.4320952303072577E-3</v>
      </c>
      <c r="D11315">
        <f>LOG10(3.324698)</f>
        <v>0.52175220215335039</v>
      </c>
    </row>
    <row r="11316" spans="1:4">
      <c r="A11316">
        <v>1.0045379999999999</v>
      </c>
      <c r="B11316">
        <v>3.3279450000000002</v>
      </c>
      <c r="C11316">
        <f>LOG10(1.004538)</f>
        <v>1.966370032166668E-3</v>
      </c>
      <c r="D11316">
        <f>LOG10(3.327945)</f>
        <v>0.52217614021667802</v>
      </c>
    </row>
    <row r="11317" spans="1:4">
      <c r="A11317">
        <v>1.005914</v>
      </c>
      <c r="B11317">
        <v>3.8121649999999998</v>
      </c>
      <c r="C11317">
        <f>LOG10(1.005914)</f>
        <v>2.5608525668499244E-3</v>
      </c>
      <c r="D11317">
        <f>LOG10(3.812165)</f>
        <v>0.58117168972041011</v>
      </c>
    </row>
    <row r="11318" spans="1:4">
      <c r="A11318">
        <v>1.0049030000000001</v>
      </c>
      <c r="B11318">
        <v>3.405421</v>
      </c>
      <c r="C11318">
        <f>LOG10(1.004903)</f>
        <v>2.1241427536729351E-3</v>
      </c>
      <c r="D11318">
        <f>LOG10(3.405421)</f>
        <v>0.53217080983899878</v>
      </c>
    </row>
    <row r="11319" spans="1:4">
      <c r="A11319">
        <v>1.001099</v>
      </c>
      <c r="B11319">
        <v>3.3060100000000001</v>
      </c>
      <c r="C11319">
        <f>LOG10(1.001099)</f>
        <v>4.7702755695560841E-4</v>
      </c>
      <c r="D11319">
        <f>LOG10(3.30601)</f>
        <v>0.51930416288886205</v>
      </c>
    </row>
    <row r="11320" spans="1:4">
      <c r="A11320">
        <v>1.009231</v>
      </c>
      <c r="B11320">
        <v>3.4333230000000001</v>
      </c>
      <c r="C11320">
        <f>LOG10(1.009231)</f>
        <v>3.9905820379340226E-3</v>
      </c>
      <c r="D11320">
        <f>LOG10(3.433323)</f>
        <v>0.53571466288364578</v>
      </c>
    </row>
    <row r="11321" spans="1:4">
      <c r="A11321">
        <v>1.0058659999999999</v>
      </c>
      <c r="B11321">
        <v>3.429691</v>
      </c>
      <c r="C11321">
        <f>LOG10(1.005866)</f>
        <v>2.5401284964890174E-3</v>
      </c>
      <c r="D11321">
        <f>LOG10(3.429691)</f>
        <v>0.53525499379204033</v>
      </c>
    </row>
    <row r="11322" spans="1:4">
      <c r="A11322">
        <v>1.012359</v>
      </c>
      <c r="B11322">
        <v>3.6807240000000001</v>
      </c>
      <c r="C11322">
        <f>LOG10(1.012359)</f>
        <v>5.3345481472978091E-3</v>
      </c>
      <c r="D11322">
        <f>LOG10(3.680724)</f>
        <v>0.56593325298837904</v>
      </c>
    </row>
    <row r="11323" spans="1:4">
      <c r="A11323">
        <v>1.0106550000000001</v>
      </c>
      <c r="B11323">
        <v>3.5034070000000002</v>
      </c>
      <c r="C11323">
        <f>LOG10(1.010655)</f>
        <v>4.6029289175962924E-3</v>
      </c>
      <c r="D11323">
        <f>LOG10(3.503407)</f>
        <v>0.54449059338007455</v>
      </c>
    </row>
    <row r="11324" spans="1:4">
      <c r="A11324">
        <v>1.009941</v>
      </c>
      <c r="B11324">
        <v>3.3895040000000001</v>
      </c>
      <c r="C11324">
        <f>LOG10(1.009941)</f>
        <v>4.2960033639624362E-3</v>
      </c>
      <c r="D11324">
        <f>LOG10(3.389504)</f>
        <v>0.530136150762618</v>
      </c>
    </row>
    <row r="11325" spans="1:4">
      <c r="A11325">
        <v>1.0012730000000001</v>
      </c>
      <c r="B11325">
        <v>3.459625</v>
      </c>
      <c r="C11325">
        <f>LOG10(1.001273)</f>
        <v>5.5250528041700516E-4</v>
      </c>
      <c r="D11325">
        <f>LOG10(3.459625)</f>
        <v>0.53902902675321573</v>
      </c>
    </row>
    <row r="11326" spans="1:4">
      <c r="A11326">
        <v>1.00132</v>
      </c>
      <c r="B11326">
        <v>3.5282789999999999</v>
      </c>
      <c r="C11326">
        <f>LOG10(1.00132)</f>
        <v>5.7289069138484613E-4</v>
      </c>
      <c r="D11326">
        <f>LOG10(3.528279)</f>
        <v>0.54756291981851668</v>
      </c>
    </row>
    <row r="11327" spans="1:4">
      <c r="A11327">
        <v>1.0016480000000001</v>
      </c>
      <c r="B11327">
        <v>3.4334259999999999</v>
      </c>
      <c r="C11327">
        <f>LOG10(1.001648)</f>
        <v>7.1512820225634252E-4</v>
      </c>
      <c r="D11327">
        <f>LOG10(3.433426)</f>
        <v>0.53572769156188615</v>
      </c>
    </row>
    <row r="11328" spans="1:4">
      <c r="A11328">
        <v>1.0079959999999999</v>
      </c>
      <c r="B11328">
        <v>3.4218670000000002</v>
      </c>
      <c r="C11328">
        <f>LOG10(1.007996)</f>
        <v>3.4588087152858009E-3</v>
      </c>
      <c r="D11328">
        <f>LOG10(3.421867)</f>
        <v>0.53426312551817334</v>
      </c>
    </row>
    <row r="11329" spans="1:4">
      <c r="A11329">
        <v>1.4459489999999999</v>
      </c>
      <c r="B11329">
        <v>3.5817939999999999</v>
      </c>
      <c r="C11329">
        <f>LOG10(1.445949)</f>
        <v>0.1601529752481517</v>
      </c>
      <c r="D11329">
        <f>LOG10(3.581794)</f>
        <v>0.55410060461856359</v>
      </c>
    </row>
    <row r="11330" spans="1:4">
      <c r="A11330">
        <v>1.5403549999999999</v>
      </c>
      <c r="B11330">
        <v>3.321637</v>
      </c>
      <c r="C11330">
        <f>LOG10(1.540355)</f>
        <v>0.1876208226375595</v>
      </c>
      <c r="D11330">
        <f>LOG10(3.321637)</f>
        <v>0.52135216950284524</v>
      </c>
    </row>
    <row r="11331" spans="1:4">
      <c r="A11331">
        <v>1.0028440000000001</v>
      </c>
      <c r="B11331">
        <v>3.3834620000000002</v>
      </c>
      <c r="C11331">
        <f>LOG10(1.002844)</f>
        <v>1.2333804696579651E-3</v>
      </c>
      <c r="D11331">
        <f>LOG10(3.383462)</f>
        <v>0.52936130324213115</v>
      </c>
    </row>
    <row r="11332" spans="1:4">
      <c r="A11332">
        <v>1.0119</v>
      </c>
      <c r="B11332">
        <v>3.3952849999999999</v>
      </c>
      <c r="C11332">
        <f>LOG10(1.0119)</f>
        <v>5.1375959088639034E-3</v>
      </c>
      <c r="D11332">
        <f>LOG10(3.395285)</f>
        <v>0.53087623479690615</v>
      </c>
    </row>
    <row r="11333" spans="1:4">
      <c r="A11333">
        <v>1.004065</v>
      </c>
      <c r="B11333">
        <v>3.6765819999999998</v>
      </c>
      <c r="C11333">
        <f>LOG10(1.004065)</f>
        <v>1.7618285735136947E-3</v>
      </c>
      <c r="D11333">
        <f>LOG10(3.676582)</f>
        <v>0.56544425662637154</v>
      </c>
    </row>
    <row r="11334" spans="1:4">
      <c r="A11334">
        <v>1.002761</v>
      </c>
      <c r="B11334">
        <v>3.3078340000000002</v>
      </c>
      <c r="C11334">
        <f>LOG10(1.002761)</f>
        <v>1.1974347654753648E-3</v>
      </c>
      <c r="D11334">
        <f>LOG10(3.307834)</f>
        <v>0.5195437068379104</v>
      </c>
    </row>
    <row r="11335" spans="1:4">
      <c r="A11335">
        <v>1.0058210000000001</v>
      </c>
      <c r="B11335">
        <v>3.2680370000000001</v>
      </c>
      <c r="C11335">
        <f>LOG10(1.005821)</f>
        <v>2.5206987823348363E-3</v>
      </c>
      <c r="D11335">
        <f>LOG10(3.268037)</f>
        <v>0.51428696487533065</v>
      </c>
    </row>
    <row r="11336" spans="1:4">
      <c r="A11336">
        <v>1.0029330000000001</v>
      </c>
      <c r="B11336">
        <v>2.834003</v>
      </c>
      <c r="C11336">
        <f>LOG10(1.002933)</f>
        <v>1.2719213532305246E-3</v>
      </c>
      <c r="D11336">
        <f>LOG10(2.834003)</f>
        <v>0.45240030564424194</v>
      </c>
    </row>
    <row r="11337" spans="1:4">
      <c r="A11337">
        <v>1.0018879999999999</v>
      </c>
      <c r="B11337">
        <v>2.9771879999999999</v>
      </c>
      <c r="C11337">
        <f>LOG10(1.001888)</f>
        <v>8.1917492380787404E-4</v>
      </c>
      <c r="D11337">
        <f>LOG10(2.977188)</f>
        <v>0.47380625983471847</v>
      </c>
    </row>
    <row r="11338" spans="1:4">
      <c r="A11338">
        <v>1.0035750000000001</v>
      </c>
      <c r="B11338">
        <v>3.244605</v>
      </c>
      <c r="C11338">
        <f>LOG10(1.003575)</f>
        <v>1.5498340920747358E-3</v>
      </c>
      <c r="D11338">
        <f>LOG10(3.244605)</f>
        <v>0.51116183310495511</v>
      </c>
    </row>
    <row r="11339" spans="1:4">
      <c r="A11339">
        <v>1.004853</v>
      </c>
      <c r="B11339">
        <v>3.0179770000000001</v>
      </c>
      <c r="C11339">
        <f>LOG10(1.004853)</f>
        <v>2.1025334398062884E-3</v>
      </c>
      <c r="D11339">
        <f>LOG10(3.017977)</f>
        <v>0.47971592569432719</v>
      </c>
    </row>
    <row r="11340" spans="1:4">
      <c r="A11340">
        <v>1.0005379999999999</v>
      </c>
      <c r="B11340">
        <v>3.191198</v>
      </c>
      <c r="C11340">
        <f>LOG10(1.000538)</f>
        <v>2.3358760183172096E-4</v>
      </c>
      <c r="D11340">
        <f>LOG10(3.191198)</f>
        <v>0.50395375111914464</v>
      </c>
    </row>
    <row r="11341" spans="1:4">
      <c r="A11341">
        <v>1.003177</v>
      </c>
      <c r="B11341">
        <v>3.1989779999999999</v>
      </c>
      <c r="C11341">
        <f>LOG10(1.003177)</f>
        <v>1.3775664615315638E-3</v>
      </c>
      <c r="D11341">
        <f>LOG10(3.198978)</f>
        <v>0.50501125336592767</v>
      </c>
    </row>
    <row r="11342" spans="1:4">
      <c r="A11342">
        <v>1.0014069999999999</v>
      </c>
      <c r="B11342">
        <v>3.2732749999999999</v>
      </c>
      <c r="C11342">
        <f>LOG10(1.001407)</f>
        <v>6.1062286351747086E-4</v>
      </c>
      <c r="D11342">
        <f>LOG10(3.273275)</f>
        <v>0.5149824935345434</v>
      </c>
    </row>
    <row r="11343" spans="1:4">
      <c r="A11343">
        <v>1.0072460000000001</v>
      </c>
      <c r="B11343">
        <v>3.391184</v>
      </c>
      <c r="C11343">
        <f>LOG10(1.007246)</f>
        <v>3.1355513829500938E-3</v>
      </c>
      <c r="D11343">
        <f>LOG10(3.391184)</f>
        <v>0.53035135451318927</v>
      </c>
    </row>
    <row r="11344" spans="1:4">
      <c r="A11344">
        <v>1.0131300000000001</v>
      </c>
      <c r="B11344">
        <v>3.3758180000000002</v>
      </c>
      <c r="C11344">
        <f>LOG10(1.01313)</f>
        <v>5.6651755283594115E-3</v>
      </c>
      <c r="D11344">
        <f>LOG10(3.375818)</f>
        <v>0.52837902452756669</v>
      </c>
    </row>
    <row r="11345" spans="1:4">
      <c r="A11345">
        <v>1.004891</v>
      </c>
      <c r="B11345">
        <v>3.2295539999999998</v>
      </c>
      <c r="C11345">
        <f>LOG10(1.004891)</f>
        <v>2.1189566164041859E-3</v>
      </c>
      <c r="D11345">
        <f>LOG10(3.229554)</f>
        <v>0.50914255059335234</v>
      </c>
    </row>
    <row r="11346" spans="1:4">
      <c r="A11346">
        <v>1.005333</v>
      </c>
      <c r="B11346">
        <v>3.108425</v>
      </c>
      <c r="C11346">
        <f>LOG10(1.005333)</f>
        <v>2.3099384812060144E-3</v>
      </c>
      <c r="D11346">
        <f>LOG10(3.108425)</f>
        <v>0.49254039318428117</v>
      </c>
    </row>
    <row r="11347" spans="1:4">
      <c r="A11347">
        <v>1.0047870000000001</v>
      </c>
      <c r="B11347">
        <v>3.2025929999999998</v>
      </c>
      <c r="C11347">
        <f>LOG10(1.004787)</f>
        <v>2.0740074990249777E-3</v>
      </c>
      <c r="D11347">
        <f>LOG10(3.202593)</f>
        <v>0.50550175006399267</v>
      </c>
    </row>
    <row r="11348" spans="1:4">
      <c r="A11348">
        <v>1.0081990000000001</v>
      </c>
      <c r="B11348">
        <v>3.1246109999999998</v>
      </c>
      <c r="C11348">
        <f>LOG10(1.008199)</f>
        <v>3.5462623396865628E-3</v>
      </c>
      <c r="D11348">
        <f>LOG10(3.124611)</f>
        <v>0.49479595733795223</v>
      </c>
    </row>
    <row r="11349" spans="1:4">
      <c r="A11349">
        <v>1.0059819999999999</v>
      </c>
      <c r="B11349">
        <v>3.3211400000000002</v>
      </c>
      <c r="C11349">
        <f>LOG10(1.005982)</f>
        <v>2.5902099737741867E-3</v>
      </c>
      <c r="D11349">
        <f>LOG10(3.32114)</f>
        <v>0.52128718332073842</v>
      </c>
    </row>
    <row r="11350" spans="1:4">
      <c r="A11350">
        <v>1.011331</v>
      </c>
      <c r="B11350">
        <v>3.3595630000000001</v>
      </c>
      <c r="C11350">
        <f>LOG10(1.011331)</f>
        <v>4.8933197320774804E-3</v>
      </c>
      <c r="D11350">
        <f>LOG10(3.359563)</f>
        <v>0.52628278958286634</v>
      </c>
    </row>
    <row r="11351" spans="1:4">
      <c r="A11351">
        <v>1.006508</v>
      </c>
      <c r="B11351">
        <v>3.3339940000000001</v>
      </c>
      <c r="C11351">
        <f>LOG10(1.006508)</f>
        <v>2.8172311293405872E-3</v>
      </c>
      <c r="D11351">
        <f>LOG10(3.333994)</f>
        <v>0.52296481391753058</v>
      </c>
    </row>
    <row r="11352" spans="1:4">
      <c r="A11352">
        <v>1.007986</v>
      </c>
      <c r="B11352">
        <v>3.3820100000000002</v>
      </c>
      <c r="C11352">
        <f>LOG10(1.007986)</f>
        <v>3.4545001998139368E-3</v>
      </c>
      <c r="D11352">
        <f>LOG10(3.38201)</f>
        <v>0.52917488739489815</v>
      </c>
    </row>
    <row r="11353" spans="1:4">
      <c r="A11353">
        <v>1.0148269999999999</v>
      </c>
      <c r="B11353">
        <v>3.399079</v>
      </c>
      <c r="C11353">
        <f>LOG10(1.014827)</f>
        <v>6.3920133339091688E-3</v>
      </c>
      <c r="D11353">
        <f>LOG10(3.399079)</f>
        <v>0.53136125839458259</v>
      </c>
    </row>
    <row r="11354" spans="1:4">
      <c r="A11354">
        <v>1.0157099999999999</v>
      </c>
      <c r="B11354">
        <v>3.4338329999999999</v>
      </c>
      <c r="C11354">
        <f>LOG10(1.01571)</f>
        <v>6.7697282454750839E-3</v>
      </c>
      <c r="D11354">
        <f>LOG10(3.433833)</f>
        <v>0.53577916999144348</v>
      </c>
    </row>
    <row r="11355" spans="1:4">
      <c r="A11355">
        <v>1.0083200000000001</v>
      </c>
      <c r="B11355">
        <v>3.4849899999999998</v>
      </c>
      <c r="C11355">
        <f>LOG10(1.00832)</f>
        <v>3.5983814939056689E-3</v>
      </c>
      <c r="D11355">
        <f>LOG10(3.48499)</f>
        <v>0.54220153625008272</v>
      </c>
    </row>
    <row r="11356" spans="1:4">
      <c r="A11356">
        <v>1.0100480000000001</v>
      </c>
      <c r="B11356">
        <v>3.6579060000000001</v>
      </c>
      <c r="C11356">
        <f>LOG10(1.010048)</f>
        <v>4.3420130299627411E-3</v>
      </c>
      <c r="D11356">
        <f>LOG10(3.657906)</f>
        <v>0.5632325408872999</v>
      </c>
    </row>
    <row r="11357" spans="1:4">
      <c r="A11357">
        <v>1.009341</v>
      </c>
      <c r="B11357">
        <v>3.5951610000000001</v>
      </c>
      <c r="C11357">
        <f>LOG10(1.009341)</f>
        <v>4.0379148980516401E-3</v>
      </c>
      <c r="D11357">
        <f>LOG10(3.595161)</f>
        <v>0.55571834391109565</v>
      </c>
    </row>
    <row r="11358" spans="1:4">
      <c r="A11358">
        <v>1.008715</v>
      </c>
      <c r="B11358">
        <v>3.616412</v>
      </c>
      <c r="C11358">
        <f>LOG10(1.008715)</f>
        <v>3.7684790108497919E-3</v>
      </c>
      <c r="D11358">
        <f>LOG10(3.616412)</f>
        <v>0.5582779016522994</v>
      </c>
    </row>
    <row r="11359" spans="1:4">
      <c r="A11359">
        <v>1.011053</v>
      </c>
      <c r="B11359">
        <v>3.6610800000000001</v>
      </c>
      <c r="C11359">
        <f>LOG10(1.011053)</f>
        <v>4.7739221629416947E-3</v>
      </c>
      <c r="D11359">
        <f>LOG10(3.66108)</f>
        <v>0.56360921896045779</v>
      </c>
    </row>
    <row r="11360" spans="1:4">
      <c r="A11360">
        <v>1.0411859999999999</v>
      </c>
      <c r="B11360">
        <v>3.5356369999999999</v>
      </c>
      <c r="C11360">
        <f>LOG10(1.041186)</f>
        <v>1.7528319863990501E-2</v>
      </c>
      <c r="D11360">
        <f>LOG10(3.535637)</f>
        <v>0.54846767008835606</v>
      </c>
    </row>
    <row r="11361" spans="1:4">
      <c r="A11361">
        <v>1.014751</v>
      </c>
      <c r="B11361">
        <v>3.4872860000000001</v>
      </c>
      <c r="C11361">
        <f>LOG10(1.014751)</f>
        <v>6.3594879708631967E-3</v>
      </c>
      <c r="D11361">
        <f>LOG10(3.487286)</f>
        <v>0.54248756628288519</v>
      </c>
    </row>
    <row r="11362" spans="1:4">
      <c r="A11362">
        <v>1.0119149999999999</v>
      </c>
      <c r="B11362">
        <v>3.412496</v>
      </c>
      <c r="C11362">
        <f>LOG10(1.011915)</f>
        <v>5.1440336684700086E-3</v>
      </c>
      <c r="D11362">
        <f>LOG10(3.412496)</f>
        <v>0.53307215098538507</v>
      </c>
    </row>
    <row r="11363" spans="1:4">
      <c r="A11363">
        <v>1.0171190000000001</v>
      </c>
      <c r="B11363">
        <v>3.5311279999999998</v>
      </c>
      <c r="C11363">
        <f>LOG10(1.017119)</f>
        <v>7.3717671016648003E-3</v>
      </c>
      <c r="D11363">
        <f>LOG10(3.531128)</f>
        <v>0.54791346060646584</v>
      </c>
    </row>
    <row r="11364" spans="1:4">
      <c r="A11364">
        <v>1.4207700000000001</v>
      </c>
      <c r="B11364">
        <v>3.4473919999999998</v>
      </c>
      <c r="C11364">
        <f>LOG10(1.42077)</f>
        <v>0.15252377826841512</v>
      </c>
      <c r="D11364">
        <f>LOG10(3.447392)</f>
        <v>0.53749066947044288</v>
      </c>
    </row>
    <row r="11365" spans="1:4">
      <c r="A11365">
        <v>1.0161880000000001</v>
      </c>
      <c r="B11365">
        <v>3.487228</v>
      </c>
      <c r="C11365">
        <f>LOG10(1.016188)</f>
        <v>6.974062091149767E-3</v>
      </c>
      <c r="D11365">
        <f>LOG10(3.487228)</f>
        <v>0.5424803431043379</v>
      </c>
    </row>
    <row r="11366" spans="1:4">
      <c r="A11366">
        <v>1.010826</v>
      </c>
      <c r="B11366">
        <v>3.5366659999999999</v>
      </c>
      <c r="C11366">
        <f>LOG10(1.010826)</f>
        <v>4.6764041138336642E-3</v>
      </c>
      <c r="D11366">
        <f>LOG10(3.536666)</f>
        <v>0.54859404731654671</v>
      </c>
    </row>
    <row r="11367" spans="1:4">
      <c r="A11367">
        <v>1.0156700000000001</v>
      </c>
      <c r="B11367">
        <v>3.489833</v>
      </c>
      <c r="C11367">
        <f>LOG10(1.01567)</f>
        <v>6.7526248189588274E-3</v>
      </c>
      <c r="D11367">
        <f>LOG10(3.489833)</f>
        <v>0.54280464503546</v>
      </c>
    </row>
    <row r="11368" spans="1:4">
      <c r="A11368">
        <v>1.01671</v>
      </c>
      <c r="B11368">
        <v>3.5212650000000001</v>
      </c>
      <c r="C11368">
        <f>LOG10(1.01671)</f>
        <v>7.1970951449831762E-3</v>
      </c>
      <c r="D11368">
        <f>LOG10(3.521265)</f>
        <v>0.54669871001963122</v>
      </c>
    </row>
    <row r="11369" spans="1:4">
      <c r="A11369">
        <v>1.045739</v>
      </c>
      <c r="B11369">
        <v>3.589232</v>
      </c>
      <c r="C11369">
        <f>LOG10(1.045739)</f>
        <v>1.9423304986422144E-2</v>
      </c>
      <c r="D11369">
        <f>LOG10(3.589232)</f>
        <v>0.55500153107311134</v>
      </c>
    </row>
    <row r="11370" spans="1:4">
      <c r="A11370">
        <v>1.019658</v>
      </c>
      <c r="B11370">
        <v>3.429843</v>
      </c>
      <c r="C11370">
        <f>LOG10(1.019658)</f>
        <v>8.4545309591919152E-3</v>
      </c>
      <c r="D11370">
        <f>LOG10(3.429843)</f>
        <v>0.53527424080248154</v>
      </c>
    </row>
    <row r="11371" spans="1:4">
      <c r="A11371">
        <v>1.026421</v>
      </c>
      <c r="B11371">
        <v>3.5246919999999999</v>
      </c>
      <c r="C11371">
        <f>LOG10(1.026421)</f>
        <v>1.1325528880144117E-2</v>
      </c>
      <c r="D11371">
        <f>LOG10(3.524692)</f>
        <v>0.54712117280413131</v>
      </c>
    </row>
    <row r="11372" spans="1:4">
      <c r="A11372">
        <v>1.0222990000000001</v>
      </c>
      <c r="B11372">
        <v>3.374501</v>
      </c>
      <c r="C11372">
        <f>LOG10(1.022299)</f>
        <v>9.5779359733602094E-3</v>
      </c>
      <c r="D11372">
        <f>LOG10(3.374501)</f>
        <v>0.52820956117630169</v>
      </c>
    </row>
    <row r="11373" spans="1:4">
      <c r="A11373">
        <v>1.0103359999999999</v>
      </c>
      <c r="B11373">
        <v>3.3540350000000001</v>
      </c>
      <c r="C11373">
        <f>LOG10(1.010336)</f>
        <v>4.4658279202363154E-3</v>
      </c>
      <c r="D11373">
        <f>LOG10(3.354035)</f>
        <v>0.52556759024011979</v>
      </c>
    </row>
    <row r="11374" spans="1:4">
      <c r="A11374">
        <v>1.011647</v>
      </c>
      <c r="B11374">
        <v>3.3834089999999999</v>
      </c>
      <c r="C11374">
        <f>LOG10(1.011647)</f>
        <v>5.0289979820610396E-3</v>
      </c>
      <c r="D11374">
        <f>LOG10(3.383409)</f>
        <v>0.52935450021380637</v>
      </c>
    </row>
    <row r="11375" spans="1:4">
      <c r="A11375">
        <v>1.025342</v>
      </c>
      <c r="B11375">
        <v>3.4134000000000002</v>
      </c>
      <c r="C11375">
        <f>LOG10(1.025342)</f>
        <v>1.0868747283855881E-2</v>
      </c>
      <c r="D11375">
        <f>LOG10(3.4134)</f>
        <v>0.53318718415141519</v>
      </c>
    </row>
    <row r="11376" spans="1:4">
      <c r="A11376">
        <v>1.011682</v>
      </c>
      <c r="B11376">
        <v>3.5368219999999999</v>
      </c>
      <c r="C11376">
        <f>LOG10(1.011682)</f>
        <v>5.0440230292660496E-3</v>
      </c>
      <c r="D11376">
        <f>LOG10(3.536822)</f>
        <v>0.54861320333665664</v>
      </c>
    </row>
    <row r="11377" spans="1:4">
      <c r="A11377">
        <v>1.013433</v>
      </c>
      <c r="B11377">
        <v>3.3983490000000001</v>
      </c>
      <c r="C11377">
        <f>LOG10(1.013433)</f>
        <v>5.7950419366548473E-3</v>
      </c>
      <c r="D11377">
        <f>LOG10(3.398349)</f>
        <v>0.53126797753217159</v>
      </c>
    </row>
    <row r="11378" spans="1:4">
      <c r="A11378">
        <v>1.009279</v>
      </c>
      <c r="B11378">
        <v>3.526313</v>
      </c>
      <c r="C11378">
        <f>LOG10(1.009279)</f>
        <v>4.0112370112909109E-3</v>
      </c>
      <c r="D11378">
        <f>LOG10(3.526313)</f>
        <v>0.54732085820148035</v>
      </c>
    </row>
    <row r="11379" spans="1:4">
      <c r="A11379">
        <v>1.0093460000000001</v>
      </c>
      <c r="B11379">
        <v>3.6149439999999999</v>
      </c>
      <c r="C11379">
        <f>LOG10(1.009346)</f>
        <v>4.0400662691255458E-3</v>
      </c>
      <c r="D11379">
        <f>LOG10(3.614944)</f>
        <v>0.55810157391841597</v>
      </c>
    </row>
    <row r="11380" spans="1:4">
      <c r="A11380">
        <v>1.0129729999999999</v>
      </c>
      <c r="B11380">
        <v>3.6662279999999998</v>
      </c>
      <c r="C11380">
        <f>LOG10(1.012973)</f>
        <v>5.5978697361115728E-3</v>
      </c>
      <c r="D11380">
        <f>LOG10(3.666228)</f>
        <v>0.56421946991775451</v>
      </c>
    </row>
    <row r="11381" spans="1:4">
      <c r="A11381">
        <v>1.010597</v>
      </c>
      <c r="B11381">
        <v>3.576155</v>
      </c>
      <c r="C11381">
        <f>LOG10(1.010597)</f>
        <v>4.5780046825604319E-3</v>
      </c>
      <c r="D11381">
        <f>LOG10(3.576155)</f>
        <v>0.55341633400135626</v>
      </c>
    </row>
    <row r="11382" spans="1:4">
      <c r="A11382">
        <v>1.008313</v>
      </c>
      <c r="B11382">
        <v>3.5125329999999999</v>
      </c>
      <c r="C11382">
        <f>LOG10(1.008313)</f>
        <v>3.5953665066736102E-3</v>
      </c>
      <c r="D11382">
        <f>LOG10(3.512533)</f>
        <v>0.54562041309835474</v>
      </c>
    </row>
    <row r="11383" spans="1:4">
      <c r="A11383">
        <v>1.0134730000000001</v>
      </c>
      <c r="B11383">
        <v>3.5339390000000002</v>
      </c>
      <c r="C11383">
        <f>LOG10(1.013473)</f>
        <v>5.812183115652199E-3</v>
      </c>
      <c r="D11383">
        <f>LOG10(3.533939)</f>
        <v>0.5482590487949569</v>
      </c>
    </row>
    <row r="11384" spans="1:4">
      <c r="A11384">
        <v>1.013325</v>
      </c>
      <c r="B11384">
        <v>3.4962409999999999</v>
      </c>
      <c r="C11384">
        <f>LOG10(1.013325)</f>
        <v>5.748757373732245E-3</v>
      </c>
      <c r="D11384">
        <f>LOG10(3.496241)</f>
        <v>0.54360136142309656</v>
      </c>
    </row>
    <row r="11385" spans="1:4">
      <c r="A11385">
        <v>1.0079050000000001</v>
      </c>
      <c r="B11385">
        <v>3.4300639999999998</v>
      </c>
      <c r="C11385">
        <f>LOG10(1.007905)</f>
        <v>3.4195996490866466E-3</v>
      </c>
      <c r="D11385">
        <f>LOG10(3.430064)</f>
        <v>0.53530222342106037</v>
      </c>
    </row>
    <row r="11386" spans="1:4">
      <c r="A11386">
        <v>1.009441</v>
      </c>
      <c r="B11386">
        <v>3.5066169999999999</v>
      </c>
      <c r="C11386">
        <f>LOG10(1.009441)</f>
        <v>4.0809402947768348E-3</v>
      </c>
      <c r="D11386">
        <f>LOG10(3.506617)</f>
        <v>0.5448883339254279</v>
      </c>
    </row>
    <row r="11387" spans="1:4">
      <c r="A11387">
        <v>1.009166</v>
      </c>
      <c r="B11387">
        <v>3.5997430000000001</v>
      </c>
      <c r="C11387">
        <f>LOG10(1.009166)</f>
        <v>3.9626101955923402E-3</v>
      </c>
      <c r="D11387">
        <f>LOG10(3.599743)</f>
        <v>0.55627149586005753</v>
      </c>
    </row>
    <row r="11388" spans="1:4">
      <c r="A11388">
        <v>1.025714</v>
      </c>
      <c r="B11388">
        <v>3.6272489999999999</v>
      </c>
      <c r="C11388">
        <f>LOG10(1.025714)</f>
        <v>1.1026283254633382E-2</v>
      </c>
      <c r="D11388">
        <f>LOG10(3.627249)</f>
        <v>0.55957736964555294</v>
      </c>
    </row>
    <row r="11389" spans="1:4">
      <c r="A11389">
        <v>1.0182310000000001</v>
      </c>
      <c r="B11389">
        <v>3.4655</v>
      </c>
      <c r="C11389">
        <f>LOG10(1.018231)</f>
        <v>7.846314979845035E-3</v>
      </c>
      <c r="D11389">
        <f>LOG10(3.4655)</f>
        <v>0.53976590318311257</v>
      </c>
    </row>
    <row r="11390" spans="1:4">
      <c r="A11390">
        <v>1.0152140000000001</v>
      </c>
      <c r="B11390">
        <v>3.4531329999999998</v>
      </c>
      <c r="C11390">
        <f>LOG10(1.015214)</f>
        <v>6.557598133952772E-3</v>
      </c>
      <c r="D11390">
        <f>LOG10(3.453133)</f>
        <v>0.53821330584836002</v>
      </c>
    </row>
    <row r="11391" spans="1:4">
      <c r="A11391">
        <v>1.00871</v>
      </c>
      <c r="B11391">
        <v>3.3978160000000002</v>
      </c>
      <c r="C11391">
        <f>LOG10(1.00871)</f>
        <v>3.7663262939859336E-3</v>
      </c>
      <c r="D11391">
        <f>LOG10(3.397816)</f>
        <v>0.53119985706737161</v>
      </c>
    </row>
    <row r="11392" spans="1:4">
      <c r="A11392">
        <v>1.0140899999999999</v>
      </c>
      <c r="B11392">
        <v>3.448766</v>
      </c>
      <c r="C11392">
        <f>LOG10(1.01409)</f>
        <v>6.0765001342656519E-3</v>
      </c>
      <c r="D11392">
        <f>LOG10(3.448766)</f>
        <v>0.53766372833192233</v>
      </c>
    </row>
    <row r="11393" spans="1:4">
      <c r="A11393">
        <v>1.010856</v>
      </c>
      <c r="B11393">
        <v>3.2451599999999998</v>
      </c>
      <c r="C11393">
        <f>LOG10(1.010856)</f>
        <v>4.6892932175186582E-3</v>
      </c>
      <c r="D11393">
        <f>LOG10(3.24516)</f>
        <v>0.51123611420389903</v>
      </c>
    </row>
    <row r="11394" spans="1:4">
      <c r="A11394">
        <v>1.0128999999999999</v>
      </c>
      <c r="B11394">
        <v>3.158039</v>
      </c>
      <c r="C11394">
        <f>LOG10(1.0129)</f>
        <v>5.5665711332942638E-3</v>
      </c>
      <c r="D11394">
        <f>LOG10(3.158039)</f>
        <v>0.49941748899723098</v>
      </c>
    </row>
    <row r="11395" spans="1:4">
      <c r="A11395">
        <v>1.015431</v>
      </c>
      <c r="B11395">
        <v>3.1551559999999998</v>
      </c>
      <c r="C11395">
        <f>LOG10(1.015431)</f>
        <v>6.6504178074375054E-3</v>
      </c>
      <c r="D11395">
        <f>LOG10(3.155156)</f>
        <v>0.4990208368810321</v>
      </c>
    </row>
    <row r="11396" spans="1:4">
      <c r="A11396">
        <v>1.014648</v>
      </c>
      <c r="B11396">
        <v>2.9957790000000002</v>
      </c>
      <c r="C11396">
        <f>LOG10(1.014648)</f>
        <v>6.3154036565667678E-3</v>
      </c>
      <c r="D11396">
        <f>LOG10(2.995779)</f>
        <v>0.47650977210465717</v>
      </c>
    </row>
    <row r="11397" spans="1:4">
      <c r="A11397">
        <v>1.011158</v>
      </c>
      <c r="B11397">
        <v>3.080695</v>
      </c>
      <c r="C11397">
        <f>LOG10(1.011158)</f>
        <v>4.8190222248450584E-3</v>
      </c>
      <c r="D11397">
        <f>LOG10(3.080695)</f>
        <v>0.48864870371331659</v>
      </c>
    </row>
    <row r="11398" spans="1:4">
      <c r="A11398">
        <v>1.015927</v>
      </c>
      <c r="B11398">
        <v>3.0031599999999998</v>
      </c>
      <c r="C11398">
        <f>LOG10(1.015927)</f>
        <v>6.8625025973218443E-3</v>
      </c>
      <c r="D11398">
        <f>LOG10(3.00316)</f>
        <v>0.4775784708157082</v>
      </c>
    </row>
    <row r="11399" spans="1:4">
      <c r="A11399">
        <v>1.017817</v>
      </c>
      <c r="B11399">
        <v>3.035202</v>
      </c>
      <c r="C11399">
        <f>LOG10(1.017817)</f>
        <v>7.669700363700494E-3</v>
      </c>
      <c r="D11399">
        <f>LOG10(3.035202)</f>
        <v>0.4821875997163973</v>
      </c>
    </row>
    <row r="11400" spans="1:4">
      <c r="A11400">
        <v>1.0266379999999999</v>
      </c>
      <c r="B11400">
        <v>2.9679410000000002</v>
      </c>
      <c r="C11400">
        <f>LOG10(1.026638)</f>
        <v>1.1417335207116613E-2</v>
      </c>
      <c r="D11400">
        <f>LOG10(2.967941)</f>
        <v>0.47245526330877002</v>
      </c>
    </row>
    <row r="11401" spans="1:4">
      <c r="A11401">
        <v>1.0136989999999999</v>
      </c>
      <c r="B11401">
        <v>3.0258400000000001</v>
      </c>
      <c r="C11401">
        <f>LOG10(1.013699)</f>
        <v>5.9090180692887937E-3</v>
      </c>
      <c r="D11401">
        <f>LOG10(3.02584)</f>
        <v>0.48084595972344096</v>
      </c>
    </row>
    <row r="11402" spans="1:4">
      <c r="A11402">
        <v>1.0116989999999999</v>
      </c>
      <c r="B11402">
        <v>3.061493</v>
      </c>
      <c r="C11402">
        <f>LOG10(1.011699)</f>
        <v>5.0513207217841669E-3</v>
      </c>
      <c r="D11402">
        <f>LOG10(3.061493)</f>
        <v>0.48593327077327098</v>
      </c>
    </row>
    <row r="11403" spans="1:4">
      <c r="A11403">
        <v>1.016138</v>
      </c>
      <c r="B11403">
        <v>3.0519669999999999</v>
      </c>
      <c r="C11403">
        <f>LOG10(1.016138)</f>
        <v>6.952692759556716E-3</v>
      </c>
      <c r="D11403">
        <f>LOG10(3.051967)</f>
        <v>0.48457983341279537</v>
      </c>
    </row>
    <row r="11404" spans="1:4">
      <c r="A11404">
        <v>1.022114</v>
      </c>
      <c r="B11404">
        <v>3.110493</v>
      </c>
      <c r="C11404">
        <f>LOG10(1.022114)</f>
        <v>9.4993369042176753E-3</v>
      </c>
      <c r="D11404">
        <f>LOG10(3.110493)</f>
        <v>0.492829228323024</v>
      </c>
    </row>
    <row r="11405" spans="1:4">
      <c r="A11405">
        <v>1.013692</v>
      </c>
      <c r="B11405">
        <v>2.9866450000000002</v>
      </c>
      <c r="C11405">
        <f>LOG10(1.013692)</f>
        <v>5.9060190805655752E-3</v>
      </c>
      <c r="D11405">
        <f>LOG10(2.986645)</f>
        <v>0.4751836043572264</v>
      </c>
    </row>
    <row r="11406" spans="1:4">
      <c r="A11406">
        <v>1.0058579999999999</v>
      </c>
      <c r="B11406">
        <v>3.1034959999999998</v>
      </c>
      <c r="C11406">
        <f>LOG10(1.005858)</f>
        <v>2.5366743886141322E-3</v>
      </c>
      <c r="D11406">
        <f>LOG10(3.103496)</f>
        <v>0.49185118997305199</v>
      </c>
    </row>
    <row r="11407" spans="1:4">
      <c r="A11407">
        <v>1.019733</v>
      </c>
      <c r="B11407">
        <v>3.2000419999999998</v>
      </c>
      <c r="C11407">
        <f>LOG10(1.019733)</f>
        <v>8.4864739129045172E-3</v>
      </c>
      <c r="D11407">
        <f>LOG10(3.200042)</f>
        <v>0.50515567839757425</v>
      </c>
    </row>
    <row r="11408" spans="1:4">
      <c r="A11408">
        <v>1.0203040000000001</v>
      </c>
      <c r="B11408">
        <v>3.2236820000000002</v>
      </c>
      <c r="C11408">
        <f>LOG10(1.020304)</f>
        <v>8.7295892638933753E-3</v>
      </c>
      <c r="D11408">
        <f>LOG10(3.223682)</f>
        <v>0.50835219428170864</v>
      </c>
    </row>
    <row r="11409" spans="1:4">
      <c r="A11409">
        <v>1.0060690000000001</v>
      </c>
      <c r="B11409">
        <v>3.0730810000000002</v>
      </c>
      <c r="C11409">
        <f>LOG10(1.006069)</f>
        <v>2.6277672921018081E-3</v>
      </c>
      <c r="D11409">
        <f>LOG10(3.073081)</f>
        <v>0.48757400750318025</v>
      </c>
    </row>
    <row r="11410" spans="1:4">
      <c r="A11410">
        <v>1.013779</v>
      </c>
      <c r="B11410">
        <v>3.0141619999999998</v>
      </c>
      <c r="C11410">
        <f>LOG10(1.013779)</f>
        <v>5.9432907554243042E-3</v>
      </c>
      <c r="D11410">
        <f>LOG10(3.014162)</f>
        <v>0.47916659031947417</v>
      </c>
    </row>
    <row r="11411" spans="1:4">
      <c r="A11411">
        <v>1.015455</v>
      </c>
      <c r="B11411">
        <v>3.1909749999999999</v>
      </c>
      <c r="C11411">
        <f>LOG10(1.015455)</f>
        <v>6.6606823595257792E-3</v>
      </c>
      <c r="D11411">
        <f>LOG10(3.190975)</f>
        <v>0.50392340168502436</v>
      </c>
    </row>
    <row r="11412" spans="1:4">
      <c r="A11412">
        <v>1.006181</v>
      </c>
      <c r="B11412">
        <v>3.1240239999999999</v>
      </c>
      <c r="C11412">
        <f>LOG10(1.006181)</f>
        <v>2.6761121617982623E-3</v>
      </c>
      <c r="D11412">
        <f>LOG10(3.124024)</f>
        <v>0.49471436164173149</v>
      </c>
    </row>
    <row r="11413" spans="1:4">
      <c r="A11413">
        <v>1.012581</v>
      </c>
      <c r="B11413">
        <v>2.9944280000000001</v>
      </c>
      <c r="C11413">
        <f>LOG10(1.012581)</f>
        <v>5.4297740555901766E-3</v>
      </c>
      <c r="D11413">
        <f>LOG10(2.994428)</f>
        <v>0.47631387508306855</v>
      </c>
    </row>
    <row r="11414" spans="1:4">
      <c r="A11414">
        <v>1.016756</v>
      </c>
      <c r="B11414">
        <v>3.1146530000000001</v>
      </c>
      <c r="C11414">
        <f>LOG10(1.016756)</f>
        <v>7.216743908395943E-3</v>
      </c>
      <c r="D11414">
        <f>LOG10(3.114653)</f>
        <v>0.49340966942871073</v>
      </c>
    </row>
    <row r="11415" spans="1:4">
      <c r="A11415">
        <v>1.012724</v>
      </c>
      <c r="B11415">
        <v>3.0685220000000002</v>
      </c>
      <c r="C11415">
        <f>LOG10(1.012724)</f>
        <v>5.4911022121052391E-3</v>
      </c>
      <c r="D11415">
        <f>LOG10(3.068522)</f>
        <v>0.48692924133816839</v>
      </c>
    </row>
    <row r="11416" spans="1:4">
      <c r="A11416">
        <v>1.0106930000000001</v>
      </c>
      <c r="B11416">
        <v>3.067898</v>
      </c>
      <c r="C11416">
        <f>LOG10(1.010693)</f>
        <v>4.6192578132780455E-3</v>
      </c>
      <c r="D11416">
        <f>LOG10(3.067898)</f>
        <v>0.48684091630251508</v>
      </c>
    </row>
    <row r="11417" spans="1:4">
      <c r="A11417">
        <v>1.0114879999999999</v>
      </c>
      <c r="B11417">
        <v>3.2407689999999998</v>
      </c>
      <c r="C11417">
        <f>LOG10(1.011488)</f>
        <v>4.9607347937272953E-3</v>
      </c>
      <c r="D11417">
        <f>LOG10(3.240769)</f>
        <v>0.51064807589469663</v>
      </c>
    </row>
    <row r="11418" spans="1:4">
      <c r="A11418">
        <v>1.0214810000000001</v>
      </c>
      <c r="B11418">
        <v>3.150633</v>
      </c>
      <c r="C11418">
        <f>LOG10(1.021481)</f>
        <v>9.2302929734616856E-3</v>
      </c>
      <c r="D11418">
        <f>LOG10(3.150633)</f>
        <v>0.49839781753213869</v>
      </c>
    </row>
    <row r="11419" spans="1:4">
      <c r="A11419">
        <v>1.0426580000000001</v>
      </c>
      <c r="B11419">
        <v>3.2929369999999998</v>
      </c>
      <c r="C11419">
        <f>LOG10(1.042658)</f>
        <v>1.8141879788525873E-2</v>
      </c>
      <c r="D11419">
        <f>LOG10(3.292937)</f>
        <v>0.51758342193143791</v>
      </c>
    </row>
    <row r="11420" spans="1:4">
      <c r="A11420">
        <v>1.0188269999999999</v>
      </c>
      <c r="B11420">
        <v>3.2192799999999999</v>
      </c>
      <c r="C11420">
        <f>LOG10(1.018827)</f>
        <v>8.1004457101433551E-3</v>
      </c>
      <c r="D11420">
        <f>LOG10(3.21928)</f>
        <v>0.50775875151212291</v>
      </c>
    </row>
    <row r="11421" spans="1:4">
      <c r="A11421">
        <v>1.0094590000000001</v>
      </c>
      <c r="B11421">
        <v>3.1798609999999998</v>
      </c>
      <c r="C11421">
        <f>LOG10(1.009459)</f>
        <v>4.0886844135291228E-3</v>
      </c>
      <c r="D11421">
        <f>LOG10(3.179861)</f>
        <v>0.50240813625727443</v>
      </c>
    </row>
    <row r="11422" spans="1:4">
      <c r="A11422">
        <v>1.0096400000000001</v>
      </c>
      <c r="B11422">
        <v>3.397084</v>
      </c>
      <c r="C11422">
        <f>LOG10(1.00964)</f>
        <v>4.1665481551634333E-3</v>
      </c>
      <c r="D11422">
        <f>LOG10(3.397084)</f>
        <v>0.53110628584130992</v>
      </c>
    </row>
    <row r="11423" spans="1:4">
      <c r="A11423">
        <v>1.0071460000000001</v>
      </c>
      <c r="B11423">
        <v>3.4117609999999998</v>
      </c>
      <c r="C11423">
        <f>LOG10(1.007146)</f>
        <v>3.0924322202191099E-3</v>
      </c>
      <c r="D11423">
        <f>LOG10(3.411761)</f>
        <v>0.53297860045074574</v>
      </c>
    </row>
    <row r="11424" spans="1:4">
      <c r="A11424">
        <v>1.004381</v>
      </c>
      <c r="B11424">
        <v>3.2165430000000002</v>
      </c>
      <c r="C11424">
        <f>LOG10(1.004381)</f>
        <v>1.8984885159904464E-3</v>
      </c>
      <c r="D11424">
        <f>LOG10(3.216543)</f>
        <v>0.50738936159303116</v>
      </c>
    </row>
    <row r="11425" spans="1:4">
      <c r="A11425">
        <v>1.006489</v>
      </c>
      <c r="B11425">
        <v>3.223474</v>
      </c>
      <c r="C11425">
        <f>LOG10(1.006489)</f>
        <v>2.8090328109562049E-3</v>
      </c>
      <c r="D11425">
        <f>LOG10(3.223474)</f>
        <v>0.50832417161488708</v>
      </c>
    </row>
    <row r="11426" spans="1:4">
      <c r="A11426">
        <v>1.008068</v>
      </c>
      <c r="B11426">
        <v>3.2420460000000002</v>
      </c>
      <c r="C11426">
        <f>LOG10(1.008068)</f>
        <v>3.4898287649571995E-3</v>
      </c>
      <c r="D11426">
        <f>LOG10(3.242046)</f>
        <v>0.5108191725743223</v>
      </c>
    </row>
    <row r="11427" spans="1:4">
      <c r="A11427">
        <v>1.004823</v>
      </c>
      <c r="B11427">
        <v>3.279404</v>
      </c>
      <c r="C11427">
        <f>LOG10(1.004823)</f>
        <v>2.0895673353615377E-3</v>
      </c>
      <c r="D11427">
        <f>LOG10(3.279404)</f>
        <v>0.5157949220560144</v>
      </c>
    </row>
    <row r="11428" spans="1:4">
      <c r="A11428">
        <v>1.013263</v>
      </c>
      <c r="B11428">
        <v>3.211049</v>
      </c>
      <c r="C11428">
        <f>LOG10(1.013263)</f>
        <v>5.722184377260929E-3</v>
      </c>
      <c r="D11428">
        <f>LOG10(3.211049)</f>
        <v>0.50664693286866536</v>
      </c>
    </row>
    <row r="11429" spans="1:4">
      <c r="A11429">
        <v>1.016783</v>
      </c>
      <c r="B11429">
        <v>3.1326679999999998</v>
      </c>
      <c r="C11429">
        <f>LOG10(1.016783)</f>
        <v>7.2282764642132413E-3</v>
      </c>
      <c r="D11429">
        <f>LOG10(3.132668)</f>
        <v>0.4959143708127226</v>
      </c>
    </row>
    <row r="11430" spans="1:4">
      <c r="A11430">
        <v>1.02258</v>
      </c>
      <c r="B11430">
        <v>3.2965080000000002</v>
      </c>
      <c r="C11430">
        <f>LOG10(1.02258)</f>
        <v>9.6972943805646982E-3</v>
      </c>
      <c r="D11430">
        <f>LOG10(3.296508)</f>
        <v>0.51805413403137912</v>
      </c>
    </row>
    <row r="11431" spans="1:4">
      <c r="A11431">
        <v>1.0125930000000001</v>
      </c>
      <c r="B11431">
        <v>3.2225579999999998</v>
      </c>
      <c r="C11431">
        <f>LOG10(1.012593)</f>
        <v>5.4349208072104853E-3</v>
      </c>
      <c r="D11431">
        <f>LOG10(3.222558)</f>
        <v>0.50820074258192505</v>
      </c>
    </row>
    <row r="11432" spans="1:4">
      <c r="A11432">
        <v>1.013312</v>
      </c>
      <c r="B11432">
        <v>3.1216560000000002</v>
      </c>
      <c r="C11432">
        <f>LOG10(1.013312)</f>
        <v>5.7431857511231268E-3</v>
      </c>
      <c r="D11432">
        <f>LOG10(3.121656)</f>
        <v>0.49438504301432046</v>
      </c>
    </row>
    <row r="11433" spans="1:4">
      <c r="A11433">
        <v>1.0127360000000001</v>
      </c>
      <c r="B11433">
        <v>3.1782059999999999</v>
      </c>
      <c r="C11433">
        <f>LOG10(1.012736)</f>
        <v>5.4962482369913922E-3</v>
      </c>
      <c r="D11433">
        <f>LOG10(3.178206)</f>
        <v>0.50218204320610549</v>
      </c>
    </row>
    <row r="11434" spans="1:4">
      <c r="A11434">
        <v>1.0128619999999999</v>
      </c>
      <c r="B11434">
        <v>3.0927530000000001</v>
      </c>
      <c r="C11434">
        <f>LOG10(1.012862)</f>
        <v>5.5502778171848182E-3</v>
      </c>
      <c r="D11434">
        <f>LOG10(3.092753)</f>
        <v>0.49034523684105236</v>
      </c>
    </row>
    <row r="11435" spans="1:4">
      <c r="A11435">
        <v>1.0112460000000001</v>
      </c>
      <c r="B11435">
        <v>3.1601789999999998</v>
      </c>
      <c r="C11435">
        <f>LOG10(1.011246)</f>
        <v>4.8568167648396828E-3</v>
      </c>
      <c r="D11435">
        <f>LOG10(3.160179)</f>
        <v>0.49971168277997563</v>
      </c>
    </row>
    <row r="11436" spans="1:4">
      <c r="A11436">
        <v>1.0139879999999999</v>
      </c>
      <c r="B11436">
        <v>3.3441160000000001</v>
      </c>
      <c r="C11436">
        <f>LOG10(1.013988)</f>
        <v>6.0328153872376755E-3</v>
      </c>
      <c r="D11436">
        <f>LOG10(3.344116)</f>
        <v>0.52428133374489061</v>
      </c>
    </row>
    <row r="11437" spans="1:4">
      <c r="A11437">
        <v>1.0187219999999999</v>
      </c>
      <c r="B11437">
        <v>3.058214</v>
      </c>
      <c r="C11437">
        <f>LOG10(1.018722)</f>
        <v>8.0556851467014773E-3</v>
      </c>
      <c r="D11437">
        <f>LOG10(3.058214)</f>
        <v>0.48546787210551162</v>
      </c>
    </row>
    <row r="11438" spans="1:4">
      <c r="A11438">
        <v>1.013619</v>
      </c>
      <c r="B11438">
        <v>3.0976089999999998</v>
      </c>
      <c r="C11438">
        <f>LOG10(1.013619)</f>
        <v>5.8747426782842921E-3</v>
      </c>
      <c r="D11438">
        <f>LOG10(3.097609)</f>
        <v>0.49102659745831606</v>
      </c>
    </row>
    <row r="11439" spans="1:4">
      <c r="A11439">
        <v>1.0124839999999999</v>
      </c>
      <c r="B11439">
        <v>3.3974190000000002</v>
      </c>
      <c r="C11439">
        <f>LOG10(1.012484)</f>
        <v>5.3881689073338596E-3</v>
      </c>
      <c r="D11439">
        <f>LOG10(3.397419)</f>
        <v>0.53114911124047615</v>
      </c>
    </row>
    <row r="11440" spans="1:4">
      <c r="A11440">
        <v>1.0136080000000001</v>
      </c>
      <c r="B11440">
        <v>3.4193159999999998</v>
      </c>
      <c r="C11440">
        <f>LOG10(1.013608)</f>
        <v>5.8700296004681662E-3</v>
      </c>
      <c r="D11440">
        <f>LOG10(3.419316)</f>
        <v>0.53393923847270641</v>
      </c>
    </row>
    <row r="11441" spans="1:4">
      <c r="A11441">
        <v>1.0202439999999999</v>
      </c>
      <c r="B11441">
        <v>3.4248850000000002</v>
      </c>
      <c r="C11441">
        <f>LOG10(1.020244)</f>
        <v>8.7040493903674607E-3</v>
      </c>
      <c r="D11441">
        <f>LOG10(3.424885)</f>
        <v>0.53464599343314179</v>
      </c>
    </row>
    <row r="11442" spans="1:4">
      <c r="A11442">
        <v>1.0029170000000001</v>
      </c>
      <c r="B11442">
        <v>3.3092769999999998</v>
      </c>
      <c r="C11442">
        <f>LOG10(1.002917)</f>
        <v>1.2649929072244858E-3</v>
      </c>
      <c r="D11442">
        <f>LOG10(3.309277)</f>
        <v>0.51973312090314827</v>
      </c>
    </row>
    <row r="11443" spans="1:4">
      <c r="A11443">
        <v>1.013401</v>
      </c>
      <c r="B11443">
        <v>3.1513650000000002</v>
      </c>
      <c r="C11443">
        <f>LOG10(1.013401)</f>
        <v>5.781328506327477E-3</v>
      </c>
      <c r="D11443">
        <f>LOG10(3.151365)</f>
        <v>0.49849870730144136</v>
      </c>
    </row>
    <row r="11444" spans="1:4">
      <c r="A11444">
        <v>1.0126679999999999</v>
      </c>
      <c r="B11444">
        <v>3.273463</v>
      </c>
      <c r="C11444">
        <f>LOG10(1.012668)</f>
        <v>5.4670866230313179E-3</v>
      </c>
      <c r="D11444">
        <f>LOG10(3.273463)</f>
        <v>0.51500743644889868</v>
      </c>
    </row>
    <row r="11445" spans="1:4">
      <c r="A11445">
        <v>1.004653</v>
      </c>
      <c r="B11445">
        <v>3.4045570000000001</v>
      </c>
      <c r="C11445">
        <f>LOG10(1.004653)</f>
        <v>2.0160854305269552E-3</v>
      </c>
      <c r="D11445">
        <f>LOG10(3.404557)</f>
        <v>0.53206060964910751</v>
      </c>
    </row>
    <row r="11446" spans="1:4">
      <c r="A11446">
        <v>1.013946</v>
      </c>
      <c r="B11446">
        <v>3.4946109999999999</v>
      </c>
      <c r="C11446">
        <f>LOG10(1.013946)</f>
        <v>6.0148262729543796E-3</v>
      </c>
      <c r="D11446">
        <f>LOG10(3.494611)</f>
        <v>0.54339883960792135</v>
      </c>
    </row>
    <row r="11447" spans="1:4">
      <c r="A11447">
        <v>1.0124299999999999</v>
      </c>
      <c r="B11447">
        <v>3.7386879999999998</v>
      </c>
      <c r="C11447">
        <f>LOG10(1.01243)</f>
        <v>5.3650055512324797E-3</v>
      </c>
      <c r="D11447">
        <f>LOG10(3.738688)</f>
        <v>0.57271922403840081</v>
      </c>
    </row>
    <row r="11448" spans="1:4">
      <c r="A11448">
        <v>1.009825</v>
      </c>
      <c r="B11448">
        <v>3.4246940000000001</v>
      </c>
      <c r="C11448">
        <f>LOG10(1.009825)</f>
        <v>4.2461182188949682E-3</v>
      </c>
      <c r="D11448">
        <f>LOG10(3.424694)</f>
        <v>0.53462177289460511</v>
      </c>
    </row>
    <row r="11449" spans="1:4">
      <c r="A11449">
        <v>1.004858</v>
      </c>
      <c r="B11449">
        <v>3.222591</v>
      </c>
      <c r="C11449">
        <f>LOG10(1.004858)</f>
        <v>2.1046944195785388E-3</v>
      </c>
      <c r="D11449">
        <f>LOG10(3.222591)</f>
        <v>0.50820518987023533</v>
      </c>
    </row>
    <row r="11450" spans="1:4">
      <c r="A11450">
        <v>1.0165029999999999</v>
      </c>
      <c r="B11450">
        <v>3.327534</v>
      </c>
      <c r="C11450">
        <f>LOG10(1.016503)</f>
        <v>7.1086647069871492E-3</v>
      </c>
      <c r="D11450">
        <f>LOG10(3.327534)</f>
        <v>0.5221225016935036</v>
      </c>
    </row>
    <row r="11451" spans="1:4">
      <c r="A11451">
        <v>1.008475</v>
      </c>
      <c r="B11451">
        <v>3.4609019999999999</v>
      </c>
      <c r="C11451">
        <f>LOG10(1.008475)</f>
        <v>3.6651365630401113E-3</v>
      </c>
      <c r="D11451">
        <f>LOG10(3.460902)</f>
        <v>0.53918930184778147</v>
      </c>
    </row>
    <row r="11452" spans="1:4">
      <c r="A11452">
        <v>1.0113749999999999</v>
      </c>
      <c r="B11452">
        <v>3.8472490000000001</v>
      </c>
      <c r="C11452">
        <f>LOG10(1.011375)</f>
        <v>4.9122141806100189E-3</v>
      </c>
      <c r="D11452">
        <f>LOG10(3.847249)</f>
        <v>0.58515029543768238</v>
      </c>
    </row>
    <row r="11453" spans="1:4">
      <c r="A11453">
        <v>1.0077910000000001</v>
      </c>
      <c r="B11453">
        <v>3.7577590000000001</v>
      </c>
      <c r="C11453">
        <f>LOG10(1.007791)</f>
        <v>3.3704756036058449E-3</v>
      </c>
      <c r="D11453">
        <f>LOG10(3.757759)</f>
        <v>0.5749289236287014</v>
      </c>
    </row>
    <row r="11454" spans="1:4">
      <c r="A11454">
        <v>1.0181659999999999</v>
      </c>
      <c r="B11454">
        <v>3.5056039999999999</v>
      </c>
      <c r="C11454">
        <f>LOG10(1.018166)</f>
        <v>7.8185903845589613E-3</v>
      </c>
      <c r="D11454">
        <f>LOG10(3.505604)</f>
        <v>0.54476285576002825</v>
      </c>
    </row>
    <row r="11455" spans="1:4">
      <c r="A11455">
        <v>1.0147489999999999</v>
      </c>
      <c r="B11455">
        <v>3.2424759999999999</v>
      </c>
      <c r="C11455">
        <f>LOG10(1.014749)</f>
        <v>6.3586320073610219E-3</v>
      </c>
      <c r="D11455">
        <f>LOG10(3.242476)</f>
        <v>0.51087677022839517</v>
      </c>
    </row>
    <row r="11456" spans="1:4">
      <c r="A11456">
        <v>1.008534</v>
      </c>
      <c r="B11456">
        <v>3.3413279999999999</v>
      </c>
      <c r="C11456">
        <f>LOG10(1.008534)</f>
        <v>3.690543861113262E-3</v>
      </c>
      <c r="D11456">
        <f>LOG10(3.341328)</f>
        <v>0.52391911005840475</v>
      </c>
    </row>
    <row r="11457" spans="1:4">
      <c r="A11457">
        <v>1.0123009999999999</v>
      </c>
      <c r="B11457">
        <v>3.3814950000000001</v>
      </c>
      <c r="C11457">
        <f>LOG10(1.012301)</f>
        <v>5.3096658658704794E-3</v>
      </c>
      <c r="D11457">
        <f>LOG10(3.381495)</f>
        <v>0.5291087495984117</v>
      </c>
    </row>
    <row r="11458" spans="1:4">
      <c r="A11458">
        <v>1.019102</v>
      </c>
      <c r="B11458">
        <v>3.408649</v>
      </c>
      <c r="C11458">
        <f>LOG10(1.019102)</f>
        <v>8.21765389869979E-3</v>
      </c>
      <c r="D11458">
        <f>LOG10(3.408649)</f>
        <v>0.53258228277439679</v>
      </c>
    </row>
    <row r="11459" spans="1:4">
      <c r="A11459">
        <v>1.0080420000000001</v>
      </c>
      <c r="B11459">
        <v>3.6453250000000001</v>
      </c>
      <c r="C11459">
        <f>LOG10(1.008042)</f>
        <v>3.4786273359379005E-3</v>
      </c>
      <c r="D11459">
        <f>LOG10(3.645325)</f>
        <v>0.5617362540297105</v>
      </c>
    </row>
    <row r="11460" spans="1:4">
      <c r="A11460">
        <v>1.009425</v>
      </c>
      <c r="B11460">
        <v>3.2251590000000001</v>
      </c>
      <c r="C11460">
        <f>LOG10(1.009425)</f>
        <v>4.0740565177350653E-3</v>
      </c>
      <c r="D11460">
        <f>LOG10(3.225159)</f>
        <v>0.50855113017142495</v>
      </c>
    </row>
    <row r="11461" spans="1:4">
      <c r="A11461">
        <v>1.0074320000000001</v>
      </c>
      <c r="B11461">
        <v>3.1645509999999999</v>
      </c>
      <c r="C11461">
        <f>LOG10(1.007432)</f>
        <v>3.2157416405133544E-3</v>
      </c>
      <c r="D11461">
        <f>LOG10(3.164551)</f>
        <v>0.50031209917002151</v>
      </c>
    </row>
    <row r="11462" spans="1:4">
      <c r="A11462">
        <v>1.0161899999999999</v>
      </c>
      <c r="B11462">
        <v>3.428658</v>
      </c>
      <c r="C11462">
        <f>LOG10(1.01619)</f>
        <v>6.9749168425431943E-3</v>
      </c>
      <c r="D11462">
        <f>LOG10(3.428658)</f>
        <v>0.53512416749457459</v>
      </c>
    </row>
    <row r="11463" spans="1:4">
      <c r="A11463">
        <v>1.0091060000000001</v>
      </c>
      <c r="B11463">
        <v>3.3220580000000002</v>
      </c>
      <c r="C11463">
        <f>LOG10(1.009106)</f>
        <v>3.9367884342818241E-3</v>
      </c>
      <c r="D11463">
        <f>LOG10(3.322058)</f>
        <v>0.521407210553684</v>
      </c>
    </row>
    <row r="11464" spans="1:4">
      <c r="A11464">
        <v>1.004651</v>
      </c>
      <c r="B11464">
        <v>3.4241220000000001</v>
      </c>
      <c r="C11464">
        <f>LOG10(1.004651)</f>
        <v>2.0152208635287987E-3</v>
      </c>
      <c r="D11464">
        <f>LOG10(3.424122)</f>
        <v>0.53454923000712606</v>
      </c>
    </row>
    <row r="11465" spans="1:4">
      <c r="A11465">
        <v>1.0118469999999999</v>
      </c>
      <c r="B11465">
        <v>3.4880969999999998</v>
      </c>
      <c r="C11465">
        <f>LOG10(1.011847)</f>
        <v>5.1148483939362282E-3</v>
      </c>
      <c r="D11465">
        <f>LOG10(3.488097)</f>
        <v>0.54258855366276393</v>
      </c>
    </row>
    <row r="11466" spans="1:4">
      <c r="A11466">
        <v>1.0182</v>
      </c>
      <c r="B11466">
        <v>3.3587229999999999</v>
      </c>
      <c r="C11466">
        <f>LOG10(1.0182)</f>
        <v>7.8330927013194277E-3</v>
      </c>
      <c r="D11466">
        <f>LOG10(3.358723)</f>
        <v>0.52617418826202356</v>
      </c>
    </row>
    <row r="11467" spans="1:4">
      <c r="A11467">
        <v>1.0214110000000001</v>
      </c>
      <c r="B11467">
        <v>3.2434630000000002</v>
      </c>
      <c r="C11467">
        <f>LOG10(1.021411)</f>
        <v>9.2005306426628641E-3</v>
      </c>
      <c r="D11467">
        <f>LOG10(3.243463)</f>
        <v>0.51100894805397989</v>
      </c>
    </row>
    <row r="11468" spans="1:4">
      <c r="A11468">
        <v>1.006664</v>
      </c>
      <c r="B11468">
        <v>3.4996330000000002</v>
      </c>
      <c r="C11468">
        <f>LOG10(1.006664)</f>
        <v>2.8845377870057361E-3</v>
      </c>
      <c r="D11468">
        <f>LOG10(3.499633)</f>
        <v>0.54402250308403943</v>
      </c>
    </row>
    <row r="11469" spans="1:4">
      <c r="A11469">
        <v>1.0142610000000001</v>
      </c>
      <c r="B11469">
        <v>3.4034759999999999</v>
      </c>
      <c r="C11469">
        <f>LOG10(1.014261)</f>
        <v>6.1497264709119807E-3</v>
      </c>
      <c r="D11469">
        <f>LOG10(3.403476)</f>
        <v>0.53192269247423984</v>
      </c>
    </row>
    <row r="11470" spans="1:4">
      <c r="A11470">
        <v>1.0107010000000001</v>
      </c>
      <c r="B11470">
        <v>3.322368</v>
      </c>
      <c r="C11470">
        <f>LOG10(1.010701)</f>
        <v>4.6226953972970412E-3</v>
      </c>
      <c r="D11470">
        <f>LOG10(3.322368)</f>
        <v>0.52144773513458464</v>
      </c>
    </row>
    <row r="11471" spans="1:4">
      <c r="A11471">
        <v>1.0144249999999999</v>
      </c>
      <c r="B11471">
        <v>3.5707529999999998</v>
      </c>
      <c r="C11471">
        <f>LOG10(1.014425)</f>
        <v>6.21994364122539E-3</v>
      </c>
      <c r="D11471">
        <f>LOG10(3.570753)</f>
        <v>0.55275980974274874</v>
      </c>
    </row>
    <row r="11472" spans="1:4">
      <c r="A11472">
        <v>1.00871</v>
      </c>
      <c r="B11472">
        <v>3.4665710000000001</v>
      </c>
      <c r="C11472">
        <f>LOG10(1.00871)</f>
        <v>3.7663262939859336E-3</v>
      </c>
      <c r="D11472">
        <f>LOG10(3.466571)</f>
        <v>0.53990009955640972</v>
      </c>
    </row>
    <row r="11473" spans="1:4">
      <c r="A11473">
        <v>1.0107740000000001</v>
      </c>
      <c r="B11473">
        <v>3.2085509999999999</v>
      </c>
      <c r="C11473">
        <f>LOG10(1.010774)</f>
        <v>4.6540620945777047E-3</v>
      </c>
      <c r="D11473">
        <f>LOG10(3.208551)</f>
        <v>0.50630894680394178</v>
      </c>
    </row>
    <row r="11474" spans="1:4">
      <c r="A11474">
        <v>1.013218</v>
      </c>
      <c r="B11474">
        <v>3.266178</v>
      </c>
      <c r="C11474">
        <f>LOG10(1.013218)</f>
        <v>5.702896506623218E-3</v>
      </c>
      <c r="D11474">
        <f>LOG10(3.266178)</f>
        <v>0.51403984920385648</v>
      </c>
    </row>
    <row r="11475" spans="1:4">
      <c r="A11475">
        <v>1.012982</v>
      </c>
      <c r="B11475">
        <v>3.389513</v>
      </c>
      <c r="C11475">
        <f>LOG10(1.012982)</f>
        <v>5.6017283117830155E-3</v>
      </c>
      <c r="D11475">
        <f>LOG10(3.389513)</f>
        <v>0.53013730392400915</v>
      </c>
    </row>
    <row r="11476" spans="1:4">
      <c r="A11476">
        <v>1.0114730000000001</v>
      </c>
      <c r="B11476">
        <v>3.4061140000000001</v>
      </c>
      <c r="C11476">
        <f>LOG10(1.011473)</f>
        <v>4.9542943163986526E-3</v>
      </c>
      <c r="D11476">
        <f>LOG10(3.406114)</f>
        <v>0.53225917937009493</v>
      </c>
    </row>
    <row r="11477" spans="1:4">
      <c r="A11477">
        <v>1.0040260000000001</v>
      </c>
      <c r="B11477">
        <v>3.1633659999999999</v>
      </c>
      <c r="C11477">
        <f>LOG10(1.004026)</f>
        <v>1.7449593332289537E-3</v>
      </c>
      <c r="D11477">
        <f>LOG10(3.163366)</f>
        <v>0.50014944249577276</v>
      </c>
    </row>
    <row r="11478" spans="1:4">
      <c r="A11478">
        <v>1.0072190000000001</v>
      </c>
      <c r="B11478">
        <v>3.298943</v>
      </c>
      <c r="C11478">
        <f>LOG10(1.007219)</f>
        <v>3.1239096309096368E-3</v>
      </c>
      <c r="D11478">
        <f>LOG10(3.298943)</f>
        <v>0.51837481175652089</v>
      </c>
    </row>
    <row r="11479" spans="1:4">
      <c r="A11479">
        <v>1.0050490000000001</v>
      </c>
      <c r="B11479">
        <v>3.0772409999999999</v>
      </c>
      <c r="C11479">
        <f>LOG10(1.005049)</f>
        <v>2.1872357971579391E-3</v>
      </c>
      <c r="D11479">
        <f>LOG10(3.077241)</f>
        <v>0.48816151018035192</v>
      </c>
    </row>
    <row r="11480" spans="1:4">
      <c r="A11480">
        <v>1.0060530000000001</v>
      </c>
      <c r="B11480">
        <v>3.100724</v>
      </c>
      <c r="C11480">
        <f>LOG10(1.006053)</f>
        <v>2.620860442804792E-3</v>
      </c>
      <c r="D11480">
        <f>LOG10(3.100724)</f>
        <v>0.49146311076762655</v>
      </c>
    </row>
    <row r="11481" spans="1:4">
      <c r="A11481">
        <v>1.0029600000000001</v>
      </c>
      <c r="B11481">
        <v>3.2062750000000002</v>
      </c>
      <c r="C11481">
        <f>LOG10(1.00296)</f>
        <v>1.2836128552319729E-3</v>
      </c>
      <c r="D11481">
        <f>LOG10(3.206275)</f>
        <v>0.50600076875443933</v>
      </c>
    </row>
    <row r="11482" spans="1:4">
      <c r="A11482">
        <v>1.0155000000000001</v>
      </c>
      <c r="B11482">
        <v>3.4553440000000002</v>
      </c>
      <c r="C11482">
        <f>LOG10(1.0155)</f>
        <v>6.6799277408255879E-3</v>
      </c>
      <c r="D11482">
        <f>LOG10(3.455344)</f>
        <v>0.53849129045546584</v>
      </c>
    </row>
    <row r="11483" spans="1:4">
      <c r="A11483">
        <v>1.006419</v>
      </c>
      <c r="B11483">
        <v>3.3014039999999998</v>
      </c>
      <c r="C11483">
        <f>LOG10(1.006419)</f>
        <v>2.7788271445814985E-3</v>
      </c>
      <c r="D11483">
        <f>LOG10(3.301404)</f>
        <v>0.5186986731442611</v>
      </c>
    </row>
    <row r="11484" spans="1:4">
      <c r="A11484">
        <v>1.0053270000000001</v>
      </c>
      <c r="B11484">
        <v>3.289838</v>
      </c>
      <c r="C11484">
        <f>LOG10(1.005327)</f>
        <v>2.3073465294176404E-3</v>
      </c>
      <c r="D11484">
        <f>LOG10(3.289838)</f>
        <v>0.5171745127103734</v>
      </c>
    </row>
    <row r="11485" spans="1:4">
      <c r="A11485">
        <v>1.003531</v>
      </c>
      <c r="B11485">
        <v>3.2243849999999998</v>
      </c>
      <c r="C11485">
        <f>LOG10(1.003531)</f>
        <v>1.5307927886190423E-3</v>
      </c>
      <c r="D11485">
        <f>LOG10(3.224385)</f>
        <v>0.50844689212588035</v>
      </c>
    </row>
    <row r="11486" spans="1:4">
      <c r="A11486">
        <v>1.013568</v>
      </c>
      <c r="B11486">
        <v>3.3385859999999998</v>
      </c>
      <c r="C11486">
        <f>LOG10(1.013568)</f>
        <v>5.8528907045080703E-3</v>
      </c>
      <c r="D11486">
        <f>LOG10(3.338586)</f>
        <v>0.52356256788248368</v>
      </c>
    </row>
    <row r="11487" spans="1:4">
      <c r="A11487">
        <v>1.0078739999999999</v>
      </c>
      <c r="B11487">
        <v>3.2503540000000002</v>
      </c>
      <c r="C11487">
        <f>LOG10(1.007874)</f>
        <v>3.4062419060601422E-3</v>
      </c>
      <c r="D11487">
        <f>LOG10(3.250354)</f>
        <v>0.51193066309403479</v>
      </c>
    </row>
    <row r="11488" spans="1:4">
      <c r="A11488">
        <v>1.005385</v>
      </c>
      <c r="B11488">
        <v>3.0792980000000001</v>
      </c>
      <c r="C11488">
        <f>LOG10(1.005385)</f>
        <v>2.3324014154056166E-3</v>
      </c>
      <c r="D11488">
        <f>LOG10(3.079298)</f>
        <v>0.48845171991751674</v>
      </c>
    </row>
    <row r="11489" spans="1:4">
      <c r="A11489">
        <v>1.0054069999999999</v>
      </c>
      <c r="B11489">
        <v>3.1943049999999999</v>
      </c>
      <c r="C11489">
        <f>LOG10(1.005407)</f>
        <v>2.341904614744224E-3</v>
      </c>
      <c r="D11489">
        <f>LOG10(3.194305)</f>
        <v>0.50437638127428208</v>
      </c>
    </row>
    <row r="11490" spans="1:4">
      <c r="A11490">
        <v>1.0124960000000001</v>
      </c>
      <c r="B11490">
        <v>3.194715</v>
      </c>
      <c r="C11490">
        <f>LOG10(1.012496)</f>
        <v>5.3933161520305509E-3</v>
      </c>
      <c r="D11490">
        <f>LOG10(3.194715)</f>
        <v>0.50443212088311873</v>
      </c>
    </row>
    <row r="11491" spans="1:4">
      <c r="A11491">
        <v>1.0317620000000001</v>
      </c>
      <c r="B11491">
        <v>3.2097280000000001</v>
      </c>
      <c r="C11491">
        <f>LOG10(1.031762)</f>
        <v>1.3579528679549186E-2</v>
      </c>
      <c r="D11491">
        <f>LOG10(3.209728)</f>
        <v>0.50646823081478964</v>
      </c>
    </row>
    <row r="11492" spans="1:4">
      <c r="A11492">
        <v>1.057712</v>
      </c>
      <c r="B11492">
        <v>3.3161900000000002</v>
      </c>
      <c r="C11492">
        <f>LOG10(1.057712)</f>
        <v>2.436743155780112E-2</v>
      </c>
      <c r="D11492">
        <f>LOG10(3.31619)</f>
        <v>0.52063940534857811</v>
      </c>
    </row>
    <row r="11493" spans="1:4">
      <c r="A11493">
        <v>1.070792</v>
      </c>
      <c r="B11493">
        <v>3.4982190000000002</v>
      </c>
      <c r="C11493">
        <f>LOG10(1.070792)</f>
        <v>2.9705117867123411E-2</v>
      </c>
      <c r="D11493">
        <f>LOG10(3.498219)</f>
        <v>0.54384699425482474</v>
      </c>
    </row>
    <row r="11494" spans="1:4">
      <c r="A11494">
        <v>1.051569</v>
      </c>
      <c r="B11494">
        <v>3.63462</v>
      </c>
      <c r="C11494">
        <f>LOG10(1.051569)</f>
        <v>2.1837774726658744E-2</v>
      </c>
      <c r="D11494">
        <f>LOG10(3.63462)</f>
        <v>0.56045901202315118</v>
      </c>
    </row>
    <row r="11495" spans="1:4">
      <c r="A11495">
        <v>1.055858</v>
      </c>
      <c r="B11495">
        <v>3.5929859999999998</v>
      </c>
      <c r="C11495">
        <f>LOG10(1.055858)</f>
        <v>2.360551482358627E-2</v>
      </c>
      <c r="D11495">
        <f>LOG10(3.592986)</f>
        <v>0.55545552498795248</v>
      </c>
    </row>
    <row r="11496" spans="1:4">
      <c r="A11496">
        <v>1.039261</v>
      </c>
      <c r="B11496">
        <v>3.6130409999999999</v>
      </c>
      <c r="C11496">
        <f>LOG10(1.039261)</f>
        <v>1.6724629968263086E-2</v>
      </c>
      <c r="D11496">
        <f>LOG10(3.613041)</f>
        <v>0.55787288987489403</v>
      </c>
    </row>
    <row r="11497" spans="1:4">
      <c r="A11497">
        <v>1.060743</v>
      </c>
      <c r="B11497">
        <v>3.4734229999999999</v>
      </c>
      <c r="C11497">
        <f>LOG10(1.060743)</f>
        <v>2.5610174474567496E-2</v>
      </c>
      <c r="D11497">
        <f>LOG10(3.473423)</f>
        <v>0.54075767573210554</v>
      </c>
    </row>
    <row r="11498" spans="1:4">
      <c r="A11498">
        <v>1.0313810000000001</v>
      </c>
      <c r="B11498">
        <v>3.6106370000000001</v>
      </c>
      <c r="C11498">
        <f>LOG10(1.031381)</f>
        <v>1.3419126613879397E-2</v>
      </c>
      <c r="D11498">
        <f>LOG10(3.610637)</f>
        <v>0.55758382827136221</v>
      </c>
    </row>
    <row r="11499" spans="1:4">
      <c r="A11499">
        <v>1.033774</v>
      </c>
      <c r="B11499">
        <v>3.5471970000000002</v>
      </c>
      <c r="C11499">
        <f>LOG10(1.033774)</f>
        <v>1.4425605217506835E-2</v>
      </c>
      <c r="D11499">
        <f>LOG10(3.547197)</f>
        <v>0.54988530847113559</v>
      </c>
    </row>
    <row r="11500" spans="1:4">
      <c r="A11500">
        <v>1.0180709999999999</v>
      </c>
      <c r="B11500">
        <v>3.6305139999999998</v>
      </c>
      <c r="C11500">
        <f>LOG10(1.018071)</f>
        <v>7.7780666382458114E-3</v>
      </c>
      <c r="D11500">
        <f>LOG10(3.630514)</f>
        <v>0.55996811582424988</v>
      </c>
    </row>
    <row r="11501" spans="1:4">
      <c r="A11501">
        <v>1.016797</v>
      </c>
      <c r="B11501">
        <v>3.6821679999999999</v>
      </c>
      <c r="C11501">
        <f>LOG10(1.016797)</f>
        <v>7.2342561874075327E-3</v>
      </c>
      <c r="D11501">
        <f>LOG10(3.682168)</f>
        <v>0.56610359943374544</v>
      </c>
    </row>
    <row r="11502" spans="1:4">
      <c r="A11502">
        <v>1.0290809999999999</v>
      </c>
      <c r="B11502">
        <v>3.754321</v>
      </c>
      <c r="C11502">
        <f>LOG10(1.029081)</f>
        <v>1.2449559863070163E-2</v>
      </c>
      <c r="D11502">
        <f>LOG10(3.754321)</f>
        <v>0.57453140269361291</v>
      </c>
    </row>
    <row r="11503" spans="1:4">
      <c r="A11503">
        <v>1.0328999999999999</v>
      </c>
      <c r="B11503">
        <v>3.681765</v>
      </c>
      <c r="C11503">
        <f>LOG10(1.0329)</f>
        <v>1.4058277424335934E-2</v>
      </c>
      <c r="D11503">
        <f>LOG10(3.681765)</f>
        <v>0.5660560648686207</v>
      </c>
    </row>
    <row r="11504" spans="1:4">
      <c r="A11504">
        <v>1.0343469999999999</v>
      </c>
      <c r="B11504">
        <v>3.699354</v>
      </c>
      <c r="C11504">
        <f>LOG10(1.034347)</f>
        <v>1.4666259168120095E-2</v>
      </c>
      <c r="D11504">
        <f>LOG10(3.699354)</f>
        <v>0.56812589197786334</v>
      </c>
    </row>
    <row r="11505" spans="1:4">
      <c r="A11505">
        <v>1.051545</v>
      </c>
      <c r="B11505">
        <v>3.651675</v>
      </c>
      <c r="C11505">
        <f>LOG10(1.051545)</f>
        <v>2.182786269377214E-2</v>
      </c>
      <c r="D11505">
        <f>LOG10(3.651675)</f>
        <v>0.56249211826329248</v>
      </c>
    </row>
    <row r="11506" spans="1:4">
      <c r="A11506">
        <v>1.030351</v>
      </c>
      <c r="B11506">
        <v>3.62371</v>
      </c>
      <c r="C11506">
        <f>LOG10(1.030351)</f>
        <v>1.2985196933809697E-2</v>
      </c>
      <c r="D11506">
        <f>LOG10(3.62371)</f>
        <v>0.55915343446856491</v>
      </c>
    </row>
    <row r="11507" spans="1:4">
      <c r="A11507">
        <v>1.0165120000000001</v>
      </c>
      <c r="B11507">
        <v>3.7202030000000001</v>
      </c>
      <c r="C11507">
        <f>LOG10(1.016512)</f>
        <v>7.1125098830800149E-3</v>
      </c>
      <c r="D11507">
        <f>LOG10(3.720203)</f>
        <v>0.57056663863846324</v>
      </c>
    </row>
    <row r="11508" spans="1:4">
      <c r="A11508">
        <v>1.026157</v>
      </c>
      <c r="B11508">
        <v>3.8056730000000001</v>
      </c>
      <c r="C11508">
        <f>LOG10(1.026157)</f>
        <v>1.1213812059779962E-2</v>
      </c>
      <c r="D11508">
        <f>LOG10(3.805673)</f>
        <v>0.58043146908062571</v>
      </c>
    </row>
    <row r="11509" spans="1:4">
      <c r="A11509">
        <v>1.022681</v>
      </c>
      <c r="B11509">
        <v>3.7129449999999999</v>
      </c>
      <c r="C11509">
        <f>LOG10(1.022681)</f>
        <v>9.740187432070441E-3</v>
      </c>
      <c r="D11509">
        <f>LOG10(3.712945)</f>
        <v>0.56971851605260182</v>
      </c>
    </row>
    <row r="11510" spans="1:4">
      <c r="A11510">
        <v>1.0343830000000001</v>
      </c>
      <c r="B11510">
        <v>3.7116570000000002</v>
      </c>
      <c r="C11510">
        <f>LOG10(1.034383)</f>
        <v>1.4681374336701939E-2</v>
      </c>
      <c r="D11510">
        <f>LOG10(3.711657)</f>
        <v>0.56956783557213897</v>
      </c>
    </row>
    <row r="11511" spans="1:4">
      <c r="A11511">
        <v>1.02098</v>
      </c>
      <c r="B11511">
        <v>3.866133</v>
      </c>
      <c r="C11511">
        <f>LOG10(1.02098)</f>
        <v>9.0172347659390889E-3</v>
      </c>
      <c r="D11511">
        <f>LOG10(3.866133)</f>
        <v>0.58727679024415147</v>
      </c>
    </row>
    <row r="11512" spans="1:4">
      <c r="A11512">
        <v>1.01892</v>
      </c>
      <c r="B11512">
        <v>3.8151709999999999</v>
      </c>
      <c r="C11512">
        <f>LOG10(1.01892)</f>
        <v>8.1400869284546529E-3</v>
      </c>
      <c r="D11512">
        <f>LOG10(3.815171)</f>
        <v>0.58151400826523136</v>
      </c>
    </row>
    <row r="11513" spans="1:4">
      <c r="A11513">
        <v>1.0306070000000001</v>
      </c>
      <c r="B11513">
        <v>3.7370589999999999</v>
      </c>
      <c r="C11513">
        <f>LOG10(1.030607)</f>
        <v>1.3093087912606013E-2</v>
      </c>
      <c r="D11513">
        <f>LOG10(3.737059)</f>
        <v>0.57252995446514809</v>
      </c>
    </row>
    <row r="11514" spans="1:4">
      <c r="A11514">
        <v>1.0235810000000001</v>
      </c>
      <c r="B11514">
        <v>3.610449</v>
      </c>
      <c r="C11514">
        <f>LOG10(1.023581)</f>
        <v>1.0122215792971347E-2</v>
      </c>
      <c r="D11514">
        <f>LOG10(3.610449)</f>
        <v>0.55756121467484332</v>
      </c>
    </row>
    <row r="11515" spans="1:4">
      <c r="A11515">
        <v>1.013412</v>
      </c>
      <c r="B11515">
        <v>3.461557</v>
      </c>
      <c r="C11515">
        <f>LOG10(1.013412)</f>
        <v>5.7860425468442642E-3</v>
      </c>
      <c r="D11515">
        <f>LOG10(3.461557)</f>
        <v>0.53927148735050401</v>
      </c>
    </row>
    <row r="11516" spans="1:4">
      <c r="A11516">
        <v>1.018529</v>
      </c>
      <c r="B11516">
        <v>3.5301420000000001</v>
      </c>
      <c r="C11516">
        <f>LOG10(1.018529)</f>
        <v>7.9733989333109507E-3</v>
      </c>
      <c r="D11516">
        <f>LOG10(3.530142)</f>
        <v>0.54779217523940305</v>
      </c>
    </row>
    <row r="11517" spans="1:4">
      <c r="A11517">
        <v>1.0202629999999999</v>
      </c>
      <c r="B11517">
        <v>3.4770409999999998</v>
      </c>
      <c r="C11517">
        <f>LOG10(1.020263)</f>
        <v>8.7121371794869253E-3</v>
      </c>
      <c r="D11517">
        <f>LOG10(3.477041)</f>
        <v>0.54120981175567029</v>
      </c>
    </row>
    <row r="11518" spans="1:4">
      <c r="A11518">
        <v>1.015533</v>
      </c>
      <c r="B11518">
        <v>3.5656910000000002</v>
      </c>
      <c r="C11518">
        <f>LOG10(1.015533)</f>
        <v>6.6940404784364945E-3</v>
      </c>
      <c r="D11518">
        <f>LOG10(3.565691)</f>
        <v>0.55214370484902631</v>
      </c>
    </row>
    <row r="11519" spans="1:4">
      <c r="A11519">
        <v>1.0202789999999999</v>
      </c>
      <c r="B11519">
        <v>3.585359</v>
      </c>
      <c r="C11519">
        <f>LOG10(1.020279)</f>
        <v>8.7189478324512862E-3</v>
      </c>
      <c r="D11519">
        <f>LOG10(3.585359)</f>
        <v>0.55453264784567835</v>
      </c>
    </row>
    <row r="11520" spans="1:4">
      <c r="A11520">
        <v>1.020624</v>
      </c>
      <c r="B11520">
        <v>3.583491</v>
      </c>
      <c r="C11520">
        <f>LOG10(1.020624)</f>
        <v>8.8657765623652591E-3</v>
      </c>
      <c r="D11520">
        <f>LOG10(3.583491)</f>
        <v>0.55430631806878072</v>
      </c>
    </row>
    <row r="11521" spans="1:4">
      <c r="A11521">
        <v>1.0205979999999999</v>
      </c>
      <c r="B11521">
        <v>3.613985</v>
      </c>
      <c r="C11521">
        <f>LOG10(1.020598)</f>
        <v>8.8547129381929442E-3</v>
      </c>
      <c r="D11521">
        <f>LOG10(3.613985)</f>
        <v>0.55798634567074934</v>
      </c>
    </row>
    <row r="11522" spans="1:4">
      <c r="A11522">
        <v>1.0207440000000001</v>
      </c>
      <c r="B11522">
        <v>3.7561070000000001</v>
      </c>
      <c r="C11522">
        <f>LOG10(1.020744)</f>
        <v>8.9168357911652337E-3</v>
      </c>
      <c r="D11522">
        <f>LOG10(3.756107)</f>
        <v>0.57473795549174911</v>
      </c>
    </row>
    <row r="11523" spans="1:4">
      <c r="A11523">
        <v>1.0241089999999999</v>
      </c>
      <c r="B11523">
        <v>3.6537220000000001</v>
      </c>
      <c r="C11523">
        <f>LOG10(1.024109)</f>
        <v>1.0346182791420211E-2</v>
      </c>
      <c r="D11523">
        <f>LOG10(3.653722)</f>
        <v>0.5627355001979697</v>
      </c>
    </row>
    <row r="11524" spans="1:4">
      <c r="A11524">
        <v>1.030365</v>
      </c>
      <c r="B11524">
        <v>3.6424620000000001</v>
      </c>
      <c r="C11524">
        <f>LOG10(1.030365)</f>
        <v>1.2991097914582129E-2</v>
      </c>
      <c r="D11524">
        <f>LOG10(3.642462)</f>
        <v>0.56139502968666832</v>
      </c>
    </row>
    <row r="11525" spans="1:4">
      <c r="A11525">
        <v>1.0239739999999999</v>
      </c>
      <c r="B11525">
        <v>3.7921930000000001</v>
      </c>
      <c r="C11525">
        <f>LOG10(1.023974)</f>
        <v>1.0288929491488666E-2</v>
      </c>
      <c r="D11525">
        <f>LOG10(3.792193)</f>
        <v>0.57889043222669101</v>
      </c>
    </row>
    <row r="11526" spans="1:4">
      <c r="A11526">
        <v>1.033507</v>
      </c>
      <c r="B11526">
        <v>3.7527020000000002</v>
      </c>
      <c r="C11526">
        <f>LOG10(1.033507)</f>
        <v>1.4313422473784103E-2</v>
      </c>
      <c r="D11526">
        <f>LOG10(3.752702)</f>
        <v>0.57434407869657644</v>
      </c>
    </row>
    <row r="11527" spans="1:4">
      <c r="A11527">
        <v>1.02257</v>
      </c>
      <c r="B11527">
        <v>3.6095660000000001</v>
      </c>
      <c r="C11527">
        <f>LOG10(1.02257)</f>
        <v>9.6930473132893439E-3</v>
      </c>
      <c r="D11527">
        <f>LOG10(3.609566)</f>
        <v>0.55745498718655351</v>
      </c>
    </row>
    <row r="11528" spans="1:4">
      <c r="A11528">
        <v>1.036214</v>
      </c>
      <c r="B11528">
        <v>3.7331300000000001</v>
      </c>
      <c r="C11528">
        <f>LOG10(1.036214)</f>
        <v>1.5449455623050895E-2</v>
      </c>
      <c r="D11528">
        <f>LOG10(3.73313)</f>
        <v>0.57207311376761272</v>
      </c>
    </row>
    <row r="11529" spans="1:4">
      <c r="A11529">
        <v>1.0229429999999999</v>
      </c>
      <c r="B11529">
        <v>3.704097</v>
      </c>
      <c r="C11529">
        <f>LOG10(1.022943)</f>
        <v>9.8514348117265498E-3</v>
      </c>
      <c r="D11529">
        <f>LOG10(3.704097)</f>
        <v>0.56868235112359844</v>
      </c>
    </row>
    <row r="11530" spans="1:4">
      <c r="A11530">
        <v>1.014386</v>
      </c>
      <c r="B11530">
        <v>3.7810700000000002</v>
      </c>
      <c r="C11530">
        <f>LOG10(1.014386)</f>
        <v>6.2032466844400905E-3</v>
      </c>
      <c r="D11530">
        <f>LOG10(3.78107)</f>
        <v>0.5776147176514338</v>
      </c>
    </row>
    <row r="11531" spans="1:4">
      <c r="A11531">
        <v>1.021997</v>
      </c>
      <c r="B11531">
        <v>3.7811759999999999</v>
      </c>
      <c r="C11531">
        <f>LOG10(1.021997)</f>
        <v>9.449620959791823E-3</v>
      </c>
      <c r="D11531">
        <f>LOG10(3.781176)</f>
        <v>0.57762689266268963</v>
      </c>
    </row>
    <row r="11532" spans="1:4">
      <c r="A11532">
        <v>1.017719</v>
      </c>
      <c r="B11532">
        <v>3.7163810000000002</v>
      </c>
      <c r="C11532">
        <f>LOG10(1.017719)</f>
        <v>7.6278825238201156E-3</v>
      </c>
      <c r="D11532">
        <f>LOG10(3.716381)</f>
        <v>0.57012023107929877</v>
      </c>
    </row>
    <row r="11533" spans="1:4">
      <c r="A11533">
        <v>1.0110440000000001</v>
      </c>
      <c r="B11533">
        <v>3.658982</v>
      </c>
      <c r="C11533">
        <f>LOG10(1.011044)</f>
        <v>4.7700562254153322E-3</v>
      </c>
      <c r="D11533">
        <f>LOG10(3.658982)</f>
        <v>0.56336027302311953</v>
      </c>
    </row>
    <row r="11534" spans="1:4">
      <c r="A11534">
        <v>1.012856</v>
      </c>
      <c r="B11534">
        <v>3.7386870000000001</v>
      </c>
      <c r="C11534">
        <f>LOG10(1.012856)</f>
        <v>5.5477051324464626E-3</v>
      </c>
      <c r="D11534">
        <f>LOG10(3.738687)</f>
        <v>0.57271910787611613</v>
      </c>
    </row>
    <row r="11535" spans="1:4">
      <c r="A11535">
        <v>1.0198940000000001</v>
      </c>
      <c r="B11535">
        <v>3.7204250000000001</v>
      </c>
      <c r="C11535">
        <f>LOG10(1.019894)</f>
        <v>8.5550368528260635E-3</v>
      </c>
      <c r="D11535">
        <f>LOG10(3.720425)</f>
        <v>0.57059255402490938</v>
      </c>
    </row>
    <row r="11536" spans="1:4">
      <c r="A11536">
        <v>1.0103230000000001</v>
      </c>
      <c r="B11536">
        <v>3.5096509999999999</v>
      </c>
      <c r="C11536">
        <f>LOG10(1.010323)</f>
        <v>4.4602398143117226E-3</v>
      </c>
      <c r="D11536">
        <f>LOG10(3.509651)</f>
        <v>0.54526393233193793</v>
      </c>
    </row>
    <row r="11537" spans="1:4">
      <c r="A11537">
        <v>1.0352159999999999</v>
      </c>
      <c r="B11537">
        <v>3.4430860000000001</v>
      </c>
      <c r="C11537">
        <f>LOG10(1.035216)</f>
        <v>1.5030975706784647E-2</v>
      </c>
      <c r="D11537">
        <f>LOG10(3.443086)</f>
        <v>0.53694787047086334</v>
      </c>
    </row>
    <row r="11538" spans="1:4">
      <c r="A11538">
        <v>1.0333870000000001</v>
      </c>
      <c r="B11538">
        <v>3.4040699999999999</v>
      </c>
      <c r="C11538">
        <f>LOG10(1.033387)</f>
        <v>1.4262993822980626E-2</v>
      </c>
      <c r="D11538">
        <f>LOG10(3.40407)</f>
        <v>0.53199848217082224</v>
      </c>
    </row>
    <row r="11539" spans="1:4">
      <c r="A11539">
        <v>1.0304979999999999</v>
      </c>
      <c r="B11539">
        <v>3.2678759999999998</v>
      </c>
      <c r="C11539">
        <f>LOG10(1.030498)</f>
        <v>1.3047153233323157E-2</v>
      </c>
      <c r="D11539">
        <f>LOG10(3.267876)</f>
        <v>0.51426556880974639</v>
      </c>
    </row>
    <row r="11540" spans="1:4">
      <c r="A11540">
        <v>1.0157309999999999</v>
      </c>
      <c r="B11540">
        <v>3.2579319999999998</v>
      </c>
      <c r="C11540">
        <f>LOG10(1.015731)</f>
        <v>6.7787072747654388E-3</v>
      </c>
      <c r="D11540">
        <f>LOG10(3.257932)</f>
        <v>0.51294201541356932</v>
      </c>
    </row>
    <row r="11541" spans="1:4">
      <c r="A11541">
        <v>1.010095</v>
      </c>
      <c r="B11541">
        <v>3.2237140000000002</v>
      </c>
      <c r="C11541">
        <f>LOG10(1.010095)</f>
        <v>4.36222134259516E-3</v>
      </c>
      <c r="D11541">
        <f>LOG10(3.223714)</f>
        <v>0.50835650530073739</v>
      </c>
    </row>
    <row r="11542" spans="1:4">
      <c r="A11542">
        <v>1.006354</v>
      </c>
      <c r="B11542">
        <v>3.0669010000000001</v>
      </c>
      <c r="C11542">
        <f>LOG10(1.006354)</f>
        <v>2.7507771445730357E-3</v>
      </c>
      <c r="D11542">
        <f>LOG10(3.066901)</f>
        <v>0.48669975712117292</v>
      </c>
    </row>
    <row r="11543" spans="1:4">
      <c r="A11543">
        <v>1.002013</v>
      </c>
      <c r="B11543">
        <v>3.0855950000000001</v>
      </c>
      <c r="C11543">
        <f>LOG10(1.002013)</f>
        <v>8.7335605382216509E-4</v>
      </c>
      <c r="D11543">
        <f>LOG10(3.085595)</f>
        <v>0.48933892211344021</v>
      </c>
    </row>
    <row r="11544" spans="1:4">
      <c r="A11544">
        <v>1.0131060000000001</v>
      </c>
      <c r="B11544">
        <v>3.022694</v>
      </c>
      <c r="C11544">
        <f>LOG10(1.013106)</f>
        <v>5.6548874201961209E-3</v>
      </c>
      <c r="D11544">
        <f>LOG10(3.022694)</f>
        <v>0.48039418394991446</v>
      </c>
    </row>
    <row r="11545" spans="1:4">
      <c r="A11545">
        <v>1.011687</v>
      </c>
      <c r="B11545">
        <v>3.226394</v>
      </c>
      <c r="C11545">
        <f>LOG10(1.011687)</f>
        <v>5.046169422147956E-3</v>
      </c>
      <c r="D11545">
        <f>LOG10(3.226394)</f>
        <v>0.50871740135968047</v>
      </c>
    </row>
    <row r="11546" spans="1:4">
      <c r="A11546">
        <v>1.009795</v>
      </c>
      <c r="B11546">
        <v>3.2853129999999999</v>
      </c>
      <c r="C11546">
        <f>LOG10(1.009795)</f>
        <v>4.2332159556394602E-3</v>
      </c>
      <c r="D11546">
        <f>LOG10(3.285313)</f>
        <v>0.51657675219023957</v>
      </c>
    </row>
    <row r="11547" spans="1:4">
      <c r="A11547">
        <v>1.004513</v>
      </c>
      <c r="B11547">
        <v>3.304414</v>
      </c>
      <c r="C11547">
        <f>LOG10(1.004513)</f>
        <v>1.955561583751853E-3</v>
      </c>
      <c r="D11547">
        <f>LOG10(3.304414)</f>
        <v>0.51909445349455219</v>
      </c>
    </row>
    <row r="11548" spans="1:4">
      <c r="A11548">
        <v>1.0115339999999999</v>
      </c>
      <c r="B11548">
        <v>3.2798989999999999</v>
      </c>
      <c r="C11548">
        <f>LOG10(1.011534)</f>
        <v>4.9804849953276617E-3</v>
      </c>
      <c r="D11548">
        <f>LOG10(3.279899)</f>
        <v>0.51586047041350003</v>
      </c>
    </row>
    <row r="11549" spans="1:4">
      <c r="A11549">
        <v>1.01217</v>
      </c>
      <c r="B11549">
        <v>3.0814159999999999</v>
      </c>
      <c r="C11549">
        <f>LOG10(1.01217)</f>
        <v>5.2534609835000424E-3</v>
      </c>
      <c r="D11549">
        <f>LOG10(3.081416)</f>
        <v>0.48875033327593925</v>
      </c>
    </row>
    <row r="11550" spans="1:4">
      <c r="A11550">
        <v>1.0079659999999999</v>
      </c>
      <c r="B11550">
        <v>3.1108319999999998</v>
      </c>
      <c r="C11550">
        <f>LOG10(1.007966)</f>
        <v>3.4458830406371237E-3</v>
      </c>
      <c r="D11550">
        <f>LOG10(3.110832)</f>
        <v>0.49287655773581335</v>
      </c>
    </row>
    <row r="11551" spans="1:4">
      <c r="A11551">
        <v>1.0042549999999999</v>
      </c>
      <c r="B11551">
        <v>3.1821660000000001</v>
      </c>
      <c r="C11551">
        <f>LOG10(1.004255)</f>
        <v>1.8440026810341724E-3</v>
      </c>
      <c r="D11551">
        <f>LOG10(3.182166)</f>
        <v>0.50272283118849304</v>
      </c>
    </row>
    <row r="11552" spans="1:4">
      <c r="A11552">
        <v>1.014132</v>
      </c>
      <c r="B11552">
        <v>3.1274850000000001</v>
      </c>
      <c r="C11552">
        <f>LOG10(1.014132)</f>
        <v>6.0944866941615473E-3</v>
      </c>
      <c r="D11552">
        <f>LOG10(3.127485)</f>
        <v>0.49519523541330707</v>
      </c>
    </row>
    <row r="11553" spans="1:4">
      <c r="A11553">
        <v>1.0063569999999999</v>
      </c>
      <c r="B11553">
        <v>3.3159900000000002</v>
      </c>
      <c r="C11553">
        <f>LOG10(1.006357)</f>
        <v>2.7520717998372043E-3</v>
      </c>
      <c r="D11553">
        <f>LOG10(3.31599)</f>
        <v>0.52061321218240741</v>
      </c>
    </row>
    <row r="11554" spans="1:4">
      <c r="A11554">
        <v>1.0130749999999999</v>
      </c>
      <c r="B11554">
        <v>3.3668420000000001</v>
      </c>
      <c r="C11554">
        <f>LOG10(1.013075)</f>
        <v>5.6415982530979196E-3</v>
      </c>
      <c r="D11554">
        <f>LOG10(3.366842)</f>
        <v>0.52722273618666626</v>
      </c>
    </row>
    <row r="11555" spans="1:4">
      <c r="A11555">
        <v>1.0097160000000001</v>
      </c>
      <c r="B11555">
        <v>3.526367</v>
      </c>
      <c r="C11555">
        <f>LOG10(1.009716)</f>
        <v>4.1992381619182758E-3</v>
      </c>
      <c r="D11555">
        <f>LOG10(3.526367)</f>
        <v>0.54732750869519997</v>
      </c>
    </row>
    <row r="11556" spans="1:4">
      <c r="A11556">
        <v>1.0115400000000001</v>
      </c>
      <c r="B11556">
        <v>3.357742</v>
      </c>
      <c r="C11556">
        <f>LOG10(1.01154)</f>
        <v>4.9830610423645004E-3</v>
      </c>
      <c r="D11556">
        <f>LOG10(3.357742)</f>
        <v>0.52604732304653401</v>
      </c>
    </row>
    <row r="11557" spans="1:4">
      <c r="A11557">
        <v>1.0186360000000001</v>
      </c>
      <c r="B11557">
        <v>3.2954210000000002</v>
      </c>
      <c r="C11557">
        <f>LOG10(1.018636)</f>
        <v>8.0190206768677216E-3</v>
      </c>
      <c r="D11557">
        <f>LOG10(3.295421)</f>
        <v>0.51791090490797453</v>
      </c>
    </row>
    <row r="11558" spans="1:4">
      <c r="A11558">
        <v>1.00945</v>
      </c>
      <c r="B11558">
        <v>3.1238320000000002</v>
      </c>
      <c r="C11558">
        <f>LOG10(1.00945)</f>
        <v>4.0848123714140802E-3</v>
      </c>
      <c r="D11558">
        <f>LOG10(3.123832)</f>
        <v>0.49468766943225945</v>
      </c>
    </row>
    <row r="11559" spans="1:4">
      <c r="A11559">
        <v>1.023874</v>
      </c>
      <c r="B11559">
        <v>3.3579300000000001</v>
      </c>
      <c r="C11559">
        <f>LOG10(1.023874)</f>
        <v>1.0246514772989206E-2</v>
      </c>
      <c r="D11559">
        <f>LOG10(3.35793)</f>
        <v>0.52607163851715821</v>
      </c>
    </row>
    <row r="11560" spans="1:4">
      <c r="A11560">
        <v>1.003568</v>
      </c>
      <c r="B11560">
        <v>3.1686019999999999</v>
      </c>
      <c r="C11560">
        <f>LOG10(1.003568)</f>
        <v>1.5468048496407145E-3</v>
      </c>
      <c r="D11560">
        <f>LOG10(3.168602)</f>
        <v>0.50086769199594383</v>
      </c>
    </row>
    <row r="11561" spans="1:4">
      <c r="A11561">
        <v>1.0076750000000001</v>
      </c>
      <c r="B11561">
        <v>3.3991419999999999</v>
      </c>
      <c r="C11561">
        <f>LOG10(1.007675)</f>
        <v>3.3204840284997337E-3</v>
      </c>
      <c r="D11561">
        <f>LOG10(3.399142)</f>
        <v>0.5313693077217112</v>
      </c>
    </row>
    <row r="11562" spans="1:4">
      <c r="A11562">
        <v>1.00085</v>
      </c>
      <c r="B11562">
        <v>3.4166210000000001</v>
      </c>
      <c r="C11562">
        <f>LOG10(1.00085)</f>
        <v>3.6899350958324601E-4</v>
      </c>
      <c r="D11562">
        <f>LOG10(3.416621)</f>
        <v>0.53359680591682801</v>
      </c>
    </row>
    <row r="11563" spans="1:4">
      <c r="A11563">
        <v>1.0156350000000001</v>
      </c>
      <c r="B11563">
        <v>3.2381500000000001</v>
      </c>
      <c r="C11563">
        <f>LOG10(1.015635)</f>
        <v>6.7376587682002054E-3</v>
      </c>
      <c r="D11563">
        <f>LOG10(3.23815)</f>
        <v>0.51029696259630297</v>
      </c>
    </row>
    <row r="11564" spans="1:4">
      <c r="A11564">
        <v>1.0163610000000001</v>
      </c>
      <c r="B11564">
        <v>3.344684</v>
      </c>
      <c r="C11564">
        <f>LOG10(1.016361)</f>
        <v>7.0479918665703727E-3</v>
      </c>
      <c r="D11564">
        <f>LOG10(3.344684)</f>
        <v>0.52435509264523561</v>
      </c>
    </row>
    <row r="11565" spans="1:4">
      <c r="A11565">
        <v>1.0069669999999999</v>
      </c>
      <c r="B11565">
        <v>3.418415</v>
      </c>
      <c r="C11565">
        <f>LOG10(1.006967)</f>
        <v>3.0152382271656734E-3</v>
      </c>
      <c r="D11565">
        <f>LOG10(3.418415)</f>
        <v>0.53382478549686996</v>
      </c>
    </row>
    <row r="11566" spans="1:4">
      <c r="A11566">
        <v>1.0077590000000001</v>
      </c>
      <c r="B11566">
        <v>3.4792730000000001</v>
      </c>
      <c r="C11566">
        <f>LOG10(1.007759)</f>
        <v>3.3566853990243798E-3</v>
      </c>
      <c r="D11566">
        <f>LOG10(3.479273)</f>
        <v>0.54148850685680383</v>
      </c>
    </row>
    <row r="11567" spans="1:4">
      <c r="A11567">
        <v>1.0174460000000001</v>
      </c>
      <c r="B11567">
        <v>3.3439139999999998</v>
      </c>
      <c r="C11567">
        <f>LOG10(1.017446)</f>
        <v>7.5113687332717246E-3</v>
      </c>
      <c r="D11567">
        <f>LOG10(3.343914)</f>
        <v>0.52425509956670324</v>
      </c>
    </row>
    <row r="11568" spans="1:4">
      <c r="A11568">
        <v>1.011398</v>
      </c>
      <c r="B11568">
        <v>3.4432149999999999</v>
      </c>
      <c r="C11568">
        <f>LOG10(1.011398)</f>
        <v>4.9220904970174962E-3</v>
      </c>
      <c r="D11568">
        <f>LOG10(3.443215)</f>
        <v>0.53696414161212547</v>
      </c>
    </row>
    <row r="11569" spans="1:4">
      <c r="A11569">
        <v>1.005304</v>
      </c>
      <c r="B11569">
        <v>3.3581080000000001</v>
      </c>
      <c r="C11569">
        <f>LOG10(1.005304)</f>
        <v>2.2974105709207739E-3</v>
      </c>
      <c r="D11569">
        <f>LOG10(3.358108)</f>
        <v>0.52609465935706323</v>
      </c>
    </row>
    <row r="11570" spans="1:4">
      <c r="A11570">
        <v>1.0162949999999999</v>
      </c>
      <c r="B11570">
        <v>3.5145279999999999</v>
      </c>
      <c r="C11570">
        <f>LOG10(1.016295)</f>
        <v>7.0197889283302173E-3</v>
      </c>
      <c r="D11570">
        <f>LOG10(3.514528)</f>
        <v>0.54586700766034157</v>
      </c>
    </row>
    <row r="11571" spans="1:4">
      <c r="A11571">
        <v>1.02261</v>
      </c>
      <c r="B11571">
        <v>3.5622579999999999</v>
      </c>
      <c r="C11571">
        <f>LOG10(1.02261)</f>
        <v>9.7100353331979698E-3</v>
      </c>
      <c r="D11571">
        <f>LOG10(3.562258)</f>
        <v>0.55172537046654002</v>
      </c>
    </row>
    <row r="11572" spans="1:4">
      <c r="A11572">
        <v>1.0136860000000001</v>
      </c>
      <c r="B11572">
        <v>3.5214249999999998</v>
      </c>
      <c r="C11572">
        <f>LOG10(1.013686)</f>
        <v>5.9034485023197764E-3</v>
      </c>
      <c r="D11572">
        <f>LOG10(3.521425)</f>
        <v>0.54671844313783358</v>
      </c>
    </row>
    <row r="11573" spans="1:4">
      <c r="A11573">
        <v>1.0019370000000001</v>
      </c>
      <c r="B11573">
        <v>3.5042149999999999</v>
      </c>
      <c r="C11573">
        <f>LOG10(1.001937)</f>
        <v>8.4041473229173121E-4</v>
      </c>
      <c r="D11573">
        <f>LOG10(3.504215)</f>
        <v>0.54459074431371024</v>
      </c>
    </row>
    <row r="11574" spans="1:4">
      <c r="A11574">
        <v>1.011673</v>
      </c>
      <c r="B11574">
        <v>3.3683900000000002</v>
      </c>
      <c r="C11574">
        <f>LOG10(1.011673)</f>
        <v>5.0401594953462751E-3</v>
      </c>
      <c r="D11574">
        <f>LOG10(3.36839)</f>
        <v>0.5274223693603487</v>
      </c>
    </row>
    <row r="11575" spans="1:4">
      <c r="A11575">
        <v>1.0216160000000001</v>
      </c>
      <c r="B11575">
        <v>3.4185219999999998</v>
      </c>
      <c r="C11575">
        <f>LOG10(1.021616)</f>
        <v>9.2876859950776578E-3</v>
      </c>
      <c r="D11575">
        <f>LOG10(3.418522)</f>
        <v>0.53383837916010468</v>
      </c>
    </row>
    <row r="11576" spans="1:4">
      <c r="A11576">
        <v>1.0091319999999999</v>
      </c>
      <c r="B11576">
        <v>3.3840599999999998</v>
      </c>
      <c r="C11576">
        <f>LOG10(1.009132)</f>
        <v>3.9479780526816832E-3</v>
      </c>
      <c r="D11576">
        <f>LOG10(3.38406)</f>
        <v>0.52943805455549331</v>
      </c>
    </row>
    <row r="11577" spans="1:4">
      <c r="A11577">
        <v>1.0020020000000001</v>
      </c>
      <c r="B11577">
        <v>3.4814639999999999</v>
      </c>
      <c r="C11577">
        <f>LOG10(1.002002)</f>
        <v>8.6858838561511427E-4</v>
      </c>
      <c r="D11577">
        <f>LOG10(3.481464)</f>
        <v>0.54176190872251873</v>
      </c>
    </row>
    <row r="11578" spans="1:4">
      <c r="A11578">
        <v>1.0176430000000001</v>
      </c>
      <c r="B11578">
        <v>3.3573970000000002</v>
      </c>
      <c r="C11578">
        <f>LOG10(1.017643)</f>
        <v>7.5954495898850494E-3</v>
      </c>
      <c r="D11578">
        <f>LOG10(3.357397)</f>
        <v>0.52600269802942312</v>
      </c>
    </row>
    <row r="11579" spans="1:4">
      <c r="A11579">
        <v>1.0189839999999999</v>
      </c>
      <c r="B11579">
        <v>3.3087430000000002</v>
      </c>
      <c r="C11579">
        <f>LOG10(1.018984)</f>
        <v>8.167364804989443E-3</v>
      </c>
      <c r="D11579">
        <f>LOG10(3.308743)</f>
        <v>0.51966303551391113</v>
      </c>
    </row>
    <row r="11580" spans="1:4">
      <c r="A11580">
        <v>1.0070239999999999</v>
      </c>
      <c r="B11580">
        <v>3.4363079999999999</v>
      </c>
      <c r="C11580">
        <f>LOG10(1.007024)</f>
        <v>3.0398210435487491E-3</v>
      </c>
      <c r="D11580">
        <f>LOG10(3.436308)</f>
        <v>0.53609208318760959</v>
      </c>
    </row>
    <row r="11581" spans="1:4">
      <c r="A11581">
        <v>1.0053270000000001</v>
      </c>
      <c r="B11581">
        <v>3.2484799999999998</v>
      </c>
      <c r="C11581">
        <f>LOG10(1.005327)</f>
        <v>2.3073465294176404E-3</v>
      </c>
      <c r="D11581">
        <f>LOG10(3.24848)</f>
        <v>0.51168019727766068</v>
      </c>
    </row>
    <row r="11582" spans="1:4">
      <c r="A11582">
        <v>1.022373</v>
      </c>
      <c r="B11582">
        <v>3.442612</v>
      </c>
      <c r="C11582">
        <f>LOG10(1.022373)</f>
        <v>9.6093716184659592E-3</v>
      </c>
      <c r="D11582">
        <f>LOG10(3.442612)</f>
        <v>0.5368880782508888</v>
      </c>
    </row>
    <row r="11583" spans="1:4">
      <c r="A11583">
        <v>1.0172049999999999</v>
      </c>
      <c r="B11583">
        <v>3.5649310000000001</v>
      </c>
      <c r="C11583">
        <f>LOG10(1.017205)</f>
        <v>7.4084862530544963E-3</v>
      </c>
      <c r="D11583">
        <f>LOG10(3.564931)</f>
        <v>0.55205112840688808</v>
      </c>
    </row>
    <row r="11584" spans="1:4">
      <c r="A11584">
        <v>1.0051110000000001</v>
      </c>
      <c r="B11584">
        <v>3.5812050000000002</v>
      </c>
      <c r="C11584">
        <f>LOG10(1.005111)</f>
        <v>2.2140259610121025E-3</v>
      </c>
      <c r="D11584">
        <f>LOG10(3.581205)</f>
        <v>0.55402918217374197</v>
      </c>
    </row>
    <row r="11585" spans="1:4">
      <c r="A11585">
        <v>1.0114110000000001</v>
      </c>
      <c r="B11585">
        <v>3.6069399999999998</v>
      </c>
      <c r="C11585">
        <f>LOG10(1.011411)</f>
        <v>4.9276726634650825E-3</v>
      </c>
      <c r="D11585">
        <f>LOG10(3.60694)</f>
        <v>0.5571389180639571</v>
      </c>
    </row>
    <row r="11586" spans="1:4">
      <c r="A11586">
        <v>1.0351300000000001</v>
      </c>
      <c r="B11586">
        <v>3.6416110000000002</v>
      </c>
      <c r="C11586">
        <f>LOG10(1.03513)</f>
        <v>1.4994895432796551E-2</v>
      </c>
      <c r="D11586">
        <f>LOG10(3.641611)</f>
        <v>0.56129355222871824</v>
      </c>
    </row>
    <row r="11587" spans="1:4">
      <c r="A11587">
        <v>1.0108299999999999</v>
      </c>
      <c r="B11587">
        <v>3.29122</v>
      </c>
      <c r="C11587">
        <f>LOG10(1.01083)</f>
        <v>4.6781226830932901E-3</v>
      </c>
      <c r="D11587">
        <f>LOG10(3.29122)</f>
        <v>0.517356913468067</v>
      </c>
    </row>
    <row r="11588" spans="1:4">
      <c r="A11588">
        <v>1.000526</v>
      </c>
      <c r="B11588">
        <v>3.516178</v>
      </c>
      <c r="C11588">
        <f>LOG10(1.000526)</f>
        <v>2.283788391106301E-4</v>
      </c>
      <c r="D11588">
        <f>LOG10(3.516178)</f>
        <v>0.54607085231215791</v>
      </c>
    </row>
    <row r="11589" spans="1:4">
      <c r="A11589">
        <v>1.015914</v>
      </c>
      <c r="B11589">
        <v>3.175103</v>
      </c>
      <c r="C11589">
        <f>LOG10(1.015914)</f>
        <v>6.8569452448864554E-3</v>
      </c>
      <c r="D11589">
        <f>LOG10(3.175103)</f>
        <v>0.5017578183228204</v>
      </c>
    </row>
    <row r="11590" spans="1:4">
      <c r="A11590">
        <v>1.012281</v>
      </c>
      <c r="B11590">
        <v>3.3947859999999999</v>
      </c>
      <c r="C11590">
        <f>LOG10(1.012281)</f>
        <v>5.3010854382678357E-3</v>
      </c>
      <c r="D11590">
        <f>LOG10(3.394786)</f>
        <v>0.5308124024903339</v>
      </c>
    </row>
    <row r="11591" spans="1:4">
      <c r="A11591">
        <v>1.014438</v>
      </c>
      <c r="B11591">
        <v>3.2784339999999998</v>
      </c>
      <c r="C11591">
        <f>LOG10(1.014438)</f>
        <v>6.2255091508382487E-3</v>
      </c>
      <c r="D11591">
        <f>LOG10(3.278434)</f>
        <v>0.51566644506389647</v>
      </c>
    </row>
    <row r="11592" spans="1:4">
      <c r="A11592">
        <v>1.016893</v>
      </c>
      <c r="B11592">
        <v>3.6481379999999999</v>
      </c>
      <c r="C11592">
        <f>LOG10(1.016893)</f>
        <v>7.2752577857767252E-3</v>
      </c>
      <c r="D11592">
        <f>LOG10(3.648138)</f>
        <v>0.5620712582487406</v>
      </c>
    </row>
    <row r="11593" spans="1:4">
      <c r="A11593">
        <v>1.016645</v>
      </c>
      <c r="B11593">
        <v>3.419279</v>
      </c>
      <c r="C11593">
        <f>LOG10(1.016645)</f>
        <v>7.1693290723265869E-3</v>
      </c>
      <c r="D11593">
        <f>LOG10(3.419279)</f>
        <v>0.53393453899983789</v>
      </c>
    </row>
    <row r="11594" spans="1:4">
      <c r="A11594">
        <v>1.009852</v>
      </c>
      <c r="B11594">
        <v>3.2472490000000001</v>
      </c>
      <c r="C11594">
        <f>LOG10(1.009852)</f>
        <v>4.2577299281059819E-3</v>
      </c>
      <c r="D11594">
        <f>LOG10(3.247249)</f>
        <v>0.51151559173034711</v>
      </c>
    </row>
    <row r="11595" spans="1:4">
      <c r="A11595">
        <v>1.0145059999999999</v>
      </c>
      <c r="B11595">
        <v>3.2405349999999999</v>
      </c>
      <c r="C11595">
        <f>LOG10(1.014506)</f>
        <v>6.2546198850728651E-3</v>
      </c>
      <c r="D11595">
        <f>LOG10(3.240535)</f>
        <v>0.51061671649269691</v>
      </c>
    </row>
    <row r="11596" spans="1:4">
      <c r="A11596">
        <v>1.008276</v>
      </c>
      <c r="B11596">
        <v>3.4914689999999999</v>
      </c>
      <c r="C11596">
        <f>LOG10(1.008276)</f>
        <v>3.5794297978725092E-3</v>
      </c>
      <c r="D11596">
        <f>LOG10(3.491469)</f>
        <v>0.54300819038714365</v>
      </c>
    </row>
    <row r="11597" spans="1:4">
      <c r="A11597">
        <v>1.0142690000000001</v>
      </c>
      <c r="B11597">
        <v>3.7472449999999999</v>
      </c>
      <c r="C11597">
        <f>LOG10(1.014269)</f>
        <v>6.1531519621349324E-3</v>
      </c>
      <c r="D11597">
        <f>LOG10(3.747245)</f>
        <v>0.57371208878892244</v>
      </c>
    </row>
    <row r="11598" spans="1:4">
      <c r="A11598">
        <v>1.0024820000000001</v>
      </c>
      <c r="B11598">
        <v>3.7528609999999998</v>
      </c>
      <c r="C11598">
        <f>LOG10(1.002482)</f>
        <v>1.0765834160550156E-3</v>
      </c>
      <c r="D11598">
        <f>LOG10(3.752861)</f>
        <v>0.57436247913439376</v>
      </c>
    </row>
    <row r="11599" spans="1:4">
      <c r="A11599">
        <v>1.006616</v>
      </c>
      <c r="B11599">
        <v>3.5078109999999998</v>
      </c>
      <c r="C11599">
        <f>LOG10(1.006616)</f>
        <v>2.863829157172502E-3</v>
      </c>
      <c r="D11599">
        <f>LOG10(3.507811)</f>
        <v>0.54503618564374356</v>
      </c>
    </row>
    <row r="11600" spans="1:4">
      <c r="A11600">
        <v>1.0070300000000001</v>
      </c>
      <c r="B11600">
        <v>3.2459479999999998</v>
      </c>
      <c r="C11600">
        <f>LOG10(1.00703)</f>
        <v>3.0424086274879109E-3</v>
      </c>
      <c r="D11600">
        <f>LOG10(3.245948)</f>
        <v>0.51134155815997584</v>
      </c>
    </row>
    <row r="11601" spans="1:4">
      <c r="A11601">
        <v>1.006321</v>
      </c>
      <c r="B11601">
        <v>3.3395899999999998</v>
      </c>
      <c r="C11601">
        <f>LOG10(1.006321)</f>
        <v>2.7365356819384129E-3</v>
      </c>
      <c r="D11601">
        <f>LOG10(3.33959)</f>
        <v>0.52369315194109967</v>
      </c>
    </row>
    <row r="11602" spans="1:4">
      <c r="A11602">
        <v>1.0018720000000001</v>
      </c>
      <c r="B11602">
        <v>3.3666529999999999</v>
      </c>
      <c r="C11602">
        <f>LOG10(1.001872)</f>
        <v>8.1223925116193823E-4</v>
      </c>
      <c r="D11602">
        <f>LOG10(3.366653)</f>
        <v>0.52719835608180199</v>
      </c>
    </row>
    <row r="11603" spans="1:4">
      <c r="A11603">
        <v>1.0128410000000001</v>
      </c>
      <c r="B11603">
        <v>3.4365320000000001</v>
      </c>
      <c r="C11603">
        <f>LOG10(1.012841)</f>
        <v>5.5412733539241922E-3</v>
      </c>
      <c r="D11603">
        <f>LOG10(3.436532)</f>
        <v>0.53612039228951824</v>
      </c>
    </row>
    <row r="11604" spans="1:4">
      <c r="A11604">
        <v>1.0072190000000001</v>
      </c>
      <c r="B11604">
        <v>3.689152</v>
      </c>
      <c r="C11604">
        <f>LOG10(1.007219)</f>
        <v>3.1239096309096368E-3</v>
      </c>
      <c r="D11604">
        <f>LOG10(3.689152)</f>
        <v>0.56692654934480446</v>
      </c>
    </row>
    <row r="11605" spans="1:4">
      <c r="A11605">
        <v>1.001447</v>
      </c>
      <c r="B11605">
        <v>3.1851539999999998</v>
      </c>
      <c r="C11605">
        <f>LOG10(1.001447)</f>
        <v>6.2796988859114785E-4</v>
      </c>
      <c r="D11605">
        <f>LOG10(3.185154)</f>
        <v>0.50313043501779098</v>
      </c>
    </row>
    <row r="11606" spans="1:4">
      <c r="A11606">
        <v>1.001619</v>
      </c>
      <c r="B11606">
        <v>3.2317900000000002</v>
      </c>
      <c r="C11606">
        <f>LOG10(1.001619)</f>
        <v>7.0255420190980982E-4</v>
      </c>
      <c r="D11606">
        <f>LOG10(3.23179)</f>
        <v>0.50944313279430009</v>
      </c>
    </row>
    <row r="11607" spans="1:4">
      <c r="A11607">
        <v>1.005582</v>
      </c>
      <c r="B11607">
        <v>3.4056160000000002</v>
      </c>
      <c r="C11607">
        <f>LOG10(1.005582)</f>
        <v>2.417490840750366E-3</v>
      </c>
      <c r="D11607">
        <f>LOG10(3.405616)</f>
        <v>0.53219567754240271</v>
      </c>
    </row>
    <row r="11608" spans="1:4">
      <c r="A11608">
        <v>1.005366</v>
      </c>
      <c r="B11608">
        <v>3.3767450000000001</v>
      </c>
      <c r="C11608">
        <f>LOG10(1.005366)</f>
        <v>2.3241939395357517E-3</v>
      </c>
      <c r="D11608">
        <f>LOG10(3.376745)</f>
        <v>0.52849826546978473</v>
      </c>
    </row>
    <row r="11609" spans="1:4">
      <c r="A11609">
        <v>1.001941</v>
      </c>
      <c r="B11609">
        <v>3.4634520000000002</v>
      </c>
      <c r="C11609">
        <f>LOG10(1.001941)</f>
        <v>8.4214854834996312E-4</v>
      </c>
      <c r="D11609">
        <f>LOG10(3.463452)</f>
        <v>0.53950917312499158</v>
      </c>
    </row>
    <row r="11610" spans="1:4">
      <c r="A11610">
        <v>1</v>
      </c>
      <c r="B11610">
        <v>3.4941019999999998</v>
      </c>
      <c r="C11610">
        <f>LOG10(1)</f>
        <v>0</v>
      </c>
      <c r="D11610">
        <f>LOG10(3.494102)</f>
        <v>0.54333557877815786</v>
      </c>
    </row>
    <row r="11611" spans="1:4">
      <c r="A11611">
        <v>1.009271</v>
      </c>
      <c r="B11611">
        <v>3.3863789999999998</v>
      </c>
      <c r="C11611">
        <f>LOG10(1.009271)</f>
        <v>4.0077945839492564E-3</v>
      </c>
      <c r="D11611">
        <f>LOG10(3.386379)</f>
        <v>0.52973556227778984</v>
      </c>
    </row>
    <row r="11612" spans="1:4">
      <c r="A11612">
        <v>1.0085999999999999</v>
      </c>
      <c r="B11612">
        <v>3.2307009999999998</v>
      </c>
      <c r="C11612">
        <f>LOG10(1.0086)</f>
        <v>3.7189638231145961E-3</v>
      </c>
      <c r="D11612">
        <f>LOG10(3.230701)</f>
        <v>0.5092967661083676</v>
      </c>
    </row>
    <row r="11613" spans="1:4">
      <c r="A11613">
        <v>1.001738</v>
      </c>
      <c r="B11613">
        <v>3.4827029999999999</v>
      </c>
      <c r="C11613">
        <f>LOG10(1.001738)</f>
        <v>7.5414864404594641E-4</v>
      </c>
      <c r="D11613">
        <f>LOG10(3.482703)</f>
        <v>0.54191644001642802</v>
      </c>
    </row>
    <row r="11614" spans="1:4">
      <c r="A11614">
        <v>1</v>
      </c>
      <c r="B11614">
        <v>3.4083950000000001</v>
      </c>
      <c r="C11614">
        <f>LOG10(1)</f>
        <v>0</v>
      </c>
      <c r="D11614">
        <f>LOG10(3.408395)</f>
        <v>0.53254991953940678</v>
      </c>
    </row>
    <row r="11615" spans="1:4">
      <c r="A11615">
        <v>1.0069300000000001</v>
      </c>
      <c r="B11615">
        <v>3.2129460000000001</v>
      </c>
      <c r="C11615">
        <f>LOG10(1.00693)</f>
        <v>2.9992802155770371E-3</v>
      </c>
      <c r="D11615">
        <f>LOG10(3.212946)</f>
        <v>0.50690342642325792</v>
      </c>
    </row>
    <row r="11616" spans="1:4">
      <c r="A11616">
        <v>1.006248</v>
      </c>
      <c r="B11616">
        <v>3.4565579999999998</v>
      </c>
      <c r="C11616">
        <f>LOG10(1.006248)</f>
        <v>2.7050301810658101E-3</v>
      </c>
      <c r="D11616">
        <f>LOG10(3.456558)</f>
        <v>0.53864384860992232</v>
      </c>
    </row>
    <row r="11617" spans="1:4">
      <c r="A11617">
        <v>1.002337</v>
      </c>
      <c r="B11617">
        <v>3.4600650000000002</v>
      </c>
      <c r="C11617">
        <f>LOG10(1.002337)</f>
        <v>1.0137620840686349E-3</v>
      </c>
      <c r="D11617">
        <f>LOG10(3.460065)</f>
        <v>0.53908425742750754</v>
      </c>
    </row>
    <row r="11618" spans="1:4">
      <c r="A11618">
        <v>1.0018320000000001</v>
      </c>
      <c r="B11618">
        <v>3.2145969999999999</v>
      </c>
      <c r="C11618">
        <f>LOG10(1.001832)</f>
        <v>7.9489958494531631E-4</v>
      </c>
      <c r="D11618">
        <f>LOG10(3.214597)</f>
        <v>0.50712653506847172</v>
      </c>
    </row>
    <row r="11619" spans="1:4">
      <c r="A11619">
        <v>1.007897</v>
      </c>
      <c r="B11619">
        <v>3.2086640000000002</v>
      </c>
      <c r="C11619">
        <f>LOG10(1.007897)</f>
        <v>3.416152528927774E-3</v>
      </c>
      <c r="D11619">
        <f>LOG10(3.208664)</f>
        <v>0.50632424168699008</v>
      </c>
    </row>
    <row r="11620" spans="1:4">
      <c r="A11620">
        <v>1.006189</v>
      </c>
      <c r="B11620">
        <v>3.4046750000000001</v>
      </c>
      <c r="C11620">
        <f>LOG10(1.006189)</f>
        <v>2.6795651608543486E-3</v>
      </c>
      <c r="D11620">
        <f>LOG10(3.404675)</f>
        <v>0.53207566178681398</v>
      </c>
    </row>
    <row r="11621" spans="1:4">
      <c r="A11621">
        <v>1.0027900000000001</v>
      </c>
      <c r="B11621">
        <v>3.2955869999999998</v>
      </c>
      <c r="C11621">
        <f>LOG10(1.00279)</f>
        <v>1.2099944460580044E-3</v>
      </c>
      <c r="D11621">
        <f>LOG10(3.295587)</f>
        <v>0.51793278104103679</v>
      </c>
    </row>
    <row r="11622" spans="1:4">
      <c r="A11622">
        <v>1.0008699999999999</v>
      </c>
      <c r="B11622">
        <v>3.1389969999999998</v>
      </c>
      <c r="C11622">
        <f>LOG10(1.00087)</f>
        <v>3.7767193577503564E-4</v>
      </c>
      <c r="D11622">
        <f>LOG10(3.138997)</f>
        <v>0.49679090063662468</v>
      </c>
    </row>
    <row r="11623" spans="1:4">
      <c r="A11623">
        <v>1.004008</v>
      </c>
      <c r="B11623">
        <v>3.3208060000000001</v>
      </c>
      <c r="C11623">
        <f>LOG10(1.004008)</f>
        <v>1.7371733090137263E-3</v>
      </c>
      <c r="D11623">
        <f>LOG10(3.320806)</f>
        <v>0.5212435050502201</v>
      </c>
    </row>
    <row r="11624" spans="1:4">
      <c r="A11624">
        <v>1.0046870000000001</v>
      </c>
      <c r="B11624">
        <v>3.095275</v>
      </c>
      <c r="C11624">
        <f>LOG10(1.004687)</f>
        <v>2.0307828061688661E-3</v>
      </c>
      <c r="D11624">
        <f>LOG10(3.095275)</f>
        <v>0.49069924000458193</v>
      </c>
    </row>
    <row r="11625" spans="1:4">
      <c r="A11625">
        <v>1.0031509999999999</v>
      </c>
      <c r="B11625">
        <v>3.0448840000000001</v>
      </c>
      <c r="C11625">
        <f>LOG10(1.003151)</f>
        <v>1.3663104191196033E-3</v>
      </c>
      <c r="D11625">
        <f>LOG10(3.044884)</f>
        <v>0.4835707521020603</v>
      </c>
    </row>
    <row r="11626" spans="1:4">
      <c r="A11626">
        <v>1.00248</v>
      </c>
      <c r="B11626">
        <v>3.111281</v>
      </c>
      <c r="C11626">
        <f>LOG10(1.00248)</f>
        <v>1.0757169767271564E-3</v>
      </c>
      <c r="D11626">
        <f>LOG10(3.111281)</f>
        <v>0.49293923683621321</v>
      </c>
    </row>
    <row r="11627" spans="1:4">
      <c r="A11627">
        <v>1.010594</v>
      </c>
      <c r="B11627">
        <v>3.4506130000000002</v>
      </c>
      <c r="C11627">
        <f>LOG10(1.010594)</f>
        <v>4.5767154590820964E-3</v>
      </c>
      <c r="D11627">
        <f>LOG10(3.450613)</f>
        <v>0.53789625416569298</v>
      </c>
    </row>
    <row r="11628" spans="1:4">
      <c r="A11628">
        <v>1.004742</v>
      </c>
      <c r="B11628">
        <v>3.2327669999999999</v>
      </c>
      <c r="C11628">
        <f>LOG10(1.004742)</f>
        <v>2.0545569196216006E-3</v>
      </c>
      <c r="D11628">
        <f>LOG10(3.232767)</f>
        <v>0.5095744041906386</v>
      </c>
    </row>
    <row r="11629" spans="1:4">
      <c r="A11629">
        <v>1.0066059999999999</v>
      </c>
      <c r="B11629">
        <v>3.3499919999999999</v>
      </c>
      <c r="C11629">
        <f>LOG10(1.006606)</f>
        <v>2.8595147349983981E-3</v>
      </c>
      <c r="D11629">
        <f>LOG10(3.349992)</f>
        <v>0.525043769914456</v>
      </c>
    </row>
    <row r="11630" spans="1:4">
      <c r="A11630">
        <v>1.004313</v>
      </c>
      <c r="B11630">
        <v>3.2502049999999998</v>
      </c>
      <c r="C11630">
        <f>LOG10(1.004313)</f>
        <v>1.8690843112876057E-3</v>
      </c>
      <c r="D11630">
        <f>LOG10(3.250205)</f>
        <v>0.51191075407457509</v>
      </c>
    </row>
    <row r="11631" spans="1:4">
      <c r="A11631">
        <v>1.01128</v>
      </c>
      <c r="B11631">
        <v>3.3954420000000001</v>
      </c>
      <c r="C11631">
        <f>LOG10(1.01128)</f>
        <v>4.8714183199109586E-3</v>
      </c>
      <c r="D11631">
        <f>LOG10(3.395442)</f>
        <v>0.53089631636804602</v>
      </c>
    </row>
    <row r="11632" spans="1:4">
      <c r="A11632">
        <v>1.0028079999999999</v>
      </c>
      <c r="B11632">
        <v>3.2300460000000002</v>
      </c>
      <c r="C11632">
        <f>LOG10(1.002808)</f>
        <v>1.2177899271807457E-3</v>
      </c>
      <c r="D11632">
        <f>LOG10(3.230046)</f>
        <v>0.50920870728587508</v>
      </c>
    </row>
    <row r="11633" spans="1:4">
      <c r="A11633">
        <v>1.0020180000000001</v>
      </c>
      <c r="B11633">
        <v>3.124285</v>
      </c>
      <c r="C11633">
        <f>LOG10(1.002018)</f>
        <v>8.7552315843235817E-4</v>
      </c>
      <c r="D11633">
        <f>LOG10(3.124285)</f>
        <v>0.49475064373336386</v>
      </c>
    </row>
    <row r="11634" spans="1:4">
      <c r="A11634">
        <v>1.0062180000000001</v>
      </c>
      <c r="B11634">
        <v>3.1690800000000001</v>
      </c>
      <c r="C11634">
        <f>LOG10(1.006218)</f>
        <v>2.6920820522943908E-3</v>
      </c>
      <c r="D11634">
        <f>LOG10(3.16908)</f>
        <v>0.50093320262356555</v>
      </c>
    </row>
    <row r="11635" spans="1:4">
      <c r="A11635">
        <v>1.012337</v>
      </c>
      <c r="B11635">
        <v>3.181889</v>
      </c>
      <c r="C11635">
        <f>LOG10(1.012337)</f>
        <v>5.3251102083655116E-3</v>
      </c>
      <c r="D11635">
        <f>LOG10(3.181889)</f>
        <v>0.50268502523880754</v>
      </c>
    </row>
    <row r="11636" spans="1:4">
      <c r="A11636">
        <v>1.0043850000000001</v>
      </c>
      <c r="B11636">
        <v>3.1154519999999999</v>
      </c>
      <c r="C11636">
        <f>LOG10(1.004385)</f>
        <v>1.9002181130940068E-3</v>
      </c>
      <c r="D11636">
        <f>LOG10(3.115452)</f>
        <v>0.49352106443503663</v>
      </c>
    </row>
    <row r="11637" spans="1:4">
      <c r="A11637">
        <v>1.0052639999999999</v>
      </c>
      <c r="B11637">
        <v>3.1886239999999999</v>
      </c>
      <c r="C11637">
        <f>LOG10(1.005264)</f>
        <v>2.2801301016420034E-3</v>
      </c>
      <c r="D11637">
        <f>LOG10(3.188624)</f>
        <v>0.50360331060306918</v>
      </c>
    </row>
    <row r="11638" spans="1:4">
      <c r="A11638">
        <v>1.008823</v>
      </c>
      <c r="B11638">
        <v>3.4038339999999998</v>
      </c>
      <c r="C11638">
        <f>LOG10(1.008823)</f>
        <v>3.8149750908149289E-3</v>
      </c>
      <c r="D11638">
        <f>LOG10(3.403834)</f>
        <v>0.53196837202303804</v>
      </c>
    </row>
    <row r="11639" spans="1:4">
      <c r="A11639">
        <v>1.012794</v>
      </c>
      <c r="B11639">
        <v>3.4908990000000002</v>
      </c>
      <c r="C11639">
        <f>LOG10(1.012794)</f>
        <v>5.5211198310504538E-3</v>
      </c>
      <c r="D11639">
        <f>LOG10(3.490899)</f>
        <v>0.54293728382500461</v>
      </c>
    </row>
    <row r="11640" spans="1:4">
      <c r="A11640">
        <v>1.0069539999999999</v>
      </c>
      <c r="B11640">
        <v>3.5012150000000002</v>
      </c>
      <c r="C11640">
        <f>LOG10(1.006954)</f>
        <v>3.009631425046982E-3</v>
      </c>
      <c r="D11640">
        <f>LOG10(3.501215)</f>
        <v>0.54421878041560423</v>
      </c>
    </row>
    <row r="11641" spans="1:4">
      <c r="A11641">
        <v>1.0064789999999999</v>
      </c>
      <c r="B11641">
        <v>3.494097</v>
      </c>
      <c r="C11641">
        <f>LOG10(1.006479)</f>
        <v>2.8047178443803859E-3</v>
      </c>
      <c r="D11641">
        <f>LOG10(3.494097)</f>
        <v>0.54333495730976245</v>
      </c>
    </row>
    <row r="11642" spans="1:4">
      <c r="A11642">
        <v>1.0176270000000001</v>
      </c>
      <c r="B11642">
        <v>3.3600110000000001</v>
      </c>
      <c r="C11642">
        <f>LOG10(1.017627)</f>
        <v>7.5886212951520636E-3</v>
      </c>
      <c r="D11642">
        <f>LOG10(3.360011)</f>
        <v>0.52634069918492776</v>
      </c>
    </row>
    <row r="11643" spans="1:4">
      <c r="A11643">
        <v>1.012664</v>
      </c>
      <c r="B11643">
        <v>3.5220449999999999</v>
      </c>
      <c r="C11643">
        <f>LOG10(1.012664)</f>
        <v>5.4653711729939231E-3</v>
      </c>
      <c r="D11643">
        <f>LOG10(3.522045)</f>
        <v>0.54679490050315938</v>
      </c>
    </row>
    <row r="11644" spans="1:4">
      <c r="A11644">
        <v>1.014127</v>
      </c>
      <c r="B11644">
        <v>3.4658579999999999</v>
      </c>
      <c r="C11644">
        <f>LOG10(1.014127)</f>
        <v>6.0923454760927155E-3</v>
      </c>
      <c r="D11644">
        <f>LOG10(3.465858)</f>
        <v>0.53981076522159321</v>
      </c>
    </row>
    <row r="11645" spans="1:4">
      <c r="A11645">
        <v>1.0110030000000001</v>
      </c>
      <c r="B11645">
        <v>3.493134</v>
      </c>
      <c r="C11645">
        <f>LOG10(1.011003)</f>
        <v>4.7524442967505137E-3</v>
      </c>
      <c r="D11645">
        <f>LOG10(3.493134)</f>
        <v>0.54321524591372561</v>
      </c>
    </row>
    <row r="11646" spans="1:4">
      <c r="A11646">
        <v>1.01362</v>
      </c>
      <c r="B11646">
        <v>3.570433</v>
      </c>
      <c r="C11646">
        <f>LOG10(1.01362)</f>
        <v>5.875171137367673E-3</v>
      </c>
      <c r="D11646">
        <f>LOG10(3.570433)</f>
        <v>0.55272088785097839</v>
      </c>
    </row>
    <row r="11647" spans="1:4">
      <c r="A11647">
        <v>1.0246759999999999</v>
      </c>
      <c r="B11647">
        <v>3.6687599999999998</v>
      </c>
      <c r="C11647">
        <f>LOG10(1.024676)</f>
        <v>1.0586564263879049E-2</v>
      </c>
      <c r="D11647">
        <f>LOG10(3.66876)</f>
        <v>0.56451930235697767</v>
      </c>
    </row>
    <row r="11648" spans="1:4">
      <c r="A11648">
        <v>1.017188</v>
      </c>
      <c r="B11648">
        <v>3.595685</v>
      </c>
      <c r="C11648">
        <f>LOG10(1.017188)</f>
        <v>7.4012280623386431E-3</v>
      </c>
      <c r="D11648">
        <f>LOG10(3.595685)</f>
        <v>0.55578163835765171</v>
      </c>
    </row>
    <row r="11649" spans="1:4">
      <c r="A11649">
        <v>1.008235</v>
      </c>
      <c r="B11649">
        <v>3.5824379999999998</v>
      </c>
      <c r="C11649">
        <f>LOG10(1.008235)</f>
        <v>3.5617695185480038E-3</v>
      </c>
      <c r="D11649">
        <f>LOG10(3.582438)</f>
        <v>0.55417868295190031</v>
      </c>
    </row>
    <row r="11650" spans="1:4">
      <c r="A11650">
        <v>1.0144310000000001</v>
      </c>
      <c r="B11650">
        <v>3.5258099999999999</v>
      </c>
      <c r="C11650">
        <f>LOG10(1.014431)</f>
        <v>6.2225123468323939E-3</v>
      </c>
      <c r="D11650">
        <f>LOG10(3.52581)</f>
        <v>0.547258905191084</v>
      </c>
    </row>
    <row r="11651" spans="1:4">
      <c r="A11651">
        <v>1.0143150000000001</v>
      </c>
      <c r="B11651">
        <v>3.4671419999999999</v>
      </c>
      <c r="C11651">
        <f>LOG10(1.014315)</f>
        <v>6.1728480123561403E-3</v>
      </c>
      <c r="D11651">
        <f>LOG10(3.467142)</f>
        <v>0.53997162895190887</v>
      </c>
    </row>
    <row r="11652" spans="1:4">
      <c r="A11652">
        <v>1.006488</v>
      </c>
      <c r="B11652">
        <v>3.5327799999999998</v>
      </c>
      <c r="C11652">
        <f>LOG10(1.006488)</f>
        <v>2.808601316227882E-3</v>
      </c>
      <c r="D11652">
        <f>LOG10(3.53278)</f>
        <v>0.54811659306435856</v>
      </c>
    </row>
    <row r="11653" spans="1:4">
      <c r="A11653">
        <v>1.008988</v>
      </c>
      <c r="B11653">
        <v>3.6318199999999998</v>
      </c>
      <c r="C11653">
        <f>LOG10(1.008988)</f>
        <v>3.8860011578487016E-3</v>
      </c>
      <c r="D11653">
        <f>LOG10(3.63182)</f>
        <v>0.56012431591074541</v>
      </c>
    </row>
    <row r="11654" spans="1:4">
      <c r="A11654">
        <v>1.0093129999999999</v>
      </c>
      <c r="B11654">
        <v>3.5678860000000001</v>
      </c>
      <c r="C11654">
        <f>LOG10(1.009313)</f>
        <v>4.025867023087301E-3</v>
      </c>
      <c r="D11654">
        <f>LOG10(3.567886)</f>
        <v>0.55241096948158386</v>
      </c>
    </row>
    <row r="11655" spans="1:4">
      <c r="A11655">
        <v>1.011892</v>
      </c>
      <c r="B11655">
        <v>3.5957379999999999</v>
      </c>
      <c r="C11655">
        <f>LOG10(1.011892)</f>
        <v>5.1341623980532599E-3</v>
      </c>
      <c r="D11655">
        <f>LOG10(3.595738)</f>
        <v>0.55578803976319868</v>
      </c>
    </row>
    <row r="11656" spans="1:4">
      <c r="A11656">
        <v>1.007504</v>
      </c>
      <c r="B11656">
        <v>3.7323629999999999</v>
      </c>
      <c r="C11656">
        <f>LOG10(1.007504)</f>
        <v>3.2467790558062251E-3</v>
      </c>
      <c r="D11656">
        <f>LOG10(3.732363)</f>
        <v>0.57198387548990171</v>
      </c>
    </row>
    <row r="11657" spans="1:4">
      <c r="A11657">
        <v>1.0090760000000001</v>
      </c>
      <c r="B11657">
        <v>3.6765530000000002</v>
      </c>
      <c r="C11657">
        <f>LOG10(1.009076)</f>
        <v>3.9238769778739812E-3</v>
      </c>
      <c r="D11657">
        <f>LOG10(3.676553)</f>
        <v>0.56544083100179776</v>
      </c>
    </row>
    <row r="11658" spans="1:4">
      <c r="A11658">
        <v>1.0225340000000001</v>
      </c>
      <c r="B11658">
        <v>3.6213389999999999</v>
      </c>
      <c r="C11658">
        <f>LOG10(1.022534)</f>
        <v>9.6777575271952392E-3</v>
      </c>
      <c r="D11658">
        <f>LOG10(3.621339)</f>
        <v>0.55886918180074929</v>
      </c>
    </row>
    <row r="11659" spans="1:4">
      <c r="A11659">
        <v>1.0171129999999999</v>
      </c>
      <c r="B11659">
        <v>3.4956649999999998</v>
      </c>
      <c r="C11659">
        <f>LOG10(1.017113)</f>
        <v>7.3692051845466924E-3</v>
      </c>
      <c r="D11659">
        <f>LOG10(3.495665)</f>
        <v>0.54352980622136982</v>
      </c>
    </row>
    <row r="11660" spans="1:4">
      <c r="A11660">
        <v>1.012559</v>
      </c>
      <c r="B11660">
        <v>3.3462049999999999</v>
      </c>
      <c r="C11660">
        <f>LOG10(1.012559)</f>
        <v>5.4203381858703228E-3</v>
      </c>
      <c r="D11660">
        <f>LOG10(3.346205)</f>
        <v>0.52455254381154648</v>
      </c>
    </row>
    <row r="11661" spans="1:4">
      <c r="A11661">
        <v>1.4551689999999999</v>
      </c>
      <c r="B11661">
        <v>3.3951739999999999</v>
      </c>
      <c r="C11661">
        <f>LOG10(1.455169)</f>
        <v>0.16291343421901772</v>
      </c>
      <c r="D11661">
        <f>LOG10(3.395174)</f>
        <v>0.5308620364378569</v>
      </c>
    </row>
    <row r="11662" spans="1:4">
      <c r="A11662">
        <v>1.015142</v>
      </c>
      <c r="B11662">
        <v>3.3386420000000001</v>
      </c>
      <c r="C11662">
        <f>LOG10(1.015142)</f>
        <v>6.526796439363082E-3</v>
      </c>
      <c r="D11662">
        <f>LOG10(3.338642)</f>
        <v>0.52356985248950538</v>
      </c>
    </row>
    <row r="11663" spans="1:4">
      <c r="A11663">
        <v>1.011315</v>
      </c>
      <c r="B11663">
        <v>3.4600919999999999</v>
      </c>
      <c r="C11663">
        <f>LOG10(1.011315)</f>
        <v>4.8864488197076401E-3</v>
      </c>
      <c r="D11663">
        <f>LOG10(3.460092)</f>
        <v>0.53908764635380246</v>
      </c>
    </row>
    <row r="11664" spans="1:4">
      <c r="A11664">
        <v>1.01251</v>
      </c>
      <c r="B11664">
        <v>3.4648479999999999</v>
      </c>
      <c r="C11664">
        <f>LOG10(1.01251)</f>
        <v>5.3993211937407729E-3</v>
      </c>
      <c r="D11664">
        <f>LOG10(3.464848)</f>
        <v>0.53968418722800138</v>
      </c>
    </row>
    <row r="11665" spans="1:4">
      <c r="A11665">
        <v>1.0123549999999999</v>
      </c>
      <c r="B11665">
        <v>3.4442300000000001</v>
      </c>
      <c r="C11665">
        <f>LOG10(1.012355)</f>
        <v>5.3328321736564304E-3</v>
      </c>
      <c r="D11665">
        <f>LOG10(3.44423)</f>
        <v>0.53709214521936244</v>
      </c>
    </row>
    <row r="11666" spans="1:4">
      <c r="A11666">
        <v>1.0169600000000001</v>
      </c>
      <c r="B11666">
        <v>3.5003009999999999</v>
      </c>
      <c r="C11666">
        <f>LOG10(1.01696)</f>
        <v>7.3038711912667585E-3</v>
      </c>
      <c r="D11666">
        <f>LOG10(3.500301)</f>
        <v>0.54410539206979036</v>
      </c>
    </row>
    <row r="11667" spans="1:4">
      <c r="A11667">
        <v>1.013385</v>
      </c>
      <c r="B11667">
        <v>3.610811</v>
      </c>
      <c r="C11667">
        <f>LOG10(1.013385)</f>
        <v>5.7744716287778958E-3</v>
      </c>
      <c r="D11667">
        <f>LOG10(3.610811)</f>
        <v>0.55760475682748167</v>
      </c>
    </row>
    <row r="11668" spans="1:4">
      <c r="A11668">
        <v>1.015868</v>
      </c>
      <c r="B11668">
        <v>3.5796519999999998</v>
      </c>
      <c r="C11668">
        <f>LOG10(1.015868)</f>
        <v>6.8372801960072359E-3</v>
      </c>
      <c r="D11668">
        <f>LOG10(3.579652)</f>
        <v>0.55384080825677362</v>
      </c>
    </row>
    <row r="11669" spans="1:4">
      <c r="A11669">
        <v>1.0182150000000001</v>
      </c>
      <c r="B11669">
        <v>3.4895339999999999</v>
      </c>
      <c r="C11669">
        <f>LOG10(1.018215)</f>
        <v>7.8394906282927695E-3</v>
      </c>
      <c r="D11669">
        <f>LOG10(3.489534)</f>
        <v>0.54276743419666373</v>
      </c>
    </row>
    <row r="11670" spans="1:4">
      <c r="A11670">
        <v>1.0200229999999999</v>
      </c>
      <c r="B11670">
        <v>3.5968209999999998</v>
      </c>
      <c r="C11670">
        <f>LOG10(1.020023)</f>
        <v>8.6099645662968804E-3</v>
      </c>
      <c r="D11670">
        <f>LOG10(3.596821)</f>
        <v>0.55591882518392466</v>
      </c>
    </row>
    <row r="11671" spans="1:4">
      <c r="A11671">
        <v>1.0197229999999999</v>
      </c>
      <c r="B11671">
        <v>3.5833029999999999</v>
      </c>
      <c r="C11671">
        <f>LOG10(1.019723)</f>
        <v>8.4822149881529207E-3</v>
      </c>
      <c r="D11671">
        <f>LOG10(3.583303)</f>
        <v>0.55428353316311252</v>
      </c>
    </row>
    <row r="11672" spans="1:4">
      <c r="A11672">
        <v>1.0184169999999999</v>
      </c>
      <c r="B11672">
        <v>3.463101</v>
      </c>
      <c r="C11672">
        <f>LOG10(1.018417)</f>
        <v>7.9256401983987517E-3</v>
      </c>
      <c r="D11672">
        <f>LOG10(3.463101)</f>
        <v>0.53946515776460136</v>
      </c>
    </row>
    <row r="11673" spans="1:4">
      <c r="A11673">
        <v>1.0178720000000001</v>
      </c>
      <c r="B11673">
        <v>3.5534249999999998</v>
      </c>
      <c r="C11673">
        <f>LOG10(1.017872)</f>
        <v>7.6931677956221193E-3</v>
      </c>
      <c r="D11673">
        <f>LOG10(3.553425)</f>
        <v>0.5506471534832782</v>
      </c>
    </row>
    <row r="11674" spans="1:4">
      <c r="A11674">
        <v>1.0118579999999999</v>
      </c>
      <c r="B11674">
        <v>3.5337689999999999</v>
      </c>
      <c r="C11674">
        <f>LOG10(1.011858)</f>
        <v>5.1195696742621401E-3</v>
      </c>
      <c r="D11674">
        <f>LOG10(3.533769)</f>
        <v>0.54823815657305475</v>
      </c>
    </row>
    <row r="11675" spans="1:4">
      <c r="A11675">
        <v>1.013001</v>
      </c>
      <c r="B11675">
        <v>3.6062789999999998</v>
      </c>
      <c r="C11675">
        <f>LOG10(1.013001)</f>
        <v>5.6098740811763416E-3</v>
      </c>
      <c r="D11675">
        <f>LOG10(3.606279)</f>
        <v>0.55705932290586146</v>
      </c>
    </row>
    <row r="11676" spans="1:4">
      <c r="A11676">
        <v>1.0187440000000001</v>
      </c>
      <c r="B11676">
        <v>3.6043759999999998</v>
      </c>
      <c r="C11676">
        <f>LOG10(1.018744)</f>
        <v>8.065063932509265E-3</v>
      </c>
      <c r="D11676">
        <f>LOG10(3.604376)</f>
        <v>0.55683008924588195</v>
      </c>
    </row>
    <row r="11677" spans="1:4">
      <c r="A11677">
        <v>1.0149490000000001</v>
      </c>
      <c r="B11677">
        <v>3.5673889999999999</v>
      </c>
      <c r="C11677">
        <f>LOG10(1.014949)</f>
        <v>6.4442200078042959E-3</v>
      </c>
      <c r="D11677">
        <f>LOG10(3.567389)</f>
        <v>0.55235046883995331</v>
      </c>
    </row>
    <row r="11678" spans="1:4">
      <c r="A11678">
        <v>1.0071479999999999</v>
      </c>
      <c r="B11678">
        <v>3.4970319999999999</v>
      </c>
      <c r="C11678">
        <f>LOG10(1.007148)</f>
        <v>3.093294645429864E-3</v>
      </c>
      <c r="D11678">
        <f>LOG10(3.497032)</f>
        <v>0.54369960638983827</v>
      </c>
    </row>
    <row r="11679" spans="1:4">
      <c r="A11679">
        <v>1.009555</v>
      </c>
      <c r="B11679">
        <v>3.5701849999999999</v>
      </c>
      <c r="C11679">
        <f>LOG10(1.009555)</f>
        <v>4.1299840481964179E-3</v>
      </c>
      <c r="D11679">
        <f>LOG10(3.570185)</f>
        <v>0.55269072098543393</v>
      </c>
    </row>
    <row r="11680" spans="1:4">
      <c r="A11680">
        <v>1.013352</v>
      </c>
      <c r="B11680">
        <v>3.5364689999999999</v>
      </c>
      <c r="C11680">
        <f>LOG10(1.013352)</f>
        <v>5.7603289769152695E-3</v>
      </c>
      <c r="D11680">
        <f>LOG10(3.536469)</f>
        <v>0.54856985549412085</v>
      </c>
    </row>
    <row r="11681" spans="1:4">
      <c r="A11681">
        <v>1.0168489999999999</v>
      </c>
      <c r="B11681">
        <v>3.3101219999999998</v>
      </c>
      <c r="C11681">
        <f>LOG10(1.016849)</f>
        <v>7.2564658670310912E-3</v>
      </c>
      <c r="D11681">
        <f>LOG10(3.310122)</f>
        <v>0.51984400070936687</v>
      </c>
    </row>
    <row r="11682" spans="1:4">
      <c r="A11682">
        <v>1.0205500000000001</v>
      </c>
      <c r="B11682">
        <v>3.2289639999999999</v>
      </c>
      <c r="C11682">
        <f>LOG10(1.02055)</f>
        <v>8.834287045376624E-3</v>
      </c>
      <c r="D11682">
        <f>LOG10(3.228964)</f>
        <v>0.50906320305726571</v>
      </c>
    </row>
    <row r="11683" spans="1:4">
      <c r="A11683">
        <v>1.0259929999999999</v>
      </c>
      <c r="B11683">
        <v>3.176895</v>
      </c>
      <c r="C11683">
        <f>LOG10(1.025993)</f>
        <v>1.11443977429086E-2</v>
      </c>
      <c r="D11683">
        <f>LOG10(3.176895)</f>
        <v>0.50200286113681925</v>
      </c>
    </row>
    <row r="11684" spans="1:4">
      <c r="A11684">
        <v>1.0163800000000001</v>
      </c>
      <c r="B11684">
        <v>3.0817510000000001</v>
      </c>
      <c r="C11684">
        <f>LOG10(1.01638)</f>
        <v>7.0561105547420561E-3</v>
      </c>
      <c r="D11684">
        <f>LOG10(3.081751)</f>
        <v>0.48879754557817962</v>
      </c>
    </row>
    <row r="11685" spans="1:4">
      <c r="A11685">
        <v>1.017765</v>
      </c>
      <c r="B11685">
        <v>3.0705580000000001</v>
      </c>
      <c r="C11685">
        <f>LOG10(1.017765)</f>
        <v>7.6475118072445456E-3</v>
      </c>
      <c r="D11685">
        <f>LOG10(3.070558)</f>
        <v>0.48721730521665613</v>
      </c>
    </row>
    <row r="11686" spans="1:4">
      <c r="A11686">
        <v>1.1465890000000001</v>
      </c>
      <c r="B11686">
        <v>3.053931</v>
      </c>
      <c r="C11686">
        <f>LOG10(1.146589)</f>
        <v>5.9407770979371256E-2</v>
      </c>
      <c r="D11686">
        <f>LOG10(3.053931)</f>
        <v>0.48485922045524987</v>
      </c>
    </row>
    <row r="11687" spans="1:4">
      <c r="A11687">
        <v>1.0082690000000001</v>
      </c>
      <c r="B11687">
        <v>2.9472230000000001</v>
      </c>
      <c r="C11687">
        <f>LOG10(1.008269)</f>
        <v>3.5764146790695289E-3</v>
      </c>
      <c r="D11687">
        <f>LOG10(2.947223)</f>
        <v>0.46941299774521167</v>
      </c>
    </row>
    <row r="11688" spans="1:4">
      <c r="A11688">
        <v>1.001622</v>
      </c>
      <c r="B11688">
        <v>2.9938570000000002</v>
      </c>
      <c r="C11688">
        <f>LOG10(1.001622)</f>
        <v>7.0385497744874896E-4</v>
      </c>
      <c r="D11688">
        <f>LOG10(2.993857)</f>
        <v>0.47623105265563959</v>
      </c>
    </row>
    <row r="11689" spans="1:4">
      <c r="A11689">
        <v>1.0160480000000001</v>
      </c>
      <c r="B11689">
        <v>2.8983479999999999</v>
      </c>
      <c r="C11689">
        <f>LOG10(1.016048)</f>
        <v>6.9142253127808667E-3</v>
      </c>
      <c r="D11689">
        <f>LOG10(2.898348)</f>
        <v>0.46215052930841383</v>
      </c>
    </row>
    <row r="11690" spans="1:4">
      <c r="A11690">
        <v>1.0047600000000001</v>
      </c>
      <c r="B11690">
        <v>2.9989759999999999</v>
      </c>
      <c r="C11690">
        <f>LOG10(1.00476)</f>
        <v>2.0623372559183542E-3</v>
      </c>
      <c r="D11690">
        <f>LOG10(2.998976)</f>
        <v>0.47697299023126033</v>
      </c>
    </row>
    <row r="11691" spans="1:4">
      <c r="A11691">
        <v>1.0097430000000001</v>
      </c>
      <c r="B11691">
        <v>3.0154000000000001</v>
      </c>
      <c r="C11691">
        <f>LOG10(1.009743)</f>
        <v>4.2108511246098535E-3</v>
      </c>
      <c r="D11691">
        <f>LOG10(3.0154)</f>
        <v>0.47934493049614096</v>
      </c>
    </row>
    <row r="11692" spans="1:4">
      <c r="A11692">
        <v>1.00692</v>
      </c>
      <c r="B11692">
        <v>3.0161099999999998</v>
      </c>
      <c r="C11692">
        <f>LOG10(1.00692)</f>
        <v>2.9949671388145209E-3</v>
      </c>
      <c r="D11692">
        <f>LOG10(3.01611)</f>
        <v>0.4794471765617449</v>
      </c>
    </row>
    <row r="11693" spans="1:4">
      <c r="A11693">
        <v>1.010904</v>
      </c>
      <c r="B11693">
        <v>2.967349</v>
      </c>
      <c r="C11693">
        <f>LOG10(1.010904)</f>
        <v>4.7099149877933635E-3</v>
      </c>
      <c r="D11693">
        <f>LOG10(2.967349)</f>
        <v>0.47236862817076009</v>
      </c>
    </row>
    <row r="11694" spans="1:4">
      <c r="A11694">
        <v>1.0060009999999999</v>
      </c>
      <c r="B11694">
        <v>2.8805550000000002</v>
      </c>
      <c r="C11694">
        <f>LOG10(1.006001)</f>
        <v>2.5984124239503597E-3</v>
      </c>
      <c r="D11694">
        <f>LOG10(2.880555)</f>
        <v>0.45947617186196127</v>
      </c>
    </row>
    <row r="11695" spans="1:4">
      <c r="A11695">
        <v>1.0055000000000001</v>
      </c>
      <c r="B11695">
        <v>2.9212189999999998</v>
      </c>
      <c r="C11695">
        <f>LOG10(1.0055)</f>
        <v>2.382074932760771E-3</v>
      </c>
      <c r="D11695">
        <f>LOG10(2.921219)</f>
        <v>0.46556411668813125</v>
      </c>
    </row>
    <row r="11696" spans="1:4">
      <c r="A11696">
        <v>1.005574</v>
      </c>
      <c r="B11696">
        <v>2.997417</v>
      </c>
      <c r="C11696">
        <f>LOG10(1.005574)</f>
        <v>2.4140357573503237E-3</v>
      </c>
      <c r="D11696">
        <f>LOG10(2.997417)</f>
        <v>0.47674716610247408</v>
      </c>
    </row>
    <row r="11697" spans="1:4">
      <c r="A11697">
        <v>1.0102880000000001</v>
      </c>
      <c r="B11697">
        <v>3.0596679999999998</v>
      </c>
      <c r="C11697">
        <f>LOG10(1.010288)</f>
        <v>4.4451945563495146E-3</v>
      </c>
      <c r="D11697">
        <f>LOG10(3.059668)</f>
        <v>0.48567430439321396</v>
      </c>
    </row>
    <row r="11698" spans="1:4">
      <c r="A11698">
        <v>1.0059629999999999</v>
      </c>
      <c r="B11698">
        <v>3.0296419999999999</v>
      </c>
      <c r="C11698">
        <f>LOG10(1.005963)</f>
        <v>2.5820073686767279E-3</v>
      </c>
      <c r="D11698">
        <f>LOG10(3.029642)</f>
        <v>0.48139131278936281</v>
      </c>
    </row>
    <row r="11699" spans="1:4">
      <c r="A11699">
        <v>1.0106649999999999</v>
      </c>
      <c r="B11699">
        <v>3.0509170000000001</v>
      </c>
      <c r="C11699">
        <f>LOG10(1.010665)</f>
        <v>4.6072260549313007E-3</v>
      </c>
      <c r="D11699">
        <f>LOG10(3.050917)</f>
        <v>0.48443039284977707</v>
      </c>
    </row>
    <row r="11700" spans="1:4">
      <c r="A11700">
        <v>1.0119119999999999</v>
      </c>
      <c r="B11700">
        <v>3.215579</v>
      </c>
      <c r="C11700">
        <f>LOG10(1.011912)</f>
        <v>5.1427461241831699E-3</v>
      </c>
      <c r="D11700">
        <f>LOG10(3.215579)</f>
        <v>0.50725918375010792</v>
      </c>
    </row>
    <row r="11701" spans="1:4">
      <c r="A11701">
        <v>1.017495</v>
      </c>
      <c r="B11701">
        <v>3.0659779999999999</v>
      </c>
      <c r="C11701">
        <f>LOG10(1.017495)</f>
        <v>7.5322837667958975E-3</v>
      </c>
      <c r="D11701">
        <f>LOG10(3.065978)</f>
        <v>0.48656903423887787</v>
      </c>
    </row>
    <row r="11702" spans="1:4">
      <c r="A11702">
        <v>1.0220880000000001</v>
      </c>
      <c r="B11702">
        <v>3.113251</v>
      </c>
      <c r="C11702">
        <f>LOG10(1.022088)</f>
        <v>9.4882894083928668E-3</v>
      </c>
      <c r="D11702">
        <f>LOG10(3.113251)</f>
        <v>0.49321413626894661</v>
      </c>
    </row>
    <row r="11703" spans="1:4">
      <c r="A11703">
        <v>1.015334</v>
      </c>
      <c r="B11703">
        <v>2.8635890000000002</v>
      </c>
      <c r="C11703">
        <f>LOG10(1.015334)</f>
        <v>6.6089294375112368E-3</v>
      </c>
      <c r="D11703">
        <f>LOG10(2.863589)</f>
        <v>0.4569106854791124</v>
      </c>
    </row>
    <row r="11704" spans="1:4">
      <c r="A11704">
        <v>1.0208330000000001</v>
      </c>
      <c r="B11704">
        <v>3.054478</v>
      </c>
      <c r="C11704">
        <f>LOG10(1.020833)</f>
        <v>8.9547008424602625E-3</v>
      </c>
      <c r="D11704">
        <f>LOG10(3.054478)</f>
        <v>0.48493700145591179</v>
      </c>
    </row>
    <row r="11705" spans="1:4">
      <c r="A11705">
        <v>1.01224</v>
      </c>
      <c r="B11705">
        <v>2.9487679999999998</v>
      </c>
      <c r="C11705">
        <f>LOG10(1.01224)</f>
        <v>5.2834950316872674E-3</v>
      </c>
      <c r="D11705">
        <f>LOG10(2.948768)</f>
        <v>0.46964060494132115</v>
      </c>
    </row>
    <row r="11706" spans="1:4">
      <c r="A11706">
        <v>1.01149</v>
      </c>
      <c r="B11706">
        <v>3.0984479999999999</v>
      </c>
      <c r="C11706">
        <f>LOG10(1.01149)</f>
        <v>4.9615935168214973E-3</v>
      </c>
      <c r="D11706">
        <f>LOG10(3.098448)</f>
        <v>0.49114421195816454</v>
      </c>
    </row>
    <row r="11707" spans="1:4">
      <c r="A11707">
        <v>1.007223</v>
      </c>
      <c r="B11707">
        <v>3.0993930000000001</v>
      </c>
      <c r="C11707">
        <f>LOG10(1.007223)</f>
        <v>3.1256343546073842E-3</v>
      </c>
      <c r="D11707">
        <f>LOG10(3.099393)</f>
        <v>0.49127664784626784</v>
      </c>
    </row>
    <row r="11708" spans="1:4">
      <c r="A11708">
        <v>1.0179750000000001</v>
      </c>
      <c r="B11708">
        <v>3.0182280000000001</v>
      </c>
      <c r="C11708">
        <f>LOG10(1.017975)</f>
        <v>7.7371124846622938E-3</v>
      </c>
      <c r="D11708">
        <f>LOG10(3.018228)</f>
        <v>0.47975204372379127</v>
      </c>
    </row>
    <row r="11709" spans="1:4">
      <c r="A11709">
        <v>1.0184489999999999</v>
      </c>
      <c r="B11709">
        <v>3.077531</v>
      </c>
      <c r="C11709">
        <f>LOG10(1.018449)</f>
        <v>7.9392860871533993E-3</v>
      </c>
      <c r="D11709">
        <f>LOG10(3.077531)</f>
        <v>0.48820243627797022</v>
      </c>
    </row>
    <row r="11710" spans="1:4">
      <c r="A11710">
        <v>1.008955</v>
      </c>
      <c r="B11710">
        <v>3.0957309999999998</v>
      </c>
      <c r="C11710">
        <f>LOG10(1.008955)</f>
        <v>3.8717968736800574E-3</v>
      </c>
      <c r="D11710">
        <f>LOG10(3.095731)</f>
        <v>0.49076321612869034</v>
      </c>
    </row>
    <row r="11711" spans="1:4">
      <c r="A11711">
        <v>1.0052669999999999</v>
      </c>
      <c r="B11711">
        <v>3.1714259999999999</v>
      </c>
      <c r="C11711">
        <f>LOG10(1.005267)</f>
        <v>2.2814261606887926E-3</v>
      </c>
      <c r="D11711">
        <f>LOG10(3.171426)</f>
        <v>0.50125458230557807</v>
      </c>
    </row>
    <row r="11712" spans="1:4">
      <c r="A11712">
        <v>1.0201420000000001</v>
      </c>
      <c r="B11712">
        <v>3.1340690000000002</v>
      </c>
      <c r="C11712">
        <f>LOG10(1.020142)</f>
        <v>8.660628158119292E-3</v>
      </c>
      <c r="D11712">
        <f>LOG10(3.134069)</f>
        <v>0.49610855371182411</v>
      </c>
    </row>
    <row r="11713" spans="1:4">
      <c r="A11713">
        <v>1.0082789999999999</v>
      </c>
      <c r="B11713">
        <v>3.213117</v>
      </c>
      <c r="C11713">
        <f>LOG10(1.008279)</f>
        <v>3.5807219852372969E-3</v>
      </c>
      <c r="D11713">
        <f>LOG10(3.213117)</f>
        <v>0.50692653990858261</v>
      </c>
    </row>
    <row r="11714" spans="1:4">
      <c r="A11714">
        <v>1.0050650000000001</v>
      </c>
      <c r="B11714">
        <v>3.0460349999999998</v>
      </c>
      <c r="C11714">
        <f>LOG10(1.005065)</f>
        <v>2.1941495460404458E-3</v>
      </c>
      <c r="D11714">
        <f>LOG10(3.046035)</f>
        <v>0.48373488922311564</v>
      </c>
    </row>
    <row r="11715" spans="1:4">
      <c r="A11715">
        <v>1.0097560000000001</v>
      </c>
      <c r="B11715">
        <v>3.2261869999999999</v>
      </c>
      <c r="C11715">
        <f>LOG10(1.009756)</f>
        <v>4.2164424403419616E-3</v>
      </c>
      <c r="D11715">
        <f>LOG10(3.226187)</f>
        <v>0.50868953686397411</v>
      </c>
    </row>
    <row r="11716" spans="1:4">
      <c r="A11716">
        <v>1.008068</v>
      </c>
      <c r="B11716">
        <v>3.2684690000000001</v>
      </c>
      <c r="C11716">
        <f>LOG10(1.008068)</f>
        <v>3.4898287649571995E-3</v>
      </c>
      <c r="D11716">
        <f>LOG10(3.268469)</f>
        <v>0.51434437022811563</v>
      </c>
    </row>
    <row r="11717" spans="1:4">
      <c r="A11717">
        <v>1.0109699999999999</v>
      </c>
      <c r="B11717">
        <v>3.2277230000000001</v>
      </c>
      <c r="C11717">
        <f>LOG10(1.01097)</f>
        <v>4.7382683231799918E-3</v>
      </c>
      <c r="D11717">
        <f>LOG10(3.227723)</f>
        <v>0.50889625692570362</v>
      </c>
    </row>
    <row r="11718" spans="1:4">
      <c r="A11718">
        <v>1.0027759999999999</v>
      </c>
      <c r="B11718">
        <v>3.2340499999999999</v>
      </c>
      <c r="C11718">
        <f>LOG10(1.002776)</f>
        <v>1.2039311973323851E-3</v>
      </c>
      <c r="D11718">
        <f>LOG10(3.23405)</f>
        <v>0.50974673002809234</v>
      </c>
    </row>
    <row r="11719" spans="1:4">
      <c r="A11719">
        <v>1.0258430000000001</v>
      </c>
      <c r="B11719">
        <v>3.1081099999999999</v>
      </c>
      <c r="C11719">
        <f>LOG10(1.025843)</f>
        <v>1.1080899322565566E-2</v>
      </c>
      <c r="D11719">
        <f>LOG10(3.10811)</f>
        <v>0.49249638063969914</v>
      </c>
    </row>
    <row r="11720" spans="1:4">
      <c r="A11720">
        <v>1.022586</v>
      </c>
      <c r="B11720">
        <v>3.1678410000000001</v>
      </c>
      <c r="C11720">
        <f>LOG10(1.022586)</f>
        <v>9.6998426009941453E-3</v>
      </c>
      <c r="D11720">
        <f>LOG10(3.167841)</f>
        <v>0.50076337539361115</v>
      </c>
    </row>
    <row r="11721" spans="1:4">
      <c r="A11721">
        <v>1.023935</v>
      </c>
      <c r="B11721">
        <v>3.0799310000000002</v>
      </c>
      <c r="C11721">
        <f>LOG10(1.023935)</f>
        <v>1.0272388244005275E-2</v>
      </c>
      <c r="D11721">
        <f>LOG10(3.079931)</f>
        <v>0.48854098706702936</v>
      </c>
    </row>
    <row r="11722" spans="1:4">
      <c r="A11722">
        <v>1.0099720000000001</v>
      </c>
      <c r="B11722">
        <v>3.2566389999999998</v>
      </c>
      <c r="C11722">
        <f>LOG10(1.009972)</f>
        <v>4.3093337687275003E-3</v>
      </c>
      <c r="D11722">
        <f>LOG10(3.256639)</f>
        <v>0.51276961948067523</v>
      </c>
    </row>
    <row r="11723" spans="1:4">
      <c r="A11723">
        <v>1.0172829999999999</v>
      </c>
      <c r="B11723">
        <v>3.1538119999999998</v>
      </c>
      <c r="C11723">
        <f>LOG10(1.017283)</f>
        <v>7.4417869848406367E-3</v>
      </c>
      <c r="D11723">
        <f>LOG10(3.153812)</f>
        <v>0.49883580129597044</v>
      </c>
    </row>
    <row r="11724" spans="1:4">
      <c r="A11724">
        <v>1.01281</v>
      </c>
      <c r="B11724">
        <v>3.126525</v>
      </c>
      <c r="C11724">
        <f>LOG10(1.01281)</f>
        <v>5.5279807097914158E-3</v>
      </c>
      <c r="D11724">
        <f>LOG10(3.126525)</f>
        <v>0.49506190569176783</v>
      </c>
    </row>
    <row r="11725" spans="1:4">
      <c r="A11725">
        <v>1.0258149999999999</v>
      </c>
      <c r="B11725">
        <v>3.2614619999999999</v>
      </c>
      <c r="C11725">
        <f>LOG10(1.025815)</f>
        <v>1.1069045255762907E-2</v>
      </c>
      <c r="D11725">
        <f>LOG10(3.261462)</f>
        <v>0.51341232282893323</v>
      </c>
    </row>
    <row r="11726" spans="1:4">
      <c r="A11726">
        <v>1.0106219999999999</v>
      </c>
      <c r="B11726">
        <v>3.161279</v>
      </c>
      <c r="C11726">
        <f>LOG10(1.010622)</f>
        <v>4.5887480627167729E-3</v>
      </c>
      <c r="D11726">
        <f>LOG10(3.161279)</f>
        <v>0.49986282637213914</v>
      </c>
    </row>
    <row r="11727" spans="1:4">
      <c r="A11727">
        <v>1.0206869999999999</v>
      </c>
      <c r="B11727">
        <v>3.3091400000000002</v>
      </c>
      <c r="C11727">
        <f>LOG10(1.020687)</f>
        <v>8.8925834059756254E-3</v>
      </c>
      <c r="D11727">
        <f>LOG10(3.30914)</f>
        <v>0.51971514127326723</v>
      </c>
    </row>
    <row r="11728" spans="1:4">
      <c r="A11728">
        <v>1.0027250000000001</v>
      </c>
      <c r="B11728">
        <v>3.4485229999999998</v>
      </c>
      <c r="C11728">
        <f>LOG10(1.002725)</f>
        <v>1.1818429325229894E-3</v>
      </c>
      <c r="D11728">
        <f>LOG10(3.448523)</f>
        <v>0.53763312687121911</v>
      </c>
    </row>
    <row r="11729" spans="1:4">
      <c r="A11729">
        <v>1.0122</v>
      </c>
      <c r="B11729">
        <v>3.4819119999999999</v>
      </c>
      <c r="C11729">
        <f>LOG10(1.0122)</f>
        <v>5.2663329727688423E-3</v>
      </c>
      <c r="D11729">
        <f>LOG10(3.481912)</f>
        <v>0.54181779079126269</v>
      </c>
    </row>
    <row r="11730" spans="1:4">
      <c r="A11730">
        <v>1.0028520000000001</v>
      </c>
      <c r="B11730">
        <v>3.4339520000000001</v>
      </c>
      <c r="C11730">
        <f>LOG10(1.002852)</f>
        <v>1.2368449586485678E-3</v>
      </c>
      <c r="D11730">
        <f>LOG10(3.433952)</f>
        <v>0.53579422027136681</v>
      </c>
    </row>
    <row r="11731" spans="1:4">
      <c r="A11731">
        <v>1.019973</v>
      </c>
      <c r="B11731">
        <v>3.549477</v>
      </c>
      <c r="C11731">
        <f>LOG10(1.019973)</f>
        <v>8.5886755793582181E-3</v>
      </c>
      <c r="D11731">
        <f>LOG10(3.549477)</f>
        <v>0.55016436636580801</v>
      </c>
    </row>
    <row r="11732" spans="1:4">
      <c r="A11732">
        <v>1.0059260000000001</v>
      </c>
      <c r="B11732">
        <v>3.1446779999999999</v>
      </c>
      <c r="C11732">
        <f>LOG10(1.005926)</f>
        <v>2.5660334299234832E-3</v>
      </c>
      <c r="D11732">
        <f>LOG10(3.144678)</f>
        <v>0.49757618237825213</v>
      </c>
    </row>
    <row r="11733" spans="1:4">
      <c r="A11733">
        <v>1.0095240000000001</v>
      </c>
      <c r="B11733">
        <v>3.3628170000000002</v>
      </c>
      <c r="C11733">
        <f>LOG10(1.009524)</f>
        <v>4.1166481371795512E-3</v>
      </c>
      <c r="D11733">
        <f>LOG10(3.362817)</f>
        <v>0.52670323423326937</v>
      </c>
    </row>
    <row r="11734" spans="1:4">
      <c r="A11734">
        <v>1.026667</v>
      </c>
      <c r="B11734">
        <v>3.2681</v>
      </c>
      <c r="C11734">
        <f>LOG10(1.026667)</f>
        <v>1.142960278546085E-2</v>
      </c>
      <c r="D11734">
        <f>LOG10(3.2681)</f>
        <v>0.51429533696188912</v>
      </c>
    </row>
    <row r="11735" spans="1:4">
      <c r="A11735">
        <v>1.011139</v>
      </c>
      <c r="B11735">
        <v>3.246947</v>
      </c>
      <c r="C11735">
        <f>LOG10(1.011139)</f>
        <v>4.8108616083219653E-3</v>
      </c>
      <c r="D11735">
        <f>LOG10(3.246947)</f>
        <v>0.51147519968377841</v>
      </c>
    </row>
    <row r="11736" spans="1:4">
      <c r="A11736">
        <v>1.0169859999999999</v>
      </c>
      <c r="B11736">
        <v>3.4199310000000001</v>
      </c>
      <c r="C11736">
        <f>LOG10(1.016986)</f>
        <v>7.3149743931512122E-3</v>
      </c>
      <c r="D11736">
        <f>LOG10(3.419931)</f>
        <v>0.53401734388609201</v>
      </c>
    </row>
    <row r="11737" spans="1:4">
      <c r="A11737">
        <v>1.016327</v>
      </c>
      <c r="B11737">
        <v>3.335032</v>
      </c>
      <c r="C11737">
        <f>LOG10(1.016327)</f>
        <v>7.0334633089303147E-3</v>
      </c>
      <c r="D11737">
        <f>LOG10(3.335032)</f>
        <v>0.52310000537603019</v>
      </c>
    </row>
    <row r="11738" spans="1:4">
      <c r="A11738">
        <v>1.006831</v>
      </c>
      <c r="B11738">
        <v>3.5488789999999999</v>
      </c>
      <c r="C11738">
        <f>LOG10(1.006831)</f>
        <v>2.9565788684528345E-3</v>
      </c>
      <c r="D11738">
        <f>LOG10(3.548879)</f>
        <v>0.55009119221089309</v>
      </c>
    </row>
    <row r="11739" spans="1:4">
      <c r="A11739">
        <v>1.0126459999999999</v>
      </c>
      <c r="B11739">
        <v>3.513315</v>
      </c>
      <c r="C11739">
        <f>LOG10(1.012646)</f>
        <v>5.4576515639716038E-3</v>
      </c>
      <c r="D11739">
        <f>LOG10(3.513315)</f>
        <v>0.54571708990839984</v>
      </c>
    </row>
    <row r="11740" spans="1:4">
      <c r="A11740">
        <v>1.0172030000000001</v>
      </c>
      <c r="B11740">
        <v>3.3367800000000001</v>
      </c>
      <c r="C11740">
        <f>LOG10(1.017203)</f>
        <v>7.407632354560453E-3</v>
      </c>
      <c r="D11740">
        <f>LOG10(3.33678)</f>
        <v>0.52332757377026451</v>
      </c>
    </row>
    <row r="11741" spans="1:4">
      <c r="A11741">
        <v>1.0563659999999999</v>
      </c>
      <c r="B11741">
        <v>3.3713579999999999</v>
      </c>
      <c r="C11741">
        <f>LOG10(1.056366)</f>
        <v>2.3814414638246652E-2</v>
      </c>
      <c r="D11741">
        <f>LOG10(3.371358)</f>
        <v>0.52780487212027749</v>
      </c>
    </row>
    <row r="11742" spans="1:4">
      <c r="A11742">
        <v>1.0157069999999999</v>
      </c>
      <c r="B11742">
        <v>3.5362580000000001</v>
      </c>
      <c r="C11742">
        <f>LOG10(1.015707)</f>
        <v>6.7684455118505252E-3</v>
      </c>
      <c r="D11742">
        <f>LOG10(3.536258)</f>
        <v>0.54854394296117315</v>
      </c>
    </row>
    <row r="11743" spans="1:4">
      <c r="A11743">
        <v>1.019577</v>
      </c>
      <c r="B11743">
        <v>3.5180220000000002</v>
      </c>
      <c r="C11743">
        <f>LOG10(1.019577)</f>
        <v>8.4200299300778974E-3</v>
      </c>
      <c r="D11743">
        <f>LOG10(3.518022)</f>
        <v>0.5462985509965782</v>
      </c>
    </row>
    <row r="11744" spans="1:4">
      <c r="A11744">
        <v>1.024224</v>
      </c>
      <c r="B11744">
        <v>3.5638480000000001</v>
      </c>
      <c r="C11744">
        <f>LOG10(1.024224)</f>
        <v>1.0394948168408608E-2</v>
      </c>
      <c r="D11744">
        <f>LOG10(3.563848)</f>
        <v>0.55191917287073822</v>
      </c>
    </row>
    <row r="11745" spans="1:4">
      <c r="A11745">
        <v>1.035623</v>
      </c>
      <c r="B11745">
        <v>3.4728889999999999</v>
      </c>
      <c r="C11745">
        <f>LOG10(1.035623)</f>
        <v>1.5201687052679278E-2</v>
      </c>
      <c r="D11745">
        <f>LOG10(3.472889)</f>
        <v>0.54069090267215858</v>
      </c>
    </row>
    <row r="11746" spans="1:4">
      <c r="A11746">
        <v>1.015088</v>
      </c>
      <c r="B11746">
        <v>3.4742000000000002</v>
      </c>
      <c r="C11746">
        <f>LOG10(1.015088)</f>
        <v>6.5036937347155242E-3</v>
      </c>
      <c r="D11746">
        <f>LOG10(3.4742)</f>
        <v>0.54085481595224871</v>
      </c>
    </row>
    <row r="11747" spans="1:4">
      <c r="A11747">
        <v>1.0236430000000001</v>
      </c>
      <c r="B11747">
        <v>3.5815630000000001</v>
      </c>
      <c r="C11747">
        <f>LOG10(1.023643)</f>
        <v>1.0148520933870668E-2</v>
      </c>
      <c r="D11747">
        <f>LOG10(3.581563)</f>
        <v>0.55407259483897153</v>
      </c>
    </row>
    <row r="11748" spans="1:4">
      <c r="A11748">
        <v>1.039709</v>
      </c>
      <c r="B11748">
        <v>3.4077480000000002</v>
      </c>
      <c r="C11748">
        <f>LOG10(1.039709)</f>
        <v>1.6911803357878404E-2</v>
      </c>
      <c r="D11748">
        <f>LOG10(3.407748)</f>
        <v>0.53246747158294949</v>
      </c>
    </row>
    <row r="11749" spans="1:4">
      <c r="A11749">
        <v>1.032843</v>
      </c>
      <c r="B11749">
        <v>3.6555780000000002</v>
      </c>
      <c r="C11749">
        <f>LOG10(1.032843)</f>
        <v>1.4034310468645166E-2</v>
      </c>
      <c r="D11749">
        <f>LOG10(3.655578)</f>
        <v>0.5629560549913798</v>
      </c>
    </row>
    <row r="11750" spans="1:4">
      <c r="A11750">
        <v>1.021474</v>
      </c>
      <c r="B11750">
        <v>3.854705</v>
      </c>
      <c r="C11750">
        <f>LOG10(1.021474)</f>
        <v>9.227316832163053E-3</v>
      </c>
      <c r="D11750">
        <f>LOG10(3.854705)</f>
        <v>0.58599114716663359</v>
      </c>
    </row>
    <row r="11751" spans="1:4">
      <c r="A11751">
        <v>1.0259799999999999</v>
      </c>
      <c r="B11751">
        <v>3.2821340000000001</v>
      </c>
      <c r="C11751">
        <f>LOG10(1.02598)</f>
        <v>1.1138894913909549E-2</v>
      </c>
      <c r="D11751">
        <f>LOG10(3.282134)</f>
        <v>0.51615630806155433</v>
      </c>
    </row>
    <row r="11752" spans="1:4">
      <c r="A11752">
        <v>1.025814</v>
      </c>
      <c r="B11752">
        <v>3.5806789999999999</v>
      </c>
      <c r="C11752">
        <f>LOG10(1.025814)</f>
        <v>1.1068621890250071E-2</v>
      </c>
      <c r="D11752">
        <f>LOG10(3.580679)</f>
        <v>0.55396538921147331</v>
      </c>
    </row>
    <row r="11753" spans="1:4">
      <c r="A11753">
        <v>1.0245120000000001</v>
      </c>
      <c r="B11753">
        <v>3.6581160000000001</v>
      </c>
      <c r="C11753">
        <f>LOG10(1.024512)</f>
        <v>1.0517049612042199E-2</v>
      </c>
      <c r="D11753">
        <f>LOG10(3.658116)</f>
        <v>0.56325747297231132</v>
      </c>
    </row>
    <row r="11754" spans="1:4">
      <c r="A11754">
        <v>1.026775</v>
      </c>
      <c r="B11754">
        <v>3.660822</v>
      </c>
      <c r="C11754">
        <f>LOG10(1.026775)</f>
        <v>1.1475285891279078E-2</v>
      </c>
      <c r="D11754">
        <f>LOG10(3.660822)</f>
        <v>0.56357861271186893</v>
      </c>
    </row>
    <row r="11755" spans="1:4">
      <c r="A11755">
        <v>1.0207040000000001</v>
      </c>
      <c r="B11755">
        <v>3.693476</v>
      </c>
      <c r="C11755">
        <f>LOG10(1.020704)</f>
        <v>8.8998167152168177E-3</v>
      </c>
      <c r="D11755">
        <f>LOG10(3.693476)</f>
        <v>0.56743528134497634</v>
      </c>
    </row>
    <row r="11756" spans="1:4">
      <c r="A11756">
        <v>1.0239320000000001</v>
      </c>
      <c r="B11756">
        <v>3.7479019999999998</v>
      </c>
      <c r="C11756">
        <f>LOG10(1.023932)</f>
        <v>1.0271115814256956E-2</v>
      </c>
      <c r="D11756">
        <f>LOG10(3.747902)</f>
        <v>0.57378822644848837</v>
      </c>
    </row>
    <row r="11757" spans="1:4">
      <c r="A11757">
        <v>1.0273129999999999</v>
      </c>
      <c r="B11757">
        <v>3.582341</v>
      </c>
      <c r="C11757">
        <f>LOG10(1.027313)</f>
        <v>1.1702783872482176E-2</v>
      </c>
      <c r="D11757">
        <f>LOG10(3.582341)</f>
        <v>0.55416692360391562</v>
      </c>
    </row>
    <row r="11758" spans="1:4">
      <c r="A11758">
        <v>1.015199</v>
      </c>
      <c r="B11758">
        <v>3.096536</v>
      </c>
      <c r="C11758">
        <f>LOG10(1.015199)</f>
        <v>6.5511812943948007E-3</v>
      </c>
      <c r="D11758">
        <f>LOG10(3.096536)</f>
        <v>0.49087613343664932</v>
      </c>
    </row>
    <row r="11759" spans="1:4">
      <c r="A11759">
        <v>1.025585</v>
      </c>
      <c r="B11759">
        <v>3.0902059999999998</v>
      </c>
      <c r="C11759">
        <f>LOG10(1.025585)</f>
        <v>1.0971660317421993E-2</v>
      </c>
      <c r="D11759">
        <f>LOG10(3.090206)</f>
        <v>0.48998743142523887</v>
      </c>
    </row>
    <row r="11760" spans="1:4">
      <c r="A11760">
        <v>1.015609</v>
      </c>
      <c r="B11760">
        <v>3.225492</v>
      </c>
      <c r="C11760">
        <f>LOG10(1.015609)</f>
        <v>6.7265407966220631E-3</v>
      </c>
      <c r="D11760">
        <f>LOG10(3.225492)</f>
        <v>0.50859596907608817</v>
      </c>
    </row>
    <row r="11761" spans="1:4">
      <c r="A11761">
        <v>1.0258890000000001</v>
      </c>
      <c r="B11761">
        <v>3.5654759999999999</v>
      </c>
      <c r="C11761">
        <f>LOG10(1.025889)</f>
        <v>1.1100373158496275E-2</v>
      </c>
      <c r="D11761">
        <f>LOG10(3.565476)</f>
        <v>0.55211751746240711</v>
      </c>
    </row>
    <row r="11762" spans="1:4">
      <c r="A11762">
        <v>1.024834</v>
      </c>
      <c r="B11762">
        <v>3.5597409999999998</v>
      </c>
      <c r="C11762">
        <f>LOG10(1.024834)</f>
        <v>1.0653525174805752E-2</v>
      </c>
      <c r="D11762">
        <f>LOG10(3.559741)</f>
        <v>0.55141840067997849</v>
      </c>
    </row>
    <row r="11763" spans="1:4">
      <c r="A11763">
        <v>1.0331779999999999</v>
      </c>
      <c r="B11763">
        <v>3.5727000000000002</v>
      </c>
      <c r="C11763">
        <f>LOG10(1.033178)</f>
        <v>1.4175149939989001E-2</v>
      </c>
      <c r="D11763">
        <f>LOG10(3.5727)</f>
        <v>0.55299654997949543</v>
      </c>
    </row>
    <row r="11764" spans="1:4">
      <c r="A11764">
        <v>1.013015</v>
      </c>
      <c r="B11764">
        <v>3.3862779999999999</v>
      </c>
      <c r="C11764">
        <f>LOG10(1.013015)</f>
        <v>5.6158761292813171E-3</v>
      </c>
      <c r="D11764">
        <f>LOG10(3.386278)</f>
        <v>0.52972260909186142</v>
      </c>
    </row>
    <row r="11765" spans="1:4">
      <c r="A11765">
        <v>1.0335380000000001</v>
      </c>
      <c r="B11765">
        <v>3.5243220000000002</v>
      </c>
      <c r="C11765">
        <f>LOG10(1.033538)</f>
        <v>1.43264489235615E-2</v>
      </c>
      <c r="D11765">
        <f>LOG10(3.524322)</f>
        <v>0.54707558090760455</v>
      </c>
    </row>
    <row r="11766" spans="1:4">
      <c r="A11766">
        <v>1.018445</v>
      </c>
      <c r="B11766">
        <v>3.447835</v>
      </c>
      <c r="C11766">
        <f>LOG10(1.018445)</f>
        <v>7.9375803745070188E-3</v>
      </c>
      <c r="D11766">
        <f>LOG10(3.447835)</f>
        <v>0.5375464740018232</v>
      </c>
    </row>
    <row r="11767" spans="1:4">
      <c r="A11767">
        <v>1.013379</v>
      </c>
      <c r="B11767">
        <v>3.5240019999999999</v>
      </c>
      <c r="C11767">
        <f>LOG10(1.013379)</f>
        <v>5.7719002717857588E-3</v>
      </c>
      <c r="D11767">
        <f>LOG10(3.524002)</f>
        <v>0.54703614621807994</v>
      </c>
    </row>
    <row r="11768" spans="1:4">
      <c r="A11768">
        <v>1.0101599999999999</v>
      </c>
      <c r="B11768">
        <v>3.461166</v>
      </c>
      <c r="C11768">
        <f>LOG10(1.01016)</f>
        <v>4.3901674596283505E-3</v>
      </c>
      <c r="D11768">
        <f>LOG10(3.461166)</f>
        <v>0.5392224288679951</v>
      </c>
    </row>
    <row r="11769" spans="1:4">
      <c r="A11769">
        <v>1.0353460000000001</v>
      </c>
      <c r="B11769">
        <v>3.2376320000000001</v>
      </c>
      <c r="C11769">
        <f>LOG10(1.035346)</f>
        <v>1.5085509966296498E-2</v>
      </c>
      <c r="D11769">
        <f>LOG10(3.237632)</f>
        <v>0.51022748387014893</v>
      </c>
    </row>
    <row r="11770" spans="1:4">
      <c r="A11770">
        <v>1.0163249999999999</v>
      </c>
      <c r="B11770">
        <v>3.3413780000000002</v>
      </c>
      <c r="C11770">
        <f>LOG10(1.016325)</f>
        <v>7.0326086727566543E-3</v>
      </c>
      <c r="D11770">
        <f>LOG10(3.341378)</f>
        <v>0.52392560884021433</v>
      </c>
    </row>
    <row r="11771" spans="1:4">
      <c r="A11771">
        <v>1.0163709999999999</v>
      </c>
      <c r="B11771">
        <v>3.4331879999999999</v>
      </c>
      <c r="C11771">
        <f>LOG10(1.016371)</f>
        <v>7.0522648792636341E-3</v>
      </c>
      <c r="D11771">
        <f>LOG10(3.433188)</f>
        <v>0.53569758586882277</v>
      </c>
    </row>
    <row r="11772" spans="1:4">
      <c r="A11772">
        <v>1.0168379999999999</v>
      </c>
      <c r="B11772">
        <v>3.3601770000000002</v>
      </c>
      <c r="C11772">
        <f>LOG10(1.016838)</f>
        <v>7.2517677602909926E-3</v>
      </c>
      <c r="D11772">
        <f>LOG10(3.360177)</f>
        <v>0.52636215480016069</v>
      </c>
    </row>
    <row r="11773" spans="1:4">
      <c r="A11773">
        <v>1.0249550000000001</v>
      </c>
      <c r="B11773">
        <v>3.1840380000000001</v>
      </c>
      <c r="C11773">
        <f>LOG10(1.024955)</f>
        <v>1.0704798386215656E-2</v>
      </c>
      <c r="D11773">
        <f>LOG10(3.184038)</f>
        <v>0.50297824219748855</v>
      </c>
    </row>
    <row r="11774" spans="1:4">
      <c r="A11774">
        <v>1.024257</v>
      </c>
      <c r="B11774">
        <v>3.2105440000000001</v>
      </c>
      <c r="C11774">
        <f>LOG10(1.024257)</f>
        <v>1.0408940700342295E-2</v>
      </c>
      <c r="D11774">
        <f>LOG10(3.210544)</f>
        <v>0.50657862623079108</v>
      </c>
    </row>
    <row r="11775" spans="1:4">
      <c r="A11775">
        <v>1.019509</v>
      </c>
      <c r="B11775">
        <v>3.305742</v>
      </c>
      <c r="C11775">
        <f>LOG10(1.019509)</f>
        <v>8.3910639867284254E-3</v>
      </c>
      <c r="D11775">
        <f>LOG10(3.305742)</f>
        <v>0.5192689556030432</v>
      </c>
    </row>
    <row r="11776" spans="1:4">
      <c r="A11776">
        <v>1.0271809999999999</v>
      </c>
      <c r="B11776">
        <v>3.4246829999999999</v>
      </c>
      <c r="C11776">
        <f>LOG10(1.027181)</f>
        <v>1.1646977555510581E-2</v>
      </c>
      <c r="D11776">
        <f>LOG10(3.424683)</f>
        <v>0.53462037795334227</v>
      </c>
    </row>
    <row r="11777" spans="1:4">
      <c r="A11777">
        <v>1.0154909999999999</v>
      </c>
      <c r="B11777">
        <v>3.4642590000000002</v>
      </c>
      <c r="C11777">
        <f>LOG10(1.015491)</f>
        <v>6.6760787327923479E-3</v>
      </c>
      <c r="D11777">
        <f>LOG10(3.464259)</f>
        <v>0.53961035391861334</v>
      </c>
    </row>
    <row r="11778" spans="1:4">
      <c r="A11778">
        <v>1.0126379999999999</v>
      </c>
      <c r="B11778">
        <v>3.3139699999999999</v>
      </c>
      <c r="C11778">
        <f>LOG10(1.012638)</f>
        <v>5.4542205825830704E-3</v>
      </c>
      <c r="D11778">
        <f>LOG10(3.31397)</f>
        <v>0.52034857261275991</v>
      </c>
    </row>
    <row r="11779" spans="1:4">
      <c r="A11779">
        <v>1.0161929999999999</v>
      </c>
      <c r="B11779">
        <v>3.391365</v>
      </c>
      <c r="C11779">
        <f>LOG10(1.016193)</f>
        <v>6.9761989664791852E-3</v>
      </c>
      <c r="D11779">
        <f>LOG10(3.391365)</f>
        <v>0.53037453379320421</v>
      </c>
    </row>
    <row r="11780" spans="1:4">
      <c r="A11780">
        <v>1.0149550000000001</v>
      </c>
      <c r="B11780">
        <v>3.1878920000000002</v>
      </c>
      <c r="C11780">
        <f>LOG10(1.014955)</f>
        <v>6.4467873872384026E-3</v>
      </c>
      <c r="D11780">
        <f>LOG10(3.187892)</f>
        <v>0.50350359986380355</v>
      </c>
    </row>
    <row r="11781" spans="1:4">
      <c r="A11781">
        <v>1.016902</v>
      </c>
      <c r="B11781">
        <v>3.2726299999999999</v>
      </c>
      <c r="C11781">
        <f>LOG10(1.016902)</f>
        <v>7.2791014871695621E-3</v>
      </c>
      <c r="D11781">
        <f>LOG10(3.27263)</f>
        <v>0.51489690722012726</v>
      </c>
    </row>
    <row r="11782" spans="1:4">
      <c r="A11782">
        <v>1.010742</v>
      </c>
      <c r="B11782">
        <v>3.3043279999999999</v>
      </c>
      <c r="C11782">
        <f>LOG10(1.010742)</f>
        <v>4.6403125883436912E-3</v>
      </c>
      <c r="D11782">
        <f>LOG10(3.304328)</f>
        <v>0.51908315048848974</v>
      </c>
    </row>
    <row r="11783" spans="1:4">
      <c r="A11783">
        <v>1.0095609999999999</v>
      </c>
      <c r="B11783">
        <v>3.3193630000000001</v>
      </c>
      <c r="C11783">
        <f>LOG10(1.009561)</f>
        <v>4.1325651449649102E-3</v>
      </c>
      <c r="D11783">
        <f>LOG10(3.319363)</f>
        <v>0.52105474872571944</v>
      </c>
    </row>
    <row r="11784" spans="1:4">
      <c r="A11784">
        <v>1.014813</v>
      </c>
      <c r="B11784">
        <v>3.4157280000000001</v>
      </c>
      <c r="C11784">
        <f>LOG10(1.014813)</f>
        <v>6.3860220026910964E-3</v>
      </c>
      <c r="D11784">
        <f>LOG10(3.415728)</f>
        <v>0.5334832798148833</v>
      </c>
    </row>
    <row r="11785" spans="1:4">
      <c r="A11785">
        <v>1.019034</v>
      </c>
      <c r="B11785">
        <v>3.3424489999999998</v>
      </c>
      <c r="C11785">
        <f>LOG10(1.019034)</f>
        <v>8.1886744539715079E-3</v>
      </c>
      <c r="D11785">
        <f>LOG10(3.342449)</f>
        <v>0.52406478940072232</v>
      </c>
    </row>
    <row r="11786" spans="1:4">
      <c r="A11786">
        <v>1.01823</v>
      </c>
      <c r="B11786">
        <v>3.4876109999999998</v>
      </c>
      <c r="C11786">
        <f>LOG10(1.01823)</f>
        <v>7.8458884610146089E-3</v>
      </c>
      <c r="D11786">
        <f>LOG10(3.487611)</f>
        <v>0.542528038767775</v>
      </c>
    </row>
    <row r="11787" spans="1:4">
      <c r="A11787">
        <v>1.0162089999999999</v>
      </c>
      <c r="B11787">
        <v>3.5933670000000002</v>
      </c>
      <c r="C11787">
        <f>LOG10(1.016209)</f>
        <v>6.9830368968793743E-3</v>
      </c>
      <c r="D11787">
        <f>LOG10(3.593367)</f>
        <v>0.55550157510482279</v>
      </c>
    </row>
    <row r="11788" spans="1:4">
      <c r="A11788">
        <v>1.018267</v>
      </c>
      <c r="B11788">
        <v>3.6287829999999999</v>
      </c>
      <c r="C11788">
        <f>LOG10(1.018267)</f>
        <v>7.8616693787691809E-3</v>
      </c>
      <c r="D11788">
        <f>LOG10(3.628783)</f>
        <v>0.55976099831344328</v>
      </c>
    </row>
    <row r="11789" spans="1:4">
      <c r="A11789">
        <v>1.0169680000000001</v>
      </c>
      <c r="B11789">
        <v>3.5968749999999998</v>
      </c>
      <c r="C11789">
        <f>LOG10(1.016968)</f>
        <v>7.3072875913116446E-3</v>
      </c>
      <c r="D11789">
        <f>LOG10(3.596875)</f>
        <v>0.5559253453098858</v>
      </c>
    </row>
    <row r="11790" spans="1:4">
      <c r="A11790">
        <v>1.0246249999999999</v>
      </c>
      <c r="B11790">
        <v>3.627453</v>
      </c>
      <c r="C11790">
        <f>LOG10(1.024625)</f>
        <v>1.0564948094676332E-2</v>
      </c>
      <c r="D11790">
        <f>LOG10(3.627453)</f>
        <v>0.55960179410139732</v>
      </c>
    </row>
    <row r="11791" spans="1:4">
      <c r="A11791">
        <v>1.0203279999999999</v>
      </c>
      <c r="B11791">
        <v>3.5141170000000002</v>
      </c>
      <c r="C11791">
        <f>LOG10(1.020328)</f>
        <v>8.7398047927746952E-3</v>
      </c>
      <c r="D11791">
        <f>LOG10(3.514117)</f>
        <v>0.54581621692264881</v>
      </c>
    </row>
    <row r="11792" spans="1:4">
      <c r="A11792">
        <v>1.013978</v>
      </c>
      <c r="B11792">
        <v>3.4982479999999998</v>
      </c>
      <c r="C11792">
        <f>LOG10(1.013978)</f>
        <v>6.0285323323748226E-3</v>
      </c>
      <c r="D11792">
        <f>LOG10(3.498248)</f>
        <v>0.54385059451191875</v>
      </c>
    </row>
    <row r="11793" spans="1:4">
      <c r="A11793">
        <v>1.0144679999999999</v>
      </c>
      <c r="B11793">
        <v>3.6588859999999999</v>
      </c>
      <c r="C11793">
        <f>LOG10(1.014468)</f>
        <v>6.2383523623601592E-3</v>
      </c>
      <c r="D11793">
        <f>LOG10(3.658886)</f>
        <v>0.56334887837367653</v>
      </c>
    </row>
    <row r="11794" spans="1:4">
      <c r="A11794">
        <v>1.0138450000000001</v>
      </c>
      <c r="B11794">
        <v>3.530443</v>
      </c>
      <c r="C11794">
        <f>LOG10(1.013845)</f>
        <v>5.9715636855294822E-3</v>
      </c>
      <c r="D11794">
        <f>LOG10(3.530443)</f>
        <v>0.54782920408025182</v>
      </c>
    </row>
    <row r="11795" spans="1:4">
      <c r="A11795">
        <v>1.022829</v>
      </c>
      <c r="B11795">
        <v>3.516251</v>
      </c>
      <c r="C11795">
        <f>LOG10(1.022829)</f>
        <v>9.8030329653935339E-3</v>
      </c>
      <c r="D11795">
        <f>LOG10(3.516251)</f>
        <v>0.54607986868393499</v>
      </c>
    </row>
    <row r="11796" spans="1:4">
      <c r="A11796">
        <v>1.018445</v>
      </c>
      <c r="B11796">
        <v>3.5621809999999998</v>
      </c>
      <c r="C11796">
        <f>LOG10(1.018445)</f>
        <v>7.9375803745070188E-3</v>
      </c>
      <c r="D11796">
        <f>LOG10(3.562181)</f>
        <v>0.55171598287121981</v>
      </c>
    </row>
    <row r="11797" spans="1:4">
      <c r="A11797">
        <v>1.016777</v>
      </c>
      <c r="B11797">
        <v>3.482291</v>
      </c>
      <c r="C11797">
        <f>LOG10(1.016777)</f>
        <v>7.2257137004969945E-3</v>
      </c>
      <c r="D11797">
        <f>LOG10(3.482291)</f>
        <v>0.54186506040956761</v>
      </c>
    </row>
    <row r="11798" spans="1:4">
      <c r="A11798">
        <v>1.02501</v>
      </c>
      <c r="B11798">
        <v>3.552959</v>
      </c>
      <c r="C11798">
        <f>LOG10(1.02501)</f>
        <v>1.0728102390440484E-2</v>
      </c>
      <c r="D11798">
        <f>LOG10(3.552959)</f>
        <v>0.55059019590010871</v>
      </c>
    </row>
    <row r="11799" spans="1:4">
      <c r="A11799">
        <v>1.0225839999999999</v>
      </c>
      <c r="B11799">
        <v>3.5505330000000002</v>
      </c>
      <c r="C11799">
        <f>LOG10(1.022584)</f>
        <v>9.6989931958455945E-3</v>
      </c>
      <c r="D11799">
        <f>LOG10(3.550533)</f>
        <v>0.55029355350111397</v>
      </c>
    </row>
    <row r="11800" spans="1:4">
      <c r="A11800">
        <v>1.019355</v>
      </c>
      <c r="B11800">
        <v>3.6179489999999999</v>
      </c>
      <c r="C11800">
        <f>LOG10(1.019355)</f>
        <v>8.3254575016070212E-3</v>
      </c>
      <c r="D11800">
        <f>LOG10(3.617949)</f>
        <v>0.55846244058496497</v>
      </c>
    </row>
    <row r="11801" spans="1:4">
      <c r="A11801">
        <v>1.036934</v>
      </c>
      <c r="B11801">
        <v>3.6658029999999999</v>
      </c>
      <c r="C11801">
        <f>LOG10(1.036934)</f>
        <v>1.5751114780566167E-2</v>
      </c>
      <c r="D11801">
        <f>LOG10(3.665803)</f>
        <v>0.56416912229783422</v>
      </c>
    </row>
    <row r="11802" spans="1:4">
      <c r="A11802">
        <v>1.036548</v>
      </c>
      <c r="B11802">
        <v>3.915985</v>
      </c>
      <c r="C11802">
        <f>LOG10(1.036548)</f>
        <v>1.5589418009674321E-2</v>
      </c>
      <c r="D11802">
        <f>LOG10(3.915985)</f>
        <v>0.59284101958929603</v>
      </c>
    </row>
    <row r="11803" spans="1:4">
      <c r="A11803">
        <v>1.032996</v>
      </c>
      <c r="B11803">
        <v>3.8286099999999998</v>
      </c>
      <c r="C11803">
        <f>LOG10(1.032996)</f>
        <v>1.4098639833956518E-2</v>
      </c>
      <c r="D11803">
        <f>LOG10(3.82861)</f>
        <v>0.58304112934734709</v>
      </c>
    </row>
    <row r="11804" spans="1:4">
      <c r="A11804">
        <v>1.0265930000000001</v>
      </c>
      <c r="B11804">
        <v>3.5842670000000001</v>
      </c>
      <c r="C11804">
        <f>LOG10(1.026593)</f>
        <v>1.1398298623616061E-2</v>
      </c>
      <c r="D11804">
        <f>LOG10(3.584267)</f>
        <v>0.5544003537544927</v>
      </c>
    </row>
    <row r="11805" spans="1:4">
      <c r="A11805">
        <v>1.0257940000000001</v>
      </c>
      <c r="B11805">
        <v>3.4407359999999998</v>
      </c>
      <c r="C11805">
        <f>LOG10(1.025794)</f>
        <v>1.1060154493322099E-2</v>
      </c>
      <c r="D11805">
        <f>LOG10(3.440736)</f>
        <v>0.5366513514521789</v>
      </c>
    </row>
    <row r="11806" spans="1:4">
      <c r="A11806">
        <v>1.0362690000000001</v>
      </c>
      <c r="B11806">
        <v>3.5898330000000001</v>
      </c>
      <c r="C11806">
        <f>LOG10(1.036269)</f>
        <v>1.5472506423960091E-2</v>
      </c>
      <c r="D11806">
        <f>LOG10(3.589833)</f>
        <v>0.55507424555173324</v>
      </c>
    </row>
    <row r="11807" spans="1:4">
      <c r="A11807">
        <v>1.029396</v>
      </c>
      <c r="B11807">
        <v>3.521576</v>
      </c>
      <c r="C11807">
        <f>LOG10(1.029396)</f>
        <v>1.2582476347313012E-2</v>
      </c>
      <c r="D11807">
        <f>LOG10(3.521576)</f>
        <v>0.54673706544578937</v>
      </c>
    </row>
    <row r="11808" spans="1:4">
      <c r="A11808">
        <v>1.0381720000000001</v>
      </c>
      <c r="B11808">
        <v>3.5858210000000001</v>
      </c>
      <c r="C11808">
        <f>LOG10(1.038172)</f>
        <v>1.6269311568956803E-2</v>
      </c>
      <c r="D11808">
        <f>LOG10(3.585821)</f>
        <v>0.55458860629349782</v>
      </c>
    </row>
    <row r="11809" spans="1:4">
      <c r="A11809">
        <v>1.0297989999999999</v>
      </c>
      <c r="B11809">
        <v>3.5323060000000002</v>
      </c>
      <c r="C11809">
        <f>LOG10(1.029799)</f>
        <v>1.2752465763994284E-2</v>
      </c>
      <c r="D11809">
        <f>LOG10(3.532306)</f>
        <v>0.5480583190151167</v>
      </c>
    </row>
    <row r="11810" spans="1:4">
      <c r="A11810">
        <v>1.027817</v>
      </c>
      <c r="B11810">
        <v>3.5825179999999999</v>
      </c>
      <c r="C11810">
        <f>LOG10(1.027817)</f>
        <v>1.1915796599917775E-2</v>
      </c>
      <c r="D11810">
        <f>LOG10(3.582518)</f>
        <v>0.55418838114364188</v>
      </c>
    </row>
    <row r="11811" spans="1:4">
      <c r="A11811">
        <v>1.0198430000000001</v>
      </c>
      <c r="B11811">
        <v>3.6896580000000001</v>
      </c>
      <c r="C11811">
        <f>LOG10(1.019843)</f>
        <v>8.53331932886911E-3</v>
      </c>
      <c r="D11811">
        <f>LOG10(3.689658)</f>
        <v>0.56698611260993459</v>
      </c>
    </row>
    <row r="11812" spans="1:4">
      <c r="A11812">
        <v>1.0219130000000001</v>
      </c>
      <c r="B11812">
        <v>3.8244959999999999</v>
      </c>
      <c r="C11812">
        <f>LOG10(1.021913)</f>
        <v>9.4139239511168808E-3</v>
      </c>
      <c r="D11812">
        <f>LOG10(3.824496)</f>
        <v>0.582574211034534</v>
      </c>
    </row>
    <row r="11813" spans="1:4">
      <c r="A11813">
        <v>1.0247839999999999</v>
      </c>
      <c r="B11813">
        <v>3.7562630000000001</v>
      </c>
      <c r="C11813">
        <f>LOG10(1.024784)</f>
        <v>1.0632336129725629E-2</v>
      </c>
      <c r="D11813">
        <f>LOG10(3.756263)</f>
        <v>0.57475599239333586</v>
      </c>
    </row>
    <row r="11814" spans="1:4">
      <c r="A11814">
        <v>1.0214559999999999</v>
      </c>
      <c r="B11814">
        <v>3.776856</v>
      </c>
      <c r="C11814">
        <f>LOG10(1.021456)</f>
        <v>9.2196638037435833E-3</v>
      </c>
      <c r="D11814">
        <f>LOG10(3.776856)</f>
        <v>0.57713042681916438</v>
      </c>
    </row>
    <row r="11815" spans="1:4">
      <c r="A11815">
        <v>1.023957</v>
      </c>
      <c r="B11815">
        <v>3.8361170000000002</v>
      </c>
      <c r="C11815">
        <f>LOG10(1.023957)</f>
        <v>1.0281719281581695E-2</v>
      </c>
      <c r="D11815">
        <f>LOG10(3.836117)</f>
        <v>0.58389184450475096</v>
      </c>
    </row>
    <row r="11816" spans="1:4">
      <c r="A11816">
        <v>1.0285960000000001</v>
      </c>
      <c r="B11816">
        <v>3.7791570000000001</v>
      </c>
      <c r="C11816">
        <f>LOG10(1.028596)</f>
        <v>1.2244831105715502E-2</v>
      </c>
      <c r="D11816">
        <f>LOG10(3.779157)</f>
        <v>0.57739493447253931</v>
      </c>
    </row>
    <row r="11817" spans="1:4">
      <c r="A11817">
        <v>1.0266040000000001</v>
      </c>
      <c r="B11817">
        <v>3.721082</v>
      </c>
      <c r="C11817">
        <f>LOG10(1.026604)</f>
        <v>1.1402952087751236E-2</v>
      </c>
      <c r="D11817">
        <f>LOG10(3.721082)</f>
        <v>0.57066924050127821</v>
      </c>
    </row>
    <row r="11818" spans="1:4">
      <c r="A11818">
        <v>1.0217430000000001</v>
      </c>
      <c r="B11818">
        <v>3.6192220000000002</v>
      </c>
      <c r="C11818">
        <f>LOG10(1.021743)</f>
        <v>9.341671025875211E-3</v>
      </c>
      <c r="D11818">
        <f>LOG10(3.619222)</f>
        <v>0.55861522317948009</v>
      </c>
    </row>
    <row r="11819" spans="1:4">
      <c r="A11819">
        <v>1.024354</v>
      </c>
      <c r="B11819">
        <v>3.5710760000000001</v>
      </c>
      <c r="C11819">
        <f>LOG10(1.024354)</f>
        <v>1.0450067653947546E-2</v>
      </c>
      <c r="D11819">
        <f>LOG10(3.571076)</f>
        <v>0.55279909299014951</v>
      </c>
    </row>
    <row r="11820" spans="1:4">
      <c r="A11820">
        <v>1.043812</v>
      </c>
      <c r="B11820">
        <v>3.6726450000000002</v>
      </c>
      <c r="C11820">
        <f>LOG10(1.043812)</f>
        <v>1.8622285337822495E-2</v>
      </c>
      <c r="D11820">
        <f>LOG10(3.672645)</f>
        <v>0.56497895121702368</v>
      </c>
    </row>
    <row r="11821" spans="1:4">
      <c r="A11821">
        <v>1.035498</v>
      </c>
      <c r="B11821">
        <v>3.6541830000000002</v>
      </c>
      <c r="C11821">
        <f>LOG10(1.035498)</f>
        <v>1.5149264417493993E-2</v>
      </c>
      <c r="D11821">
        <f>LOG10(3.654183)</f>
        <v>0.56279029285234139</v>
      </c>
    </row>
    <row r="11822" spans="1:4">
      <c r="A11822">
        <v>1.0390360000000001</v>
      </c>
      <c r="B11822">
        <v>3.6008279999999999</v>
      </c>
      <c r="C11822">
        <f>LOG10(1.039036)</f>
        <v>1.6630595035998869E-2</v>
      </c>
      <c r="D11822">
        <f>LOG10(3.600828)</f>
        <v>0.55640237701279704</v>
      </c>
    </row>
    <row r="11823" spans="1:4">
      <c r="A11823">
        <v>1.0129729999999999</v>
      </c>
      <c r="B11823">
        <v>3.5411239999999999</v>
      </c>
      <c r="C11823">
        <f>LOG10(1.012973)</f>
        <v>5.5978697361115728E-3</v>
      </c>
      <c r="D11823">
        <f>LOG10(3.541124)</f>
        <v>0.54914113477078108</v>
      </c>
    </row>
    <row r="11824" spans="1:4">
      <c r="A11824">
        <v>1.0208889999999999</v>
      </c>
      <c r="B11824">
        <v>3.5966019999999999</v>
      </c>
      <c r="C11824">
        <f>LOG10(1.020889)</f>
        <v>8.9785243512362951E-3</v>
      </c>
      <c r="D11824">
        <f>LOG10(3.596602)</f>
        <v>0.55589238144731512</v>
      </c>
    </row>
    <row r="11825" spans="1:4">
      <c r="A11825">
        <v>1.0159899999999999</v>
      </c>
      <c r="B11825">
        <v>3.5357280000000002</v>
      </c>
      <c r="C11825">
        <f>LOG10(1.01599)</f>
        <v>6.8894333748768721E-3</v>
      </c>
      <c r="D11825">
        <f>LOG10(3.535728)</f>
        <v>0.54847884778823597</v>
      </c>
    </row>
    <row r="11826" spans="1:4">
      <c r="A11826">
        <v>1.043501</v>
      </c>
      <c r="B11826">
        <v>3.39086</v>
      </c>
      <c r="C11826">
        <f>LOG10(1.043501)</f>
        <v>1.8492869591481283E-2</v>
      </c>
      <c r="D11826">
        <f>LOG10(3.39086)</f>
        <v>0.53030985923175389</v>
      </c>
    </row>
    <row r="11827" spans="1:4">
      <c r="A11827">
        <v>1.017252</v>
      </c>
      <c r="B11827">
        <v>2.4856820000000002</v>
      </c>
      <c r="C11827">
        <f>LOG10(1.017252)</f>
        <v>7.4285523843643647E-3</v>
      </c>
      <c r="D11827">
        <f>LOG10(2.485682)</f>
        <v>0.39544556739533543</v>
      </c>
    </row>
    <row r="11828" spans="1:4">
      <c r="A11828">
        <v>1.0159100000000001</v>
      </c>
      <c r="B11828">
        <v>2.9580609999999998</v>
      </c>
      <c r="C11828">
        <f>LOG10(1.01591)</f>
        <v>6.8552352759840614E-3</v>
      </c>
      <c r="D11828">
        <f>LOG10(2.958061)</f>
        <v>0.47100712560754049</v>
      </c>
    </row>
    <row r="11829" spans="1:4">
      <c r="A11829">
        <v>1.0094240000000001</v>
      </c>
      <c r="B11829">
        <v>2.9318659999999999</v>
      </c>
      <c r="C11829">
        <f>LOG10(1.009424)</f>
        <v>4.0736262780471369E-3</v>
      </c>
      <c r="D11829">
        <f>LOG10(2.931866)</f>
        <v>0.46714411713196302</v>
      </c>
    </row>
    <row r="11830" spans="1:4">
      <c r="A11830">
        <v>1.011984</v>
      </c>
      <c r="B11830">
        <v>3.1215920000000001</v>
      </c>
      <c r="C11830">
        <f>LOG10(1.011984)</f>
        <v>5.1736461335811397E-3</v>
      </c>
      <c r="D11830">
        <f>LOG10(3.121592)</f>
        <v>0.49437613904419375</v>
      </c>
    </row>
    <row r="11831" spans="1:4">
      <c r="A11831">
        <v>1.0148550000000001</v>
      </c>
      <c r="B11831">
        <v>3.0204939999999998</v>
      </c>
      <c r="C11831">
        <f>LOG10(1.014855)</f>
        <v>6.4039957483899819E-3</v>
      </c>
      <c r="D11831">
        <f>LOG10(3.020494)</f>
        <v>0.48007797737073948</v>
      </c>
    </row>
    <row r="11832" spans="1:4">
      <c r="A11832">
        <v>1.026678</v>
      </c>
      <c r="B11832">
        <v>2.9466230000000002</v>
      </c>
      <c r="C11832">
        <f>LOG10(1.026678)</f>
        <v>1.1434255914185905E-2</v>
      </c>
      <c r="D11832">
        <f>LOG10(2.946623)</f>
        <v>0.46932457443383158</v>
      </c>
    </row>
    <row r="11833" spans="1:4">
      <c r="A11833">
        <v>1.016845</v>
      </c>
      <c r="B11833">
        <v>3.119885</v>
      </c>
      <c r="C11833">
        <f>LOG10(1.016845)</f>
        <v>7.2547574704605461E-3</v>
      </c>
      <c r="D11833">
        <f>LOG10(3.119885)</f>
        <v>0.49413858607425004</v>
      </c>
    </row>
    <row r="11834" spans="1:4">
      <c r="A11834">
        <v>1.016875</v>
      </c>
      <c r="B11834">
        <v>3.1023779999999999</v>
      </c>
      <c r="C11834">
        <f>LOG10(1.016875)</f>
        <v>7.2675702809339958E-3</v>
      </c>
      <c r="D11834">
        <f>LOG10(3.102378)</f>
        <v>0.4916947120181272</v>
      </c>
    </row>
    <row r="11835" spans="1:4">
      <c r="A11835">
        <v>1.016211</v>
      </c>
      <c r="B11835">
        <v>3.002062</v>
      </c>
      <c r="C11835">
        <f>LOG10(1.016211)</f>
        <v>6.9838916306094413E-3</v>
      </c>
      <c r="D11835">
        <f>LOG10(3.002062)</f>
        <v>0.47741965725429664</v>
      </c>
    </row>
    <row r="11836" spans="1:4">
      <c r="A11836">
        <v>1.014313</v>
      </c>
      <c r="B11836">
        <v>2.966272</v>
      </c>
      <c r="C11836">
        <f>LOG10(1.014313)</f>
        <v>6.1719916809204788E-3</v>
      </c>
      <c r="D11836">
        <f>LOG10(2.966272)</f>
        <v>0.47221097227661168</v>
      </c>
    </row>
    <row r="11837" spans="1:4">
      <c r="A11837">
        <v>1.011128</v>
      </c>
      <c r="B11837">
        <v>3.1289709999999999</v>
      </c>
      <c r="C11837">
        <f>LOG10(1.011128)</f>
        <v>4.8061369707731397E-3</v>
      </c>
      <c r="D11837">
        <f>LOG10(3.128971)</f>
        <v>0.49540153802687736</v>
      </c>
    </row>
    <row r="11838" spans="1:4">
      <c r="A11838">
        <v>1.0225900000000001</v>
      </c>
      <c r="B11838">
        <v>2.8973390000000001</v>
      </c>
      <c r="C11838">
        <f>LOG10(1.02259)</f>
        <v>9.701541406307395E-3</v>
      </c>
      <c r="D11838">
        <f>LOG10(2.897339)</f>
        <v>0.46199931233045505</v>
      </c>
    </row>
    <row r="11839" spans="1:4">
      <c r="A11839">
        <v>1.023434</v>
      </c>
      <c r="B11839">
        <v>2.8926630000000002</v>
      </c>
      <c r="C11839">
        <f>LOG10(1.023434)</f>
        <v>1.0059840784532648E-2</v>
      </c>
      <c r="D11839">
        <f>LOG10(2.892663)</f>
        <v>0.4612978405731471</v>
      </c>
    </row>
    <row r="11840" spans="1:4">
      <c r="A11840">
        <v>1.021285</v>
      </c>
      <c r="B11840">
        <v>2.818187</v>
      </c>
      <c r="C11840">
        <f>LOG10(1.021285)</f>
        <v>9.146953306838795E-3</v>
      </c>
      <c r="D11840">
        <f>LOG10(2.818187)</f>
        <v>0.4499698072167802</v>
      </c>
    </row>
    <row r="11841" spans="1:4">
      <c r="A11841">
        <v>1.0325200000000001</v>
      </c>
      <c r="B11841">
        <v>2.871807</v>
      </c>
      <c r="C11841">
        <f>LOG10(1.03252)</f>
        <v>1.3898472730873844E-2</v>
      </c>
      <c r="D11841">
        <f>LOG10(2.871807)</f>
        <v>0.45815524975846966</v>
      </c>
    </row>
    <row r="11842" spans="1:4">
      <c r="A11842">
        <v>1.022402</v>
      </c>
      <c r="B11842">
        <v>3.0612210000000002</v>
      </c>
      <c r="C11842">
        <f>LOG10(1.022402)</f>
        <v>9.6216903723396752E-3</v>
      </c>
      <c r="D11842">
        <f>LOG10(3.061221)</f>
        <v>0.48589468393117602</v>
      </c>
    </row>
    <row r="11843" spans="1:4">
      <c r="A11843">
        <v>1.0151410000000001</v>
      </c>
      <c r="B11843">
        <v>3.0873189999999999</v>
      </c>
      <c r="C11843">
        <f>LOG10(1.015141)</f>
        <v>6.5263686226677067E-3</v>
      </c>
      <c r="D11843">
        <f>LOG10(3.087319)</f>
        <v>0.48958150566677272</v>
      </c>
    </row>
    <row r="11844" spans="1:4">
      <c r="A11844">
        <v>1.035946</v>
      </c>
      <c r="B11844">
        <v>2.9600219999999999</v>
      </c>
      <c r="C11844">
        <f>LOG10(1.035946)</f>
        <v>1.5337117848169605E-2</v>
      </c>
      <c r="D11844">
        <f>LOG10(2.960022)</f>
        <v>0.47129493891133573</v>
      </c>
    </row>
    <row r="11845" spans="1:4">
      <c r="A11845">
        <v>1.0533330000000001</v>
      </c>
      <c r="B11845">
        <v>2.8184529999999999</v>
      </c>
      <c r="C11845">
        <f>LOG10(1.053333)</f>
        <v>2.2565690463757039E-2</v>
      </c>
      <c r="D11845">
        <f>LOG10(2.818453)</f>
        <v>0.4500107970022808</v>
      </c>
    </row>
    <row r="11846" spans="1:4">
      <c r="A11846">
        <v>1.060716</v>
      </c>
      <c r="B11846">
        <v>2.8233359999999998</v>
      </c>
      <c r="C11846">
        <f>LOG10(1.060716)</f>
        <v>2.559911986449771E-2</v>
      </c>
      <c r="D11846">
        <f>LOG10(2.823336)</f>
        <v>0.45076256580634722</v>
      </c>
    </row>
    <row r="11847" spans="1:4">
      <c r="A11847">
        <v>1.0293639999999999</v>
      </c>
      <c r="B11847">
        <v>2.9131930000000001</v>
      </c>
      <c r="C11847">
        <f>LOG10(1.029364)</f>
        <v>1.2568975576536391E-2</v>
      </c>
      <c r="D11847">
        <f>LOG10(2.913193)</f>
        <v>0.46436925773389226</v>
      </c>
    </row>
    <row r="11848" spans="1:4">
      <c r="A11848">
        <v>1.0195890000000001</v>
      </c>
      <c r="B11848">
        <v>3.1070899999999999</v>
      </c>
      <c r="C11848">
        <f>LOG10(1.019589)</f>
        <v>8.4251413665994476E-3</v>
      </c>
      <c r="D11848">
        <f>LOG10(3.10709)</f>
        <v>0.49235383321547516</v>
      </c>
    </row>
    <row r="11849" spans="1:4">
      <c r="A11849">
        <v>1.0164150000000001</v>
      </c>
      <c r="B11849">
        <v>3.12426</v>
      </c>
      <c r="C11849">
        <f>LOG10(1.016415)</f>
        <v>7.0710656356706486E-3</v>
      </c>
      <c r="D11849">
        <f>LOG10(3.12426)</f>
        <v>0.49474716856849027</v>
      </c>
    </row>
    <row r="11850" spans="1:4">
      <c r="A11850">
        <v>1.034842</v>
      </c>
      <c r="B11850">
        <v>3.0955620000000001</v>
      </c>
      <c r="C11850">
        <f>LOG10(1.034842)</f>
        <v>1.4874046637165272E-2</v>
      </c>
      <c r="D11850">
        <f>LOG10(3.095562)</f>
        <v>0.49073950677833017</v>
      </c>
    </row>
    <row r="11851" spans="1:4">
      <c r="A11851">
        <v>1.0204489999999999</v>
      </c>
      <c r="B11851">
        <v>3.2092040000000002</v>
      </c>
      <c r="C11851">
        <f>LOG10(1.020449)</f>
        <v>8.7913044248970566E-3</v>
      </c>
      <c r="D11851">
        <f>LOG10(3.209204)</f>
        <v>0.50639732484195099</v>
      </c>
    </row>
    <row r="11852" spans="1:4">
      <c r="A11852">
        <v>1.023989</v>
      </c>
      <c r="B11852">
        <v>3.0956670000000002</v>
      </c>
      <c r="C11852">
        <f>LOG10(1.023989)</f>
        <v>1.0295291341999352E-2</v>
      </c>
      <c r="D11852">
        <f>LOG10(3.095667)</f>
        <v>0.49075423759206821</v>
      </c>
    </row>
    <row r="11853" spans="1:4">
      <c r="A11853">
        <v>1.021544</v>
      </c>
      <c r="B11853">
        <v>3.2205430000000002</v>
      </c>
      <c r="C11853">
        <f>LOG10(1.021544)</f>
        <v>9.2570773274157914E-3</v>
      </c>
      <c r="D11853">
        <f>LOG10(3.220543)</f>
        <v>0.50792910213749776</v>
      </c>
    </row>
    <row r="11854" spans="1:4">
      <c r="A11854">
        <v>1.011074</v>
      </c>
      <c r="B11854">
        <v>3.149295</v>
      </c>
      <c r="C11854">
        <f>LOG10(1.011074)</f>
        <v>4.7829425500096855E-3</v>
      </c>
      <c r="D11854">
        <f>LOG10(3.149295)</f>
        <v>0.49821334366973147</v>
      </c>
    </row>
    <row r="11855" spans="1:4">
      <c r="A11855">
        <v>1.0280309999999999</v>
      </c>
      <c r="B11855">
        <v>3.158906</v>
      </c>
      <c r="C11855">
        <f>LOG10(1.028031)</f>
        <v>1.2006210890724241E-2</v>
      </c>
      <c r="D11855">
        <f>LOG10(3.158906)</f>
        <v>0.49953670273683909</v>
      </c>
    </row>
    <row r="11856" spans="1:4">
      <c r="A11856">
        <v>1.0266230000000001</v>
      </c>
      <c r="B11856">
        <v>3.0791849999999998</v>
      </c>
      <c r="C11856">
        <f>LOG10(1.026623)</f>
        <v>1.1410989771997929E-2</v>
      </c>
      <c r="D11856">
        <f>LOG10(3.079185)</f>
        <v>0.48843578246134101</v>
      </c>
    </row>
    <row r="11857" spans="1:4">
      <c r="A11857">
        <v>1.0188349999999999</v>
      </c>
      <c r="B11857">
        <v>3.1995710000000002</v>
      </c>
      <c r="C11857">
        <f>LOG10(1.018835)</f>
        <v>8.1038558496613379E-3</v>
      </c>
      <c r="D11857">
        <f>LOG10(3.199571)</f>
        <v>0.50509175181284305</v>
      </c>
    </row>
    <row r="11858" spans="1:4">
      <c r="A11858">
        <v>1.01816</v>
      </c>
      <c r="B11858">
        <v>3.0953339999999998</v>
      </c>
      <c r="C11858">
        <f>LOG10(1.01816)</f>
        <v>7.8160311019181607E-3</v>
      </c>
      <c r="D11858">
        <f>LOG10(3.095334)</f>
        <v>0.4907075181479546</v>
      </c>
    </row>
    <row r="11859" spans="1:4">
      <c r="A11859">
        <v>1.0210649999999999</v>
      </c>
      <c r="B11859">
        <v>3.0570569999999999</v>
      </c>
      <c r="C11859">
        <f>LOG10(1.021065)</f>
        <v>9.053389729206841E-3</v>
      </c>
      <c r="D11859">
        <f>LOG10(3.057057)</f>
        <v>0.48530353638872731</v>
      </c>
    </row>
    <row r="11860" spans="1:4">
      <c r="A11860">
        <v>1.0275840000000001</v>
      </c>
      <c r="B11860">
        <v>3.1033840000000001</v>
      </c>
      <c r="C11860">
        <f>LOG10(1.027584)</f>
        <v>1.1817333463316327E-2</v>
      </c>
      <c r="D11860">
        <f>LOG10(3.103384)</f>
        <v>0.49183551672595255</v>
      </c>
    </row>
    <row r="11861" spans="1:4">
      <c r="A11861">
        <v>1.0209710000000001</v>
      </c>
      <c r="B11861">
        <v>3.2004950000000001</v>
      </c>
      <c r="C11861">
        <f>LOG10(1.020971)</f>
        <v>9.0134064171323615E-3</v>
      </c>
      <c r="D11861">
        <f>LOG10(3.200495)</f>
        <v>0.50521715305216364</v>
      </c>
    </row>
    <row r="11862" spans="1:4">
      <c r="A11862">
        <v>1.020421</v>
      </c>
      <c r="B11862">
        <v>3.0394459999999999</v>
      </c>
      <c r="C11862">
        <f>LOG10(1.020421)</f>
        <v>8.7793876977228427E-3</v>
      </c>
      <c r="D11862">
        <f>LOG10(3.039446)</f>
        <v>0.4827944319414339</v>
      </c>
    </row>
    <row r="11863" spans="1:4">
      <c r="A11863">
        <v>1.0253810000000001</v>
      </c>
      <c r="B11863">
        <v>2.9813100000000001</v>
      </c>
      <c r="C11863">
        <f>LOG10(1.025381)</f>
        <v>1.0885265833456507E-2</v>
      </c>
      <c r="D11863">
        <f>LOG10(2.98131)</f>
        <v>0.47440713681411023</v>
      </c>
    </row>
    <row r="11864" spans="1:4">
      <c r="A11864">
        <v>1.0213399999999999</v>
      </c>
      <c r="B11864">
        <v>3.1573690000000001</v>
      </c>
      <c r="C11864">
        <f>LOG10(1.02134)</f>
        <v>9.1703410520298269E-3</v>
      </c>
      <c r="D11864">
        <f>LOG10(3.157369)</f>
        <v>0.49932534061854611</v>
      </c>
    </row>
    <row r="11865" spans="1:4">
      <c r="A11865">
        <v>1.02773</v>
      </c>
      <c r="B11865">
        <v>3.2052070000000001</v>
      </c>
      <c r="C11865">
        <f>LOG10(1.02773)</f>
        <v>1.1879034005875292E-2</v>
      </c>
      <c r="D11865">
        <f>LOG10(3.205207)</f>
        <v>0.50585608254586456</v>
      </c>
    </row>
    <row r="11866" spans="1:4">
      <c r="A11866">
        <v>1.03511</v>
      </c>
      <c r="B11866">
        <v>3.2897530000000001</v>
      </c>
      <c r="C11866">
        <f>LOG10(1.03511)</f>
        <v>1.4986504241786436E-2</v>
      </c>
      <c r="D11866">
        <f>LOG10(3.289753)</f>
        <v>0.51716329163874031</v>
      </c>
    </row>
    <row r="11867" spans="1:4">
      <c r="A11867">
        <v>1.0436449999999999</v>
      </c>
      <c r="B11867">
        <v>3.300926</v>
      </c>
      <c r="C11867">
        <f>LOG10(1.043645)</f>
        <v>1.8552796789188836E-2</v>
      </c>
      <c r="D11867">
        <f>LOG10(3.300926)</f>
        <v>0.51863578844667324</v>
      </c>
    </row>
    <row r="11868" spans="1:4">
      <c r="A11868">
        <v>1.0217620000000001</v>
      </c>
      <c r="B11868">
        <v>3.2502960000000001</v>
      </c>
      <c r="C11868">
        <f>LOG10(1.021762)</f>
        <v>9.3497469495028955E-3</v>
      </c>
      <c r="D11868">
        <f>LOG10(3.250296)</f>
        <v>0.51192291338286711</v>
      </c>
    </row>
    <row r="11869" spans="1:4">
      <c r="A11869">
        <v>1.019566</v>
      </c>
      <c r="B11869">
        <v>3.2527520000000001</v>
      </c>
      <c r="C11869">
        <f>LOG10(1.019566)</f>
        <v>8.415344393751141E-3</v>
      </c>
      <c r="D11869">
        <f>LOG10(3.252752)</f>
        <v>0.51225095257257225</v>
      </c>
    </row>
    <row r="11870" spans="1:4">
      <c r="A11870">
        <v>1.0245169999999999</v>
      </c>
      <c r="B11870">
        <v>3.208631</v>
      </c>
      <c r="C11870">
        <f>LOG10(1.024517)</f>
        <v>1.051916912563565E-2</v>
      </c>
      <c r="D11870">
        <f>LOG10(3.208631)</f>
        <v>0.50631977509541126</v>
      </c>
    </row>
    <row r="11871" spans="1:4">
      <c r="A11871">
        <v>1.0241750000000001</v>
      </c>
      <c r="B11871">
        <v>3.1548910000000001</v>
      </c>
      <c r="C11871">
        <f>LOG10(1.024175)</f>
        <v>1.0374170546844348E-2</v>
      </c>
      <c r="D11871">
        <f>LOG10(3.154891)</f>
        <v>0.49898435916929018</v>
      </c>
    </row>
    <row r="11872" spans="1:4">
      <c r="A11872">
        <v>1.0169490000000001</v>
      </c>
      <c r="B11872">
        <v>3.2660330000000002</v>
      </c>
      <c r="C11872">
        <f>LOG10(1.016949)</f>
        <v>7.2991735973223148E-3</v>
      </c>
      <c r="D11872">
        <f>LOG10(3.266033)</f>
        <v>0.51402056853460487</v>
      </c>
    </row>
    <row r="11873" spans="1:4">
      <c r="A11873">
        <v>1.0276149999999999</v>
      </c>
      <c r="B11873">
        <v>3.3072010000000001</v>
      </c>
      <c r="C11873">
        <f>LOG10(1.027615)</f>
        <v>1.1830434996491435E-2</v>
      </c>
      <c r="D11873">
        <f>LOG10(3.307201)</f>
        <v>0.51946059060106986</v>
      </c>
    </row>
    <row r="11874" spans="1:4">
      <c r="A11874">
        <v>1.031566</v>
      </c>
      <c r="B11874">
        <v>3.294076</v>
      </c>
      <c r="C11874">
        <f>LOG10(1.031566)</f>
        <v>1.3497019530534482E-2</v>
      </c>
      <c r="D11874">
        <f>LOG10(3.294076)</f>
        <v>0.51773361487012437</v>
      </c>
    </row>
    <row r="11875" spans="1:4">
      <c r="A11875">
        <v>1.0186440000000001</v>
      </c>
      <c r="B11875">
        <v>3.2330860000000001</v>
      </c>
      <c r="C11875">
        <f>LOG10(1.018644)</f>
        <v>8.0224314558036049E-3</v>
      </c>
      <c r="D11875">
        <f>LOG10(3.233086)</f>
        <v>0.50961725698665472</v>
      </c>
    </row>
    <row r="11876" spans="1:4">
      <c r="A11876">
        <v>1.0219510000000001</v>
      </c>
      <c r="B11876">
        <v>3.218172</v>
      </c>
      <c r="C11876">
        <f>LOG10(1.021951)</f>
        <v>9.4300729613389089E-3</v>
      </c>
      <c r="D11876">
        <f>LOG10(3.218172)</f>
        <v>0.50760925189932571</v>
      </c>
    </row>
    <row r="11877" spans="1:4">
      <c r="A11877">
        <v>1.0184759999999999</v>
      </c>
      <c r="B11877">
        <v>2.6636890000000002</v>
      </c>
      <c r="C11877">
        <f>LOG10(1.018476)</f>
        <v>7.9507994722923456E-3</v>
      </c>
      <c r="D11877">
        <f>LOG10(2.663689)</f>
        <v>0.42548351724436662</v>
      </c>
    </row>
    <row r="11878" spans="1:4">
      <c r="A11878">
        <v>1.016575</v>
      </c>
      <c r="B11878">
        <v>3.0367220000000001</v>
      </c>
      <c r="C11878">
        <f>LOG10(1.016575)</f>
        <v>7.1394251625231768E-3</v>
      </c>
      <c r="D11878">
        <f>LOG10(3.036722)</f>
        <v>0.48240503577991928</v>
      </c>
    </row>
    <row r="11879" spans="1:4">
      <c r="A11879">
        <v>1.0137989999999999</v>
      </c>
      <c r="B11879">
        <v>3.1854079999999998</v>
      </c>
      <c r="C11879">
        <f>LOG10(1.013799)</f>
        <v>5.9518585043723659E-3</v>
      </c>
      <c r="D11879">
        <f>LOG10(3.185408)</f>
        <v>0.50316506643601189</v>
      </c>
    </row>
    <row r="11880" spans="1:4">
      <c r="A11880">
        <v>1.0091779999999999</v>
      </c>
      <c r="B11880">
        <v>3.1776740000000001</v>
      </c>
      <c r="C11880">
        <f>LOG10(1.009178)</f>
        <v>3.9677743636259933E-3</v>
      </c>
      <c r="D11880">
        <f>LOG10(3.177674)</f>
        <v>0.50210934055441547</v>
      </c>
    </row>
    <row r="11881" spans="1:4">
      <c r="A11881">
        <v>1.011396</v>
      </c>
      <c r="B11881">
        <v>3.1482809999999999</v>
      </c>
      <c r="C11881">
        <f>LOG10(1.011396)</f>
        <v>4.9212316958110146E-3</v>
      </c>
      <c r="D11881">
        <f>LOG10(3.148281)</f>
        <v>0.49807348839574811</v>
      </c>
    </row>
    <row r="11882" spans="1:4">
      <c r="A11882">
        <v>1.008499</v>
      </c>
      <c r="B11882">
        <v>3.3723640000000001</v>
      </c>
      <c r="C11882">
        <f>LOG10(1.008499)</f>
        <v>3.675471914478633E-3</v>
      </c>
      <c r="D11882">
        <f>LOG10(3.372364)</f>
        <v>0.52793444455877236</v>
      </c>
    </row>
    <row r="11883" spans="1:4">
      <c r="A11883">
        <v>1.012289</v>
      </c>
      <c r="B11883">
        <v>3.4775510000000001</v>
      </c>
      <c r="C11883">
        <f>LOG10(1.012289)</f>
        <v>5.3045176296519295E-3</v>
      </c>
      <c r="D11883">
        <f>LOG10(3.477551)</f>
        <v>0.54127350785349115</v>
      </c>
    </row>
    <row r="11884" spans="1:4">
      <c r="A11884">
        <v>1.0086219999999999</v>
      </c>
      <c r="B11884">
        <v>3.1361439999999998</v>
      </c>
      <c r="C11884">
        <f>LOG10(1.008622)</f>
        <v>3.7284367305112395E-3</v>
      </c>
      <c r="D11884">
        <f>LOG10(3.136144)</f>
        <v>0.49639599564811743</v>
      </c>
    </row>
    <row r="11885" spans="1:4">
      <c r="A11885">
        <v>1.0321640000000001</v>
      </c>
      <c r="B11885">
        <v>3.2501250000000002</v>
      </c>
      <c r="C11885">
        <f>LOG10(1.032164)</f>
        <v>1.3748707597720554E-2</v>
      </c>
      <c r="D11885">
        <f>LOG10(3.250125)</f>
        <v>0.51190006429157831</v>
      </c>
    </row>
    <row r="11886" spans="1:4">
      <c r="A11886">
        <v>1.0088170000000001</v>
      </c>
      <c r="B11886">
        <v>3.4097140000000001</v>
      </c>
      <c r="C11886">
        <f>LOG10(1.008817)</f>
        <v>3.8123921058509061E-3</v>
      </c>
      <c r="D11886">
        <f>LOG10(3.409714)</f>
        <v>0.53271795276644274</v>
      </c>
    </row>
    <row r="11887" spans="1:4">
      <c r="A11887">
        <v>1.0043219999999999</v>
      </c>
      <c r="B11887">
        <v>3.463959</v>
      </c>
      <c r="C11887">
        <f>LOG10(1.004322)</f>
        <v>1.8729761585740696E-3</v>
      </c>
      <c r="D11887">
        <f>LOG10(3.463959)</f>
        <v>0.53957274299336466</v>
      </c>
    </row>
    <row r="11888" spans="1:4">
      <c r="A11888">
        <v>1.0076270000000001</v>
      </c>
      <c r="B11888">
        <v>3.3941020000000002</v>
      </c>
      <c r="C11888">
        <f>LOG10(1.007627)</f>
        <v>3.2997961761229498E-3</v>
      </c>
      <c r="D11888">
        <f>LOG10(3.394102)</f>
        <v>0.5307248896527007</v>
      </c>
    </row>
    <row r="11889" spans="1:4">
      <c r="A11889">
        <v>1.0157510000000001</v>
      </c>
      <c r="B11889">
        <v>3.3836170000000001</v>
      </c>
      <c r="C11889">
        <f>LOG10(1.015751)</f>
        <v>6.7872585586443044E-3</v>
      </c>
      <c r="D11889">
        <f>LOG10(3.383617)</f>
        <v>0.52938119827947494</v>
      </c>
    </row>
    <row r="11890" spans="1:4">
      <c r="A11890">
        <v>1.0145109999999999</v>
      </c>
      <c r="B11890">
        <v>3.318981</v>
      </c>
      <c r="C11890">
        <f>LOG10(1.014511)</f>
        <v>6.2567603032256313E-3</v>
      </c>
      <c r="D11890">
        <f>LOG10(3.318981)</f>
        <v>0.52100476623241387</v>
      </c>
    </row>
    <row r="11891" spans="1:4">
      <c r="A11891">
        <v>1.012721</v>
      </c>
      <c r="B11891">
        <v>3.3758050000000002</v>
      </c>
      <c r="C11891">
        <f>LOG10(1.012721)</f>
        <v>5.4898156963561571E-3</v>
      </c>
      <c r="D11891">
        <f>LOG10(3.375805)</f>
        <v>0.52837735209169023</v>
      </c>
    </row>
    <row r="11892" spans="1:4">
      <c r="A11892">
        <v>1.0310710000000001</v>
      </c>
      <c r="B11892">
        <v>3.377497</v>
      </c>
      <c r="C11892">
        <f>LOG10(1.031071)</f>
        <v>1.3288572021186924E-2</v>
      </c>
      <c r="D11892">
        <f>LOG10(3.377497)</f>
        <v>0.52859497194010097</v>
      </c>
    </row>
    <row r="11893" spans="1:4">
      <c r="A11893">
        <v>1.0716950000000001</v>
      </c>
      <c r="B11893">
        <v>3.3587829999999999</v>
      </c>
      <c r="C11893">
        <f>LOG10(1.071695)</f>
        <v>3.0071204513511616E-2</v>
      </c>
      <c r="D11893">
        <f>LOG10(3.358783)</f>
        <v>0.52618194639991422</v>
      </c>
    </row>
    <row r="11894" spans="1:4">
      <c r="A11894">
        <v>1.0418069999999999</v>
      </c>
      <c r="B11894">
        <v>3.5347040000000001</v>
      </c>
      <c r="C11894">
        <f>LOG10(1.041807)</f>
        <v>1.7787271172278331E-2</v>
      </c>
      <c r="D11894">
        <f>LOG10(3.534704)</f>
        <v>0.54835305135809465</v>
      </c>
    </row>
    <row r="11895" spans="1:4">
      <c r="A11895">
        <v>1.0194540000000001</v>
      </c>
      <c r="B11895">
        <v>3.2842410000000002</v>
      </c>
      <c r="C11895">
        <f>LOG10(1.019454)</f>
        <v>8.3676342368894773E-3</v>
      </c>
      <c r="D11895">
        <f>LOG10(3.284241)</f>
        <v>0.51643501846258244</v>
      </c>
    </row>
    <row r="11896" spans="1:4">
      <c r="A11896">
        <v>1.0157940000000001</v>
      </c>
      <c r="B11896">
        <v>3.4457740000000001</v>
      </c>
      <c r="C11896">
        <f>LOG10(1.015794)</f>
        <v>6.8056432488427842E-3</v>
      </c>
      <c r="D11896">
        <f>LOG10(3.445774)</f>
        <v>0.53728678971921551</v>
      </c>
    </row>
    <row r="11897" spans="1:4">
      <c r="A11897">
        <v>1.017209</v>
      </c>
      <c r="B11897">
        <v>3.4221330000000001</v>
      </c>
      <c r="C11897">
        <f>LOG10(1.017209)</f>
        <v>7.4101940450060511E-3</v>
      </c>
      <c r="D11897">
        <f>LOG10(3.422133)</f>
        <v>0.53429688423595378</v>
      </c>
    </row>
    <row r="11898" spans="1:4">
      <c r="A11898">
        <v>1.018742</v>
      </c>
      <c r="B11898">
        <v>3.4133230000000001</v>
      </c>
      <c r="C11898">
        <f>LOG10(1.018742)</f>
        <v>8.0642113239869657E-3</v>
      </c>
      <c r="D11898">
        <f>LOG10(3.413323)</f>
        <v>0.53317738715947394</v>
      </c>
    </row>
    <row r="11899" spans="1:4">
      <c r="A11899">
        <v>1.0092140000000001</v>
      </c>
      <c r="B11899">
        <v>3.4299529999999998</v>
      </c>
      <c r="C11899">
        <f>LOG10(1.009214)</f>
        <v>3.983266499296605E-3</v>
      </c>
      <c r="D11899">
        <f>LOG10(3.429953)</f>
        <v>0.53528816902804788</v>
      </c>
    </row>
    <row r="11900" spans="1:4">
      <c r="A11900">
        <v>1.017857</v>
      </c>
      <c r="B11900">
        <v>3.5459309999999999</v>
      </c>
      <c r="C11900">
        <f>LOG10(1.017857)</f>
        <v>7.6867677126752146E-3</v>
      </c>
      <c r="D11900">
        <f>LOG10(3.545931)</f>
        <v>0.54973028044402883</v>
      </c>
    </row>
    <row r="11901" spans="1:4">
      <c r="A11901">
        <v>1.009512</v>
      </c>
      <c r="B11901">
        <v>3.6345670000000001</v>
      </c>
      <c r="C11901">
        <f>LOG10(1.009512)</f>
        <v>4.1114857391015046E-3</v>
      </c>
      <c r="D11901">
        <f>LOG10(3.634567)</f>
        <v>0.56045267909828866</v>
      </c>
    </row>
    <row r="11902" spans="1:4">
      <c r="A11902">
        <v>1.0078370000000001</v>
      </c>
      <c r="B11902">
        <v>3.0295619999999999</v>
      </c>
      <c r="C11902">
        <f>LOG10(1.007837)</f>
        <v>3.3902982555743763E-3</v>
      </c>
      <c r="D11902">
        <f>LOG10(3.029562)</f>
        <v>0.48137984476202644</v>
      </c>
    </row>
    <row r="11903" spans="1:4">
      <c r="A11903">
        <v>1.0100260000000001</v>
      </c>
      <c r="B11903">
        <v>3.0809950000000002</v>
      </c>
      <c r="C11903">
        <f>LOG10(1.010026)</f>
        <v>4.332553496695906E-3</v>
      </c>
      <c r="D11903">
        <f>LOG10(3.080995)</f>
        <v>0.4886909935216886</v>
      </c>
    </row>
    <row r="11904" spans="1:4">
      <c r="A11904">
        <v>1.0170699999999999</v>
      </c>
      <c r="B11904">
        <v>3.0857220000000001</v>
      </c>
      <c r="C11904">
        <f>LOG10(1.01707)</f>
        <v>7.3508443362605468E-3</v>
      </c>
      <c r="D11904">
        <f>LOG10(3.085722)</f>
        <v>0.48935679687152167</v>
      </c>
    </row>
    <row r="11905" spans="1:4">
      <c r="A11905">
        <v>1.011385</v>
      </c>
      <c r="B11905">
        <v>3.3126709999999999</v>
      </c>
      <c r="C11905">
        <f>LOG10(1.011385)</f>
        <v>4.9165082588190955E-3</v>
      </c>
      <c r="D11905">
        <f>LOG10(3.312671)</f>
        <v>0.52017830579455793</v>
      </c>
    </row>
    <row r="11906" spans="1:4">
      <c r="A11906">
        <v>1.0109319999999999</v>
      </c>
      <c r="B11906">
        <v>3.407273</v>
      </c>
      <c r="C11906">
        <f>LOG10(1.010932)</f>
        <v>4.7219439016063852E-3</v>
      </c>
      <c r="D11906">
        <f>LOG10(3.407273)</f>
        <v>0.53240693181961252</v>
      </c>
    </row>
    <row r="11907" spans="1:4">
      <c r="A11907">
        <v>1.013941</v>
      </c>
      <c r="B11907">
        <v>3.378053</v>
      </c>
      <c r="C11907">
        <f>LOG10(1.013941)</f>
        <v>6.0126846620958511E-3</v>
      </c>
      <c r="D11907">
        <f>LOG10(3.378053)</f>
        <v>0.52866645915653288</v>
      </c>
    </row>
    <row r="11908" spans="1:4">
      <c r="A11908">
        <v>1.006726</v>
      </c>
      <c r="B11908">
        <v>3.2271930000000002</v>
      </c>
      <c r="C11908">
        <f>LOG10(1.006726)</f>
        <v>2.9112849724854646E-3</v>
      </c>
      <c r="D11908">
        <f>LOG10(3.227193)</f>
        <v>0.5088249388555921</v>
      </c>
    </row>
    <row r="11909" spans="1:4">
      <c r="A11909">
        <v>1.007911</v>
      </c>
      <c r="B11909">
        <v>3.24891</v>
      </c>
      <c r="C11909">
        <f>LOG10(1.007911)</f>
        <v>3.4221849712503813E-3</v>
      </c>
      <c r="D11909">
        <f>LOG10(3.24891)</f>
        <v>0.51173768086029658</v>
      </c>
    </row>
    <row r="11910" spans="1:4">
      <c r="A11910">
        <v>1.0176719999999999</v>
      </c>
      <c r="B11910">
        <v>3.1865559999999999</v>
      </c>
      <c r="C11910">
        <f>LOG10(1.017672)</f>
        <v>7.6078256004543958E-3</v>
      </c>
      <c r="D11910">
        <f>LOG10(3.186556)</f>
        <v>0.50332155510123955</v>
      </c>
    </row>
    <row r="11911" spans="1:4">
      <c r="A11911">
        <v>1.0060210000000001</v>
      </c>
      <c r="B11911">
        <v>3.325914</v>
      </c>
      <c r="C11911">
        <f>LOG10(1.006021)</f>
        <v>2.6070464146705483E-3</v>
      </c>
      <c r="D11911">
        <f>LOG10(3.325914)</f>
        <v>0.52191101523577932</v>
      </c>
    </row>
    <row r="11912" spans="1:4">
      <c r="A11912">
        <v>1.004955</v>
      </c>
      <c r="B11912">
        <v>3.2401209999999998</v>
      </c>
      <c r="C11912">
        <f>LOG10(1.004955)</f>
        <v>2.146615299558249E-3</v>
      </c>
      <c r="D11912">
        <f>LOG10(3.240121)</f>
        <v>0.51056122892608247</v>
      </c>
    </row>
    <row r="11913" spans="1:4">
      <c r="A11913">
        <v>1.0175890000000001</v>
      </c>
      <c r="B11913">
        <v>3.1894580000000001</v>
      </c>
      <c r="C11913">
        <f>LOG10(1.017589)</f>
        <v>7.5724036648718044E-3</v>
      </c>
      <c r="D11913">
        <f>LOG10(3.189458)</f>
        <v>0.50371688756867483</v>
      </c>
    </row>
    <row r="11914" spans="1:4">
      <c r="A11914">
        <v>1.0184789999999999</v>
      </c>
      <c r="B11914">
        <v>3.1376979999999999</v>
      </c>
      <c r="C11914">
        <f>LOG10(1.018479)</f>
        <v>7.9520787184668568E-3</v>
      </c>
      <c r="D11914">
        <f>LOG10(3.137698)</f>
        <v>0.49661114089362407</v>
      </c>
    </row>
    <row r="11915" spans="1:4">
      <c r="A11915">
        <v>1.0105310000000001</v>
      </c>
      <c r="B11915">
        <v>3.1744110000000001</v>
      </c>
      <c r="C11915">
        <f>LOG10(1.010531)</f>
        <v>4.5496408819344844E-3</v>
      </c>
      <c r="D11915">
        <f>LOG10(3.174411)</f>
        <v>0.5016631553981723</v>
      </c>
    </row>
    <row r="11916" spans="1:4">
      <c r="A11916">
        <v>1.008264</v>
      </c>
      <c r="B11916">
        <v>3.1932960000000001</v>
      </c>
      <c r="C11916">
        <f>LOG10(1.008264)</f>
        <v>3.5742610099656416E-3</v>
      </c>
      <c r="D11916">
        <f>LOG10(3.193296)</f>
        <v>0.50423917698244081</v>
      </c>
    </row>
    <row r="11917" spans="1:4">
      <c r="A11917">
        <v>1.0092540000000001</v>
      </c>
      <c r="B11917">
        <v>3.1236269999999999</v>
      </c>
      <c r="C11917">
        <f>LOG10(1.009254)</f>
        <v>4.0004793352478524E-3</v>
      </c>
      <c r="D11917">
        <f>LOG10(3.123627)</f>
        <v>0.4946591681267456</v>
      </c>
    </row>
    <row r="11918" spans="1:4">
      <c r="A11918">
        <v>1.0059629999999999</v>
      </c>
      <c r="B11918">
        <v>3.0112830000000002</v>
      </c>
      <c r="C11918">
        <f>LOG10(1.005963)</f>
        <v>2.5820073686767279E-3</v>
      </c>
      <c r="D11918">
        <f>LOG10(3.011283)</f>
        <v>0.47875157237190363</v>
      </c>
    </row>
    <row r="11919" spans="1:4">
      <c r="A11919">
        <v>1.017126</v>
      </c>
      <c r="B11919">
        <v>3.1482260000000002</v>
      </c>
      <c r="C11919">
        <f>LOG10(1.017126)</f>
        <v>7.3747559858683039E-3</v>
      </c>
      <c r="D11919">
        <f>LOG10(3.148226)</f>
        <v>0.49806590126958272</v>
      </c>
    </row>
    <row r="11920" spans="1:4">
      <c r="A11920">
        <v>1.009004</v>
      </c>
      <c r="B11920">
        <v>3.297812</v>
      </c>
      <c r="C11920">
        <f>LOG10(1.009004)</f>
        <v>3.8928879162804541E-3</v>
      </c>
      <c r="D11920">
        <f>LOG10(3.297812)</f>
        <v>0.51822589397380947</v>
      </c>
    </row>
    <row r="11921" spans="1:4">
      <c r="A11921">
        <v>1.0085949999999999</v>
      </c>
      <c r="B11921">
        <v>3.4010590000000001</v>
      </c>
      <c r="C11921">
        <f>LOG10(1.008595)</f>
        <v>3.7168108607985731E-3</v>
      </c>
      <c r="D11921">
        <f>LOG10(3.401059)</f>
        <v>0.53161416593806754</v>
      </c>
    </row>
    <row r="11922" spans="1:4">
      <c r="A11922">
        <v>1.004318</v>
      </c>
      <c r="B11922">
        <v>3.2408070000000002</v>
      </c>
      <c r="C11922">
        <f>LOG10(1.004318)</f>
        <v>1.8712464529746901E-3</v>
      </c>
      <c r="D11922">
        <f>LOG10(3.240807)</f>
        <v>0.51065316823344664</v>
      </c>
    </row>
    <row r="11923" spans="1:4">
      <c r="A11923">
        <v>1.0108839999999999</v>
      </c>
      <c r="B11923">
        <v>3.3038400000000001</v>
      </c>
      <c r="C11923">
        <f>LOG10(1.010884)</f>
        <v>4.7013227025108255E-3</v>
      </c>
      <c r="D11923">
        <f>LOG10(3.30384)</f>
        <v>0.51901900692932057</v>
      </c>
    </row>
    <row r="11924" spans="1:4">
      <c r="A11924">
        <v>1.0086809999999999</v>
      </c>
      <c r="B11924">
        <v>3.1055389999999998</v>
      </c>
      <c r="C11924">
        <f>LOG10(1.008681)</f>
        <v>3.7538403257466714E-3</v>
      </c>
      <c r="D11924">
        <f>LOG10(3.105539)</f>
        <v>0.49213698757559354</v>
      </c>
    </row>
    <row r="11925" spans="1:4">
      <c r="A11925">
        <v>1.0111319999999999</v>
      </c>
      <c r="B11925">
        <v>3.21644</v>
      </c>
      <c r="C11925">
        <f>LOG10(1.011132)</f>
        <v>4.8078550267378218E-3</v>
      </c>
      <c r="D11925">
        <f>LOG10(3.21644)</f>
        <v>0.50737545441135823</v>
      </c>
    </row>
    <row r="11926" spans="1:4">
      <c r="A11926">
        <v>1.0071870000000001</v>
      </c>
      <c r="B11926">
        <v>3.1916340000000001</v>
      </c>
      <c r="C11926">
        <f>LOG10(1.007187)</f>
        <v>3.1101115947420651E-3</v>
      </c>
      <c r="D11926">
        <f>LOG10(3.191634)</f>
        <v>0.50401308289989788</v>
      </c>
    </row>
    <row r="11927" spans="1:4">
      <c r="A11927">
        <v>1.015722</v>
      </c>
      <c r="B11927">
        <v>3.2476479999999999</v>
      </c>
      <c r="C11927">
        <f>LOG10(1.015722)</f>
        <v>6.7748591420868859E-3</v>
      </c>
      <c r="D11927">
        <f>LOG10(3.247648)</f>
        <v>0.51156895162150395</v>
      </c>
    </row>
    <row r="11928" spans="1:4">
      <c r="A11928">
        <v>1.019641</v>
      </c>
      <c r="B11928">
        <v>3.3822670000000001</v>
      </c>
      <c r="C11928">
        <f>LOG10(1.019641)</f>
        <v>8.4472902297133088E-3</v>
      </c>
      <c r="D11928">
        <f>LOG10(3.382267)</f>
        <v>0.52920788831484944</v>
      </c>
    </row>
    <row r="11929" spans="1:4">
      <c r="A11929">
        <v>1.018745</v>
      </c>
      <c r="B11929">
        <v>3.2830140000000001</v>
      </c>
      <c r="C11929">
        <f>LOG10(1.018745)</f>
        <v>8.0654902361426764E-3</v>
      </c>
      <c r="D11929">
        <f>LOG10(3.283014)</f>
        <v>0.51627273472744628</v>
      </c>
    </row>
    <row r="11930" spans="1:4">
      <c r="A11930">
        <v>1.0179830000000001</v>
      </c>
      <c r="B11930">
        <v>3.3578030000000001</v>
      </c>
      <c r="C11930">
        <f>LOG10(1.017983)</f>
        <v>7.7405254783048417E-3</v>
      </c>
      <c r="D11930">
        <f>LOG10(3.357803)</f>
        <v>0.52605521278992695</v>
      </c>
    </row>
    <row r="11931" spans="1:4">
      <c r="A11931">
        <v>1.010418</v>
      </c>
      <c r="B11931">
        <v>3.5315349999999999</v>
      </c>
      <c r="C11931">
        <f>LOG10(1.010418)</f>
        <v>4.5010743159239388E-3</v>
      </c>
      <c r="D11931">
        <f>LOG10(3.531535)</f>
        <v>0.54796351477281369</v>
      </c>
    </row>
    <row r="11932" spans="1:4">
      <c r="A11932">
        <v>1.0160260000000001</v>
      </c>
      <c r="B11932">
        <v>3.550827</v>
      </c>
      <c r="C11932">
        <f>LOG10(1.016026)</f>
        <v>6.9048216408651485E-3</v>
      </c>
      <c r="D11932">
        <f>LOG10(3.550827)</f>
        <v>0.55032951353630499</v>
      </c>
    </row>
    <row r="11933" spans="1:4">
      <c r="A11933">
        <v>1.0107060000000001</v>
      </c>
      <c r="B11933">
        <v>3.5638040000000002</v>
      </c>
      <c r="C11933">
        <f>LOG10(1.010706)</f>
        <v>4.624843873491628E-3</v>
      </c>
      <c r="D11933">
        <f>LOG10(3.563804)</f>
        <v>0.55191381094869041</v>
      </c>
    </row>
    <row r="11934" spans="1:4">
      <c r="A11934">
        <v>1.0087159999999999</v>
      </c>
      <c r="B11934">
        <v>3.5466579999999999</v>
      </c>
      <c r="C11934">
        <f>LOG10(1.008716)</f>
        <v>3.7689095529420545E-3</v>
      </c>
      <c r="D11934">
        <f>LOG10(3.546658)</f>
        <v>0.54981931199215583</v>
      </c>
    </row>
    <row r="11935" spans="1:4">
      <c r="A11935">
        <v>1.0127550000000001</v>
      </c>
      <c r="B11935">
        <v>3.4346220000000001</v>
      </c>
      <c r="C11935">
        <f>LOG10(1.012755)</f>
        <v>5.5043959850252268E-3</v>
      </c>
      <c r="D11935">
        <f>LOG10(3.434622)</f>
        <v>0.53587894740797426</v>
      </c>
    </row>
    <row r="11936" spans="1:4">
      <c r="A11936">
        <v>1.013307</v>
      </c>
      <c r="B11936">
        <v>3.4304570000000001</v>
      </c>
      <c r="C11936">
        <f>LOG10(1.013307)</f>
        <v>5.7410428003173411E-3</v>
      </c>
      <c r="D11936">
        <f>LOG10(3.430457)</f>
        <v>0.53535197991377426</v>
      </c>
    </row>
    <row r="11937" spans="1:4">
      <c r="A11937">
        <v>1.014543</v>
      </c>
      <c r="B11937">
        <v>3.6074980000000001</v>
      </c>
      <c r="C11937">
        <f>LOG10(1.014543)</f>
        <v>6.2704587296076491E-3</v>
      </c>
      <c r="D11937">
        <f>LOG10(3.607498)</f>
        <v>0.55720609899236351</v>
      </c>
    </row>
    <row r="11938" spans="1:4">
      <c r="A11938">
        <v>1.0156510000000001</v>
      </c>
      <c r="B11938">
        <v>3.439346</v>
      </c>
      <c r="C11938">
        <f>LOG10(1.015651)</f>
        <v>6.7445004553979733E-3</v>
      </c>
      <c r="D11938">
        <f>LOG10(3.439346)</f>
        <v>0.53647586827100202</v>
      </c>
    </row>
    <row r="11939" spans="1:4">
      <c r="A11939">
        <v>1.013385</v>
      </c>
      <c r="B11939">
        <v>3.4007139999999998</v>
      </c>
      <c r="C11939">
        <f>LOG10(1.013385)</f>
        <v>5.7744716287778958E-3</v>
      </c>
      <c r="D11939">
        <f>LOG10(3.400714)</f>
        <v>0.53157010930860193</v>
      </c>
    </row>
    <row r="11940" spans="1:4">
      <c r="A11940">
        <v>1.013523</v>
      </c>
      <c r="B11940">
        <v>3.4423720000000002</v>
      </c>
      <c r="C11940">
        <f>LOG10(1.013523)</f>
        <v>5.8336086380503848E-3</v>
      </c>
      <c r="D11940">
        <f>LOG10(3.442372)</f>
        <v>0.53685780056957566</v>
      </c>
    </row>
    <row r="11941" spans="1:4">
      <c r="A11941">
        <v>1.016629</v>
      </c>
      <c r="B11941">
        <v>3.3861680000000001</v>
      </c>
      <c r="C11941">
        <f>LOG10(1.016629)</f>
        <v>7.1624940744752378E-3</v>
      </c>
      <c r="D11941">
        <f>LOG10(3.386168)</f>
        <v>0.52970850122211577</v>
      </c>
    </row>
    <row r="11942" spans="1:4">
      <c r="A11942">
        <v>1.018742</v>
      </c>
      <c r="B11942">
        <v>3.3995829999999998</v>
      </c>
      <c r="C11942">
        <f>LOG10(1.018742)</f>
        <v>8.0642113239869657E-3</v>
      </c>
      <c r="D11942">
        <f>LOG10(3.399583)</f>
        <v>0.5314256488347251</v>
      </c>
    </row>
    <row r="11943" spans="1:4">
      <c r="A11943">
        <v>1.025428</v>
      </c>
      <c r="B11943">
        <v>3.4324240000000001</v>
      </c>
      <c r="C11943">
        <f>LOG10(1.025428)</f>
        <v>1.0905171968696782E-2</v>
      </c>
      <c r="D11943">
        <f>LOG10(3.432424)</f>
        <v>0.53560092995947528</v>
      </c>
    </row>
    <row r="11944" spans="1:4">
      <c r="A11944">
        <v>1.0238959999999999</v>
      </c>
      <c r="B11944">
        <v>3.455613</v>
      </c>
      <c r="C11944">
        <f>LOG10(1.023896)</f>
        <v>1.0255846366480883E-2</v>
      </c>
      <c r="D11944">
        <f>LOG10(3.455613)</f>
        <v>0.53852509914959923</v>
      </c>
    </row>
    <row r="11945" spans="1:4">
      <c r="A11945">
        <v>1.0303310000000001</v>
      </c>
      <c r="B11945">
        <v>3.59734</v>
      </c>
      <c r="C11945">
        <f>LOG10(1.030331)</f>
        <v>1.297676682218811E-2</v>
      </c>
      <c r="D11945">
        <f>LOG10(3.59734)</f>
        <v>0.55598148678866177</v>
      </c>
    </row>
    <row r="11946" spans="1:4">
      <c r="A11946">
        <v>1.0356320000000001</v>
      </c>
      <c r="B11946">
        <v>3.7474940000000001</v>
      </c>
      <c r="C11946">
        <f>LOG10(1.035632)</f>
        <v>1.5205461238221104E-2</v>
      </c>
      <c r="D11946">
        <f>LOG10(3.747494)</f>
        <v>0.57374094618503291</v>
      </c>
    </row>
    <row r="11947" spans="1:4">
      <c r="A11947">
        <v>1.0861590000000001</v>
      </c>
      <c r="B11947">
        <v>3.716364</v>
      </c>
      <c r="C11947">
        <f>LOG10(1.086159)</f>
        <v>3.5893405149830152E-2</v>
      </c>
      <c r="D11947">
        <f>LOG10(3.716364)</f>
        <v>0.57011824446299686</v>
      </c>
    </row>
    <row r="11948" spans="1:4">
      <c r="A11948">
        <v>1.0251330000000001</v>
      </c>
      <c r="B11948">
        <v>3.6006689999999999</v>
      </c>
      <c r="C11948">
        <f>LOG10(1.025133)</f>
        <v>1.0780214093222421E-2</v>
      </c>
      <c r="D11948">
        <f>LOG10(3.600669)</f>
        <v>0.55638319966046768</v>
      </c>
    </row>
    <row r="11949" spans="1:4">
      <c r="A11949">
        <v>1.0179370000000001</v>
      </c>
      <c r="B11949">
        <v>3.3401209999999999</v>
      </c>
      <c r="C11949">
        <f>LOG10(1.017937)</f>
        <v>7.7209003985660059E-3</v>
      </c>
      <c r="D11949">
        <f>LOG10(3.340121)</f>
        <v>0.52376219994942708</v>
      </c>
    </row>
    <row r="11950" spans="1:4">
      <c r="A11950">
        <v>1.0231589999999999</v>
      </c>
      <c r="B11950">
        <v>3.4781110000000002</v>
      </c>
      <c r="C11950">
        <f>LOG10(1.023159)</f>
        <v>9.9431287824470454E-3</v>
      </c>
      <c r="D11950">
        <f>LOG10(3.478111)</f>
        <v>0.54134343790770922</v>
      </c>
    </row>
    <row r="11951" spans="1:4">
      <c r="A11951">
        <v>1.022805</v>
      </c>
      <c r="B11951">
        <v>3.4195280000000001</v>
      </c>
      <c r="C11951">
        <f>LOG10(1.022805)</f>
        <v>9.7928424156019604E-3</v>
      </c>
      <c r="D11951">
        <f>LOG10(3.419528)</f>
        <v>0.53396616420173115</v>
      </c>
    </row>
    <row r="11952" spans="1:4">
      <c r="A11952">
        <v>1.028918</v>
      </c>
      <c r="B11952">
        <v>3.4928249999999998</v>
      </c>
      <c r="C11952">
        <f>LOG10(1.028918)</f>
        <v>1.2380764882413497E-2</v>
      </c>
      <c r="D11952">
        <f>LOG10(3.492825)</f>
        <v>0.54317682685200608</v>
      </c>
    </row>
    <row r="11953" spans="1:4">
      <c r="A11953">
        <v>1.029093</v>
      </c>
      <c r="B11953">
        <v>3.405961</v>
      </c>
      <c r="C11953">
        <f>LOG10(1.029093)</f>
        <v>1.2454624093580266E-2</v>
      </c>
      <c r="D11953">
        <f>LOG10(3.405961)</f>
        <v>0.53223967076053247</v>
      </c>
    </row>
    <row r="11954" spans="1:4">
      <c r="A11954">
        <v>1.024197</v>
      </c>
      <c r="B11954">
        <v>3.4306809999999999</v>
      </c>
      <c r="C11954">
        <f>LOG10(1.024197)</f>
        <v>1.0383499397856004E-2</v>
      </c>
      <c r="D11954">
        <f>LOG10(3.430681)</f>
        <v>0.53538033729821422</v>
      </c>
    </row>
    <row r="11955" spans="1:4">
      <c r="A11955">
        <v>1.0145500000000001</v>
      </c>
      <c r="B11955">
        <v>3.515838</v>
      </c>
      <c r="C11955">
        <f>LOG10(1.01455)</f>
        <v>6.2734552027839639E-3</v>
      </c>
      <c r="D11955">
        <f>LOG10(3.515838)</f>
        <v>0.54602885578542582</v>
      </c>
    </row>
    <row r="11956" spans="1:4">
      <c r="A11956">
        <v>1.01654</v>
      </c>
      <c r="B11956">
        <v>3.6301369999999999</v>
      </c>
      <c r="C11956">
        <f>LOG10(1.01654)</f>
        <v>7.1244724354338398E-3</v>
      </c>
      <c r="D11956">
        <f>LOG10(3.630137)</f>
        <v>0.55992301545519907</v>
      </c>
    </row>
    <row r="11957" spans="1:4">
      <c r="A11957">
        <v>1.0163720000000001</v>
      </c>
      <c r="B11957">
        <v>3.7112799999999999</v>
      </c>
      <c r="C11957">
        <f>LOG10(1.016372)</f>
        <v>7.0526921782207222E-3</v>
      </c>
      <c r="D11957">
        <f>LOG10(3.71128)</f>
        <v>0.56952372122230188</v>
      </c>
    </row>
    <row r="11958" spans="1:4">
      <c r="A11958">
        <v>1.022939</v>
      </c>
      <c r="B11958">
        <v>3.6523409999999998</v>
      </c>
      <c r="C11958">
        <f>LOG10(1.022939)</f>
        <v>9.8497365926429777E-3</v>
      </c>
      <c r="D11958">
        <f>LOG10(3.652341)</f>
        <v>0.56257131856234699</v>
      </c>
    </row>
    <row r="11959" spans="1:4">
      <c r="A11959">
        <v>1.0212110000000001</v>
      </c>
      <c r="B11959">
        <v>3.7280679999999999</v>
      </c>
      <c r="C11959">
        <f>LOG10(1.021211)</f>
        <v>9.1154841713546996E-3</v>
      </c>
      <c r="D11959">
        <f>LOG10(3.728068)</f>
        <v>0.5714838252901614</v>
      </c>
    </row>
    <row r="11960" spans="1:4">
      <c r="A11960">
        <v>1.0303089999999999</v>
      </c>
      <c r="B11960">
        <v>3.670102</v>
      </c>
      <c r="C11960">
        <f>LOG10(1.030309)</f>
        <v>1.2967493510399232E-2</v>
      </c>
      <c r="D11960">
        <f>LOG10(3.670102)</f>
        <v>0.56467813439420911</v>
      </c>
    </row>
    <row r="11961" spans="1:4">
      <c r="A11961">
        <v>1.031536</v>
      </c>
      <c r="B11961">
        <v>3.6318800000000002</v>
      </c>
      <c r="C11961">
        <f>LOG10(1.031536)</f>
        <v>1.3484389195768673E-2</v>
      </c>
      <c r="D11961">
        <f>LOG10(3.63188)</f>
        <v>0.5601314906753736</v>
      </c>
    </row>
    <row r="11962" spans="1:4">
      <c r="A11962">
        <v>1.022241</v>
      </c>
      <c r="B11962">
        <v>3.5353889999999999</v>
      </c>
      <c r="C11962">
        <f>LOG10(1.022241)</f>
        <v>9.553295633765781E-3</v>
      </c>
      <c r="D11962">
        <f>LOG10(3.535389)</f>
        <v>0.54843720632494863</v>
      </c>
    </row>
    <row r="11963" spans="1:4">
      <c r="A11963">
        <v>1.027415</v>
      </c>
      <c r="B11963">
        <v>3.4428399999999999</v>
      </c>
      <c r="C11963">
        <f>LOG10(1.027415)</f>
        <v>1.1745902024559277E-2</v>
      </c>
      <c r="D11963">
        <f>LOG10(3.44284)</f>
        <v>0.53691684009307727</v>
      </c>
    </row>
    <row r="11964" spans="1:4">
      <c r="A11964">
        <v>1.0439000000000001</v>
      </c>
      <c r="B11964">
        <v>3.5995439999999999</v>
      </c>
      <c r="C11964">
        <f>LOG10(1.0439)</f>
        <v>1.8658897585517732E-2</v>
      </c>
      <c r="D11964">
        <f>LOG10(3.599544)</f>
        <v>0.55624748664861179</v>
      </c>
    </row>
    <row r="11965" spans="1:4">
      <c r="A11965">
        <v>1.0408550000000001</v>
      </c>
      <c r="B11965">
        <v>3.5939040000000002</v>
      </c>
      <c r="C11965">
        <f>LOG10(1.040855)</f>
        <v>1.7390232790084673E-2</v>
      </c>
      <c r="D11965">
        <f>LOG10(3.593904)</f>
        <v>0.55556647209763577</v>
      </c>
    </row>
    <row r="11966" spans="1:4">
      <c r="A11966">
        <v>1.046807</v>
      </c>
      <c r="B11966">
        <v>3.5652680000000001</v>
      </c>
      <c r="C11966">
        <f>LOG10(1.046807)</f>
        <v>1.9866618105413934E-2</v>
      </c>
      <c r="D11966">
        <f>LOG10(3.565268)</f>
        <v>0.55209218118550207</v>
      </c>
    </row>
    <row r="11967" spans="1:4">
      <c r="A11967">
        <v>1.02433</v>
      </c>
      <c r="B11967">
        <v>3.520124</v>
      </c>
      <c r="C11967">
        <f>LOG10(1.02433)</f>
        <v>1.0439892275444892E-2</v>
      </c>
      <c r="D11967">
        <f>LOG10(3.520124)</f>
        <v>0.54655796221882413</v>
      </c>
    </row>
    <row r="11968" spans="1:4">
      <c r="A11968">
        <v>1.034375</v>
      </c>
      <c r="B11968">
        <v>3.5151340000000002</v>
      </c>
      <c r="C11968">
        <f>LOG10(1.034375)</f>
        <v>1.4678015455812781E-2</v>
      </c>
      <c r="D11968">
        <f>LOG10(3.515134)</f>
        <v>0.54594188535906607</v>
      </c>
    </row>
    <row r="11969" spans="1:4">
      <c r="A11969">
        <v>1.0266900000000001</v>
      </c>
      <c r="B11969">
        <v>3.5240260000000001</v>
      </c>
      <c r="C11969">
        <f>LOG10(1.02669)</f>
        <v>1.1439331997754902E-2</v>
      </c>
      <c r="D11969">
        <f>LOG10(3.524026)</f>
        <v>0.54703910394400435</v>
      </c>
    </row>
    <row r="11970" spans="1:4">
      <c r="A11970">
        <v>1.033849</v>
      </c>
      <c r="B11970">
        <v>3.4033880000000001</v>
      </c>
      <c r="C11970">
        <f>LOG10(1.033849)</f>
        <v>1.4457112011692284E-2</v>
      </c>
      <c r="D11970">
        <f>LOG10(3.403388)</f>
        <v>0.53191146324609317</v>
      </c>
    </row>
    <row r="11971" spans="1:4">
      <c r="A11971">
        <v>1.029841</v>
      </c>
      <c r="B11971">
        <v>2.6986029999999999</v>
      </c>
      <c r="C11971">
        <f>LOG10(1.029841)</f>
        <v>1.2770177954709659E-2</v>
      </c>
      <c r="D11971">
        <f>LOG10(2.698603)</f>
        <v>0.43113899882441425</v>
      </c>
    </row>
    <row r="11972" spans="1:4">
      <c r="A11972">
        <v>1.012861</v>
      </c>
      <c r="B11972">
        <v>2.92936</v>
      </c>
      <c r="C11972">
        <f>LOG10(1.012861)</f>
        <v>5.5498490374534656E-3</v>
      </c>
      <c r="D11972">
        <f>LOG10(2.92936)</f>
        <v>0.46677274703363641</v>
      </c>
    </row>
    <row r="11973" spans="1:4">
      <c r="A11973">
        <v>1.011644</v>
      </c>
      <c r="B11973">
        <v>2.9119830000000002</v>
      </c>
      <c r="C11973">
        <f>LOG10(1.011644)</f>
        <v>5.0277100966844923E-3</v>
      </c>
      <c r="D11973">
        <f>LOG10(2.911983)</f>
        <v>0.46418883526059335</v>
      </c>
    </row>
    <row r="11974" spans="1:4">
      <c r="A11974">
        <v>1.0085109999999999</v>
      </c>
      <c r="B11974">
        <v>3.05871</v>
      </c>
      <c r="C11974">
        <f>LOG10(1.008511)</f>
        <v>3.6806394979639477E-3</v>
      </c>
      <c r="D11974">
        <f>LOG10(3.05871)</f>
        <v>0.48553830295065409</v>
      </c>
    </row>
    <row r="11975" spans="1:4">
      <c r="A11975">
        <v>1.0057020000000001</v>
      </c>
      <c r="B11975">
        <v>2.9720490000000002</v>
      </c>
      <c r="C11975">
        <f>LOG10(1.005702)</f>
        <v>2.4693137935410023E-3</v>
      </c>
      <c r="D11975">
        <f>LOG10(2.972049)</f>
        <v>0.47305596533557259</v>
      </c>
    </row>
    <row r="11976" spans="1:4">
      <c r="A11976">
        <v>1.014586</v>
      </c>
      <c r="B11976">
        <v>2.90137</v>
      </c>
      <c r="C11976">
        <f>LOG10(1.014586)</f>
        <v>6.2888653096965863E-3</v>
      </c>
      <c r="D11976">
        <f>LOG10(2.90137)</f>
        <v>0.46260311615594285</v>
      </c>
    </row>
    <row r="11977" spans="1:4">
      <c r="A11977">
        <v>1.012691</v>
      </c>
      <c r="B11977">
        <v>3.0897600000000001</v>
      </c>
      <c r="C11977">
        <f>LOG10(1.012691)</f>
        <v>5.4769503292525362E-3</v>
      </c>
      <c r="D11977">
        <f>LOG10(3.08976)</f>
        <v>0.48992474650455647</v>
      </c>
    </row>
    <row r="11978" spans="1:4">
      <c r="A11978">
        <v>1.0185310000000001</v>
      </c>
      <c r="B11978">
        <v>3.063199</v>
      </c>
      <c r="C11978">
        <f>LOG10(1.018531)</f>
        <v>7.9742517201349342E-3</v>
      </c>
      <c r="D11978">
        <f>LOG10(3.063199)</f>
        <v>0.4861752115615714</v>
      </c>
    </row>
    <row r="11979" spans="1:4">
      <c r="A11979">
        <v>1.0247120000000001</v>
      </c>
      <c r="B11979">
        <v>2.9662350000000002</v>
      </c>
      <c r="C11979">
        <f>LOG10(1.024712)</f>
        <v>1.0601822088507854E-2</v>
      </c>
      <c r="D11979">
        <f>LOG10(2.966235)</f>
        <v>0.47220555504041439</v>
      </c>
    </row>
    <row r="11980" spans="1:4">
      <c r="A11980">
        <v>1.0182020000000001</v>
      </c>
      <c r="B11980">
        <v>2.8897840000000001</v>
      </c>
      <c r="C11980">
        <f>LOG10(1.018202)</f>
        <v>7.8339457636949616E-3</v>
      </c>
      <c r="D11980">
        <f>LOG10(2.889784)</f>
        <v>0.4608653821635102</v>
      </c>
    </row>
    <row r="11981" spans="1:4">
      <c r="A11981">
        <v>1.0066999999999999</v>
      </c>
      <c r="B11981">
        <v>3.0384169999999999</v>
      </c>
      <c r="C11981">
        <f>LOG10(1.0067)</f>
        <v>2.9000686113873687E-3</v>
      </c>
      <c r="D11981">
        <f>LOG10(3.038417)</f>
        <v>0.48264737728549706</v>
      </c>
    </row>
    <row r="11982" spans="1:4">
      <c r="A11982">
        <v>1.016588</v>
      </c>
      <c r="B11982">
        <v>2.8492120000000001</v>
      </c>
      <c r="C11982">
        <f>LOG10(1.016588)</f>
        <v>7.1449789014657377E-3</v>
      </c>
      <c r="D11982">
        <f>LOG10(2.849212)</f>
        <v>0.45472476479046231</v>
      </c>
    </row>
    <row r="11983" spans="1:4">
      <c r="A11983">
        <v>1.0225200000000001</v>
      </c>
      <c r="B11983">
        <v>2.8414329999999999</v>
      </c>
      <c r="C11983">
        <f>LOG10(1.02252)</f>
        <v>9.671811353894463E-3</v>
      </c>
      <c r="D11983">
        <f>LOG10(2.841433)</f>
        <v>0.45353741998893427</v>
      </c>
    </row>
    <row r="11984" spans="1:4">
      <c r="A11984">
        <v>1.029674</v>
      </c>
      <c r="B11984">
        <v>2.7782209999999998</v>
      </c>
      <c r="C11984">
        <f>LOG10(1.029674)</f>
        <v>1.2699746636038211E-2</v>
      </c>
      <c r="D11984">
        <f>LOG10(2.778221)</f>
        <v>0.44376678973239614</v>
      </c>
    </row>
    <row r="11985" spans="1:4">
      <c r="A11985">
        <v>1.0289900000000001</v>
      </c>
      <c r="B11985">
        <v>2.8630339999999999</v>
      </c>
      <c r="C11985">
        <f>LOG10(1.02899)</f>
        <v>1.2411154193023908E-2</v>
      </c>
      <c r="D11985">
        <f>LOG10(2.863034)</f>
        <v>0.45682650552236959</v>
      </c>
    </row>
    <row r="11986" spans="1:4">
      <c r="A11986">
        <v>1.018105</v>
      </c>
      <c r="B11986">
        <v>3.0831909999999998</v>
      </c>
      <c r="C11986">
        <f>LOG10(1.018105)</f>
        <v>7.7925703082489172E-3</v>
      </c>
      <c r="D11986">
        <f>LOG10(3.083191)</f>
        <v>0.48900042958432727</v>
      </c>
    </row>
    <row r="11987" spans="1:4">
      <c r="A11987">
        <v>1.0067109999999999</v>
      </c>
      <c r="B11987">
        <v>3.0821459999999998</v>
      </c>
      <c r="C11987">
        <f>LOG10(1.006711)</f>
        <v>2.904814030281947E-3</v>
      </c>
      <c r="D11987">
        <f>LOG10(3.082146)</f>
        <v>0.48885320722229419</v>
      </c>
    </row>
    <row r="11988" spans="1:4">
      <c r="A11988">
        <v>1.0133719999999999</v>
      </c>
      <c r="B11988">
        <v>2.9143379999999999</v>
      </c>
      <c r="C11988">
        <f>LOG10(1.013372)</f>
        <v>5.7689003360527815E-3</v>
      </c>
      <c r="D11988">
        <f>LOG10(2.914338)</f>
        <v>0.46453991909568615</v>
      </c>
    </row>
    <row r="11989" spans="1:4">
      <c r="A11989">
        <v>1.0285340000000001</v>
      </c>
      <c r="B11989">
        <v>2.801723</v>
      </c>
      <c r="C11989">
        <f>LOG10(1.028534)</f>
        <v>1.2218652635821857E-2</v>
      </c>
      <c r="D11989">
        <f>LOG10(2.801723)</f>
        <v>0.4474251953615459</v>
      </c>
    </row>
    <row r="11990" spans="1:4">
      <c r="A11990">
        <v>1.0337479999999999</v>
      </c>
      <c r="B11990">
        <v>2.8505400000000001</v>
      </c>
      <c r="C11990">
        <f>LOG10(1.033748)</f>
        <v>1.4414682328628152E-2</v>
      </c>
      <c r="D11990">
        <f>LOG10(2.85054)</f>
        <v>0.4549271395893672</v>
      </c>
    </row>
    <row r="11991" spans="1:4">
      <c r="A11991">
        <v>1.008067</v>
      </c>
      <c r="B11991">
        <v>2.9096320000000002</v>
      </c>
      <c r="C11991">
        <f>LOG10(1.008067)</f>
        <v>3.4893979461064106E-3</v>
      </c>
      <c r="D11991">
        <f>LOG10(2.909632)</f>
        <v>0.46383806442382042</v>
      </c>
    </row>
    <row r="11992" spans="1:4">
      <c r="A11992">
        <v>1.007455</v>
      </c>
      <c r="B11992">
        <v>3.1719970000000002</v>
      </c>
      <c r="C11992">
        <f>LOG10(1.007455)</f>
        <v>3.2256566115108926E-3</v>
      </c>
      <c r="D11992">
        <f>LOG10(3.171997)</f>
        <v>0.50133276790027559</v>
      </c>
    </row>
    <row r="11993" spans="1:4">
      <c r="A11993">
        <v>1.0050829999999999</v>
      </c>
      <c r="B11993">
        <v>3.2347730000000001</v>
      </c>
      <c r="C11993">
        <f>LOG10(1.005083)</f>
        <v>2.2019273819753153E-3</v>
      </c>
      <c r="D11993">
        <f>LOG10(3.234773)</f>
        <v>0.50984380948496522</v>
      </c>
    </row>
    <row r="11994" spans="1:4">
      <c r="A11994">
        <v>1.022589</v>
      </c>
      <c r="B11994">
        <v>3.1246870000000002</v>
      </c>
      <c r="C11994">
        <f>LOG10(1.022589)</f>
        <v>9.7011167056020153E-3</v>
      </c>
      <c r="D11994">
        <f>LOG10(3.124687)</f>
        <v>0.49480652056621449</v>
      </c>
    </row>
    <row r="11995" spans="1:4">
      <c r="A11995">
        <v>1.0102500000000001</v>
      </c>
      <c r="B11995">
        <v>3.3189760000000001</v>
      </c>
      <c r="C11995">
        <f>LOG10(1.01025)</f>
        <v>4.4288591146856987E-3</v>
      </c>
      <c r="D11995">
        <f>LOG10(3.318976)</f>
        <v>0.52100411197315621</v>
      </c>
    </row>
    <row r="11996" spans="1:4">
      <c r="A11996">
        <v>1.011282</v>
      </c>
      <c r="B11996">
        <v>3.18892</v>
      </c>
      <c r="C11996">
        <f>LOG10(1.011282)</f>
        <v>4.8722772196270929E-3</v>
      </c>
      <c r="D11996">
        <f>LOG10(3.18892)</f>
        <v>0.50364362429333487</v>
      </c>
    </row>
    <row r="11997" spans="1:4">
      <c r="A11997">
        <v>1.010076</v>
      </c>
      <c r="B11997">
        <v>3.3272979999999999</v>
      </c>
      <c r="C11997">
        <f>LOG10(1.010076)</f>
        <v>4.354052137952185E-3</v>
      </c>
      <c r="D11997">
        <f>LOG10(3.327298)</f>
        <v>0.52209169896316499</v>
      </c>
    </row>
    <row r="11998" spans="1:4">
      <c r="A11998">
        <v>1.0082660000000001</v>
      </c>
      <c r="B11998">
        <v>3.1924610000000002</v>
      </c>
      <c r="C11998">
        <f>LOG10(1.008266)</f>
        <v>3.5751224788888231E-3</v>
      </c>
      <c r="D11998">
        <f>LOG10(3.192461)</f>
        <v>0.50412560050452093</v>
      </c>
    </row>
    <row r="11999" spans="1:4">
      <c r="A11999">
        <v>1.008154</v>
      </c>
      <c r="B11999">
        <v>3.2094939999999998</v>
      </c>
      <c r="C11999">
        <f>LOG10(1.008154)</f>
        <v>3.5268775874245108E-3</v>
      </c>
      <c r="D11999">
        <f>LOG10(3.209494)</f>
        <v>0.50643656812768822</v>
      </c>
    </row>
    <row r="12000" spans="1:4">
      <c r="A12000">
        <v>1.009741</v>
      </c>
      <c r="B12000">
        <v>3.1344569999999998</v>
      </c>
      <c r="C12000">
        <f>LOG10(1.009741)</f>
        <v>4.2099909158002449E-3</v>
      </c>
      <c r="D12000">
        <f>LOG10(3.134457)</f>
        <v>0.49616231635369346</v>
      </c>
    </row>
    <row r="12001" spans="1:4">
      <c r="A12001">
        <v>1.0043150000000001</v>
      </c>
      <c r="B12001">
        <v>3.3101080000000001</v>
      </c>
      <c r="C12001">
        <f>LOG10(1.004315)</f>
        <v>1.8699491692541698E-3</v>
      </c>
      <c r="D12001">
        <f>LOG10(3.310108)</f>
        <v>0.51984216387809468</v>
      </c>
    </row>
    <row r="12002" spans="1:4">
      <c r="A12002">
        <v>1.009595</v>
      </c>
      <c r="B12002">
        <v>3.197708</v>
      </c>
      <c r="C12002">
        <f>LOG10(1.009595)</f>
        <v>4.1471910702387824E-3</v>
      </c>
      <c r="D12002">
        <f>LOG10(3.197708)</f>
        <v>0.50483880344443266</v>
      </c>
    </row>
    <row r="12003" spans="1:4">
      <c r="A12003">
        <v>1.0043690000000001</v>
      </c>
      <c r="B12003">
        <v>3.1666669999999999</v>
      </c>
      <c r="C12003">
        <f>LOG10(1.004369)</f>
        <v>1.8932996833503886E-3</v>
      </c>
      <c r="D12003">
        <f>LOG10(3.166667)</f>
        <v>0.50060239628439152</v>
      </c>
    </row>
    <row r="12004" spans="1:4">
      <c r="A12004">
        <v>1.0177780000000001</v>
      </c>
      <c r="B12004">
        <v>3.0434809999999999</v>
      </c>
      <c r="C12004">
        <f>LOG10(1.017778)</f>
        <v>7.6530590526378752E-3</v>
      </c>
      <c r="D12004">
        <f>LOG10(3.043481)</f>
        <v>0.48337059486152179</v>
      </c>
    </row>
    <row r="12005" spans="1:4">
      <c r="A12005">
        <v>1.0131209999999999</v>
      </c>
      <c r="B12005">
        <v>3.1769240000000001</v>
      </c>
      <c r="C12005">
        <f>LOG10(1.013121)</f>
        <v>5.6613175163587074E-3</v>
      </c>
      <c r="D12005">
        <f>LOG10(3.176924)</f>
        <v>0.50200682553680465</v>
      </c>
    </row>
    <row r="12006" spans="1:4">
      <c r="A12006">
        <v>1.012753</v>
      </c>
      <c r="B12006">
        <v>3.136619</v>
      </c>
      <c r="C12006">
        <f>LOG10(1.012753)</f>
        <v>5.5035383345357382E-3</v>
      </c>
      <c r="D12006">
        <f>LOG10(3.136619)</f>
        <v>0.49646176885819993</v>
      </c>
    </row>
    <row r="12007" spans="1:4">
      <c r="A12007">
        <v>1.0083040000000001</v>
      </c>
      <c r="B12007">
        <v>2.9907379999999999</v>
      </c>
      <c r="C12007">
        <f>LOG10(1.008304)</f>
        <v>3.5914900637624148E-3</v>
      </c>
      <c r="D12007">
        <f>LOG10(2.990738)</f>
        <v>0.47577836885274283</v>
      </c>
    </row>
    <row r="12008" spans="1:4">
      <c r="A12008">
        <v>1.0061979999999999</v>
      </c>
      <c r="B12008">
        <v>3.2315550000000002</v>
      </c>
      <c r="C12008">
        <f>LOG10(1.006198)</f>
        <v>2.6834497519763571E-3</v>
      </c>
      <c r="D12008">
        <f>LOG10(3.231555)</f>
        <v>0.5094115518704001</v>
      </c>
    </row>
    <row r="12009" spans="1:4">
      <c r="A12009">
        <v>1.0172190000000001</v>
      </c>
      <c r="B12009">
        <v>3.3097729999999999</v>
      </c>
      <c r="C12009">
        <f>LOG10(1.017219)</f>
        <v>7.4144634955042709E-3</v>
      </c>
      <c r="D12009">
        <f>LOG10(3.309773)</f>
        <v>0.51979820881256944</v>
      </c>
    </row>
    <row r="12010" spans="1:4">
      <c r="A12010">
        <v>1.019922</v>
      </c>
      <c r="B12010">
        <v>3.36225</v>
      </c>
      <c r="C12010">
        <f>LOG10(1.019922)</f>
        <v>8.5669597375313683E-3</v>
      </c>
      <c r="D12010">
        <f>LOG10(3.36225)</f>
        <v>0.5266300022574919</v>
      </c>
    </row>
    <row r="12011" spans="1:4">
      <c r="A12011">
        <v>1.037264</v>
      </c>
      <c r="B12011">
        <v>3.3299669999999999</v>
      </c>
      <c r="C12011">
        <f>LOG10(1.037264)</f>
        <v>1.5889305233201131E-2</v>
      </c>
      <c r="D12011">
        <f>LOG10(3.329967)</f>
        <v>0.52243992966580444</v>
      </c>
    </row>
    <row r="12012" spans="1:4">
      <c r="A12012">
        <v>1.012032</v>
      </c>
      <c r="B12012">
        <v>3.2762540000000002</v>
      </c>
      <c r="C12012">
        <f>LOG10(1.012032)</f>
        <v>5.1942449185070341E-3</v>
      </c>
      <c r="D12012">
        <f>LOG10(3.276254)</f>
        <v>0.51537756418796243</v>
      </c>
    </row>
    <row r="12013" spans="1:4">
      <c r="A12013">
        <v>1.0144169999999999</v>
      </c>
      <c r="B12013">
        <v>3.3081339999999999</v>
      </c>
      <c r="C12013">
        <f>LOG10(1.014417)</f>
        <v>6.2165186767823748E-3</v>
      </c>
      <c r="D12013">
        <f>LOG10(3.308134)</f>
        <v>0.51958309286416082</v>
      </c>
    </row>
    <row r="12014" spans="1:4">
      <c r="A12014">
        <v>1.008095</v>
      </c>
      <c r="B12014">
        <v>3.272796</v>
      </c>
      <c r="C12014">
        <f>LOG10(1.008095)</f>
        <v>3.501460712386141E-3</v>
      </c>
      <c r="D12014">
        <f>LOG10(3.272796)</f>
        <v>0.51491893569742164</v>
      </c>
    </row>
    <row r="12015" spans="1:4">
      <c r="A12015">
        <v>1.0164070000000001</v>
      </c>
      <c r="B12015">
        <v>3.1787899999999998</v>
      </c>
      <c r="C12015">
        <f>LOG10(1.016407)</f>
        <v>7.0676473768607308E-3</v>
      </c>
      <c r="D12015">
        <f>LOG10(3.17879)</f>
        <v>0.50226183812123371</v>
      </c>
    </row>
    <row r="12016" spans="1:4">
      <c r="A12016">
        <v>1.005474</v>
      </c>
      <c r="B12016">
        <v>3.3512149999999998</v>
      </c>
      <c r="C12016">
        <f>LOG10(1.005474)</f>
        <v>2.3708448954453715E-3</v>
      </c>
      <c r="D12016">
        <f>LOG10(3.351215)</f>
        <v>0.5252022912546459</v>
      </c>
    </row>
    <row r="12017" spans="1:4">
      <c r="A12017">
        <v>1.009981</v>
      </c>
      <c r="B12017">
        <v>3.3077049999999999</v>
      </c>
      <c r="C12017">
        <f>LOG10(1.009981)</f>
        <v>4.3132038096018403E-3</v>
      </c>
      <c r="D12017">
        <f>LOG10(3.307705)</f>
        <v>0.5195267697483783</v>
      </c>
    </row>
    <row r="12018" spans="1:4">
      <c r="A12018">
        <v>1.0169490000000001</v>
      </c>
      <c r="B12018">
        <v>3.3590209999999998</v>
      </c>
      <c r="C12018">
        <f>LOG10(1.016949)</f>
        <v>7.2991735973223148E-3</v>
      </c>
      <c r="D12018">
        <f>LOG10(3.359021)</f>
        <v>0.5262127189817688</v>
      </c>
    </row>
    <row r="12019" spans="1:4">
      <c r="A12019">
        <v>1.0088349999999999</v>
      </c>
      <c r="B12019">
        <v>3.328576</v>
      </c>
      <c r="C12019">
        <f>LOG10(1.008835)</f>
        <v>3.820141014656192E-3</v>
      </c>
      <c r="D12019">
        <f>LOG10(3.328576)</f>
        <v>0.52225847746729337</v>
      </c>
    </row>
    <row r="12020" spans="1:4">
      <c r="A12020">
        <v>1.0379400000000001</v>
      </c>
      <c r="B12020">
        <v>3.2217389999999999</v>
      </c>
      <c r="C12020">
        <f>LOG10(1.03794)</f>
        <v>1.6172249059592227E-2</v>
      </c>
      <c r="D12020">
        <f>LOG10(3.221739)</f>
        <v>0.50809035437896233</v>
      </c>
    </row>
    <row r="12021" spans="1:4">
      <c r="A12021">
        <v>1.024697</v>
      </c>
      <c r="B12021">
        <v>3.3688950000000002</v>
      </c>
      <c r="C12021">
        <f>LOG10(1.024697)</f>
        <v>1.0595464726723351E-2</v>
      </c>
      <c r="D12021">
        <f>LOG10(3.368895)</f>
        <v>0.52748747532329132</v>
      </c>
    </row>
    <row r="12022" spans="1:4">
      <c r="A12022">
        <v>1.0266329999999999</v>
      </c>
      <c r="B12022">
        <v>3.4781469999999999</v>
      </c>
      <c r="C12022">
        <f>LOG10(1.026633)</f>
        <v>1.1415220072378397E-2</v>
      </c>
      <c r="D12022">
        <f>LOG10(3.478147)</f>
        <v>0.54134793302601802</v>
      </c>
    </row>
    <row r="12023" spans="1:4">
      <c r="A12023">
        <v>1.0208759999999999</v>
      </c>
      <c r="B12023">
        <v>3.4242249999999999</v>
      </c>
      <c r="C12023">
        <f>LOG10(1.020876)</f>
        <v>8.9729940103157324E-3</v>
      </c>
      <c r="D12023">
        <f>LOG10(3.424225)</f>
        <v>0.53456229369436015</v>
      </c>
    </row>
    <row r="12024" spans="1:4">
      <c r="A12024">
        <v>1.040144</v>
      </c>
      <c r="B12024">
        <v>3.2060029999999999</v>
      </c>
      <c r="C12024">
        <f>LOG10(1.040144)</f>
        <v>1.7093468218214732E-2</v>
      </c>
      <c r="D12024">
        <f>LOG10(3.206003)</f>
        <v>0.50596392440703308</v>
      </c>
    </row>
    <row r="12025" spans="1:4">
      <c r="A12025">
        <v>1.0237499999999999</v>
      </c>
      <c r="B12025">
        <v>3.1447859999999999</v>
      </c>
      <c r="C12025">
        <f>LOG10(1.02375)</f>
        <v>1.0193914768474862E-2</v>
      </c>
      <c r="D12025">
        <f>LOG10(3.144786)</f>
        <v>0.49759109741840507</v>
      </c>
    </row>
    <row r="12026" spans="1:4">
      <c r="A12026">
        <v>1.0218750000000001</v>
      </c>
      <c r="B12026">
        <v>3.7794560000000001</v>
      </c>
      <c r="C12026">
        <f>LOG10(1.021875)</f>
        <v>9.3977743403801349E-3</v>
      </c>
      <c r="D12026">
        <f>LOG10(3.779456)</f>
        <v>0.57742929369959772</v>
      </c>
    </row>
    <row r="12027" spans="1:4">
      <c r="A12027">
        <v>1.0309889999999999</v>
      </c>
      <c r="B12027">
        <v>3.3870749999999998</v>
      </c>
      <c r="C12027">
        <f>LOG10(1.030989)</f>
        <v>1.3254031661027765E-2</v>
      </c>
      <c r="D12027">
        <f>LOG10(3.387075)</f>
        <v>0.52982481333359344</v>
      </c>
    </row>
    <row r="12028" spans="1:4">
      <c r="A12028">
        <v>1.0294239999999999</v>
      </c>
      <c r="B12028">
        <v>3.2767870000000001</v>
      </c>
      <c r="C12028">
        <f>LOG10(1.029424)</f>
        <v>1.259428917747204E-2</v>
      </c>
      <c r="D12028">
        <f>LOG10(3.276787)</f>
        <v>0.51544821198624868</v>
      </c>
    </row>
    <row r="12029" spans="1:4">
      <c r="A12029">
        <v>1.028786</v>
      </c>
      <c r="B12029">
        <v>3.2419769999999999</v>
      </c>
      <c r="C12029">
        <f>LOG10(1.028786)</f>
        <v>1.2325045622801937E-2</v>
      </c>
      <c r="D12029">
        <f>LOG10(3.241977)</f>
        <v>0.51080992944879589</v>
      </c>
    </row>
    <row r="12030" spans="1:4">
      <c r="A12030">
        <v>1.019943</v>
      </c>
      <c r="B12030">
        <v>3.111316</v>
      </c>
      <c r="C12030">
        <f>LOG10(1.019943)</f>
        <v>8.5759016862586735E-3</v>
      </c>
      <c r="D12030">
        <f>LOG10(3.111316)</f>
        <v>0.49294412235486945</v>
      </c>
    </row>
    <row r="12031" spans="1:4">
      <c r="A12031">
        <v>1.0196289999999999</v>
      </c>
      <c r="B12031">
        <v>3.2678910000000001</v>
      </c>
      <c r="C12031">
        <f>LOG10(1.019629)</f>
        <v>8.442179053868076E-3</v>
      </c>
      <c r="D12031">
        <f>LOG10(3.267891)</f>
        <v>0.51426756227653569</v>
      </c>
    </row>
    <row r="12032" spans="1:4">
      <c r="A12032">
        <v>1.023013</v>
      </c>
      <c r="B12032">
        <v>3.3064779999999998</v>
      </c>
      <c r="C12032">
        <f>LOG10(1.023013)</f>
        <v>9.8811525708035752E-3</v>
      </c>
      <c r="D12032">
        <f>LOG10(3.306478)</f>
        <v>0.51936563742548736</v>
      </c>
    </row>
    <row r="12033" spans="1:4">
      <c r="A12033">
        <v>1.0227660000000001</v>
      </c>
      <c r="B12033">
        <v>3.2952080000000001</v>
      </c>
      <c r="C12033">
        <f>LOG10(1.022766)</f>
        <v>9.7762822621814873E-3</v>
      </c>
      <c r="D12033">
        <f>LOG10(3.295208)</f>
        <v>0.51788283331581619</v>
      </c>
    </row>
    <row r="12034" spans="1:4">
      <c r="A12034">
        <v>1.015395</v>
      </c>
      <c r="B12034">
        <v>3.3504320000000001</v>
      </c>
      <c r="C12034">
        <f>LOG10(1.015395)</f>
        <v>6.6350205244106756E-3</v>
      </c>
      <c r="D12034">
        <f>LOG10(3.350432)</f>
        <v>0.52510080796826042</v>
      </c>
    </row>
    <row r="12035" spans="1:4">
      <c r="A12035">
        <v>1.034324</v>
      </c>
      <c r="B12035">
        <v>3.4759820000000001</v>
      </c>
      <c r="C12035">
        <f>LOG10(1.034324)</f>
        <v>1.4656601979437954E-2</v>
      </c>
      <c r="D12035">
        <f>LOG10(3.475982)</f>
        <v>0.54107751883505384</v>
      </c>
    </row>
    <row r="12036" spans="1:4">
      <c r="A12036">
        <v>1.0062930000000001</v>
      </c>
      <c r="B12036">
        <v>3.6298339999999998</v>
      </c>
      <c r="C12036">
        <f>LOG10(1.006293)</f>
        <v>2.7244516504310902E-3</v>
      </c>
      <c r="D12036">
        <f>LOG10(3.629834)</f>
        <v>0.55988676428337114</v>
      </c>
    </row>
    <row r="12037" spans="1:4">
      <c r="A12037">
        <v>1.026511</v>
      </c>
      <c r="B12037">
        <v>3.0881319999999999</v>
      </c>
      <c r="C12037">
        <f>LOG10(1.026511)</f>
        <v>1.1363607592343351E-2</v>
      </c>
      <c r="D12037">
        <f>LOG10(3.088132)</f>
        <v>0.48969585566836032</v>
      </c>
    </row>
    <row r="12038" spans="1:4">
      <c r="A12038">
        <v>1.0173829999999999</v>
      </c>
      <c r="B12038">
        <v>3.364277</v>
      </c>
      <c r="C12038">
        <f>LOG10(1.017383)</f>
        <v>7.484476495772936E-3</v>
      </c>
      <c r="D12038">
        <f>LOG10(3.364277)</f>
        <v>0.52689174652506554</v>
      </c>
    </row>
    <row r="12039" spans="1:4">
      <c r="A12039">
        <v>1.025136</v>
      </c>
      <c r="B12039">
        <v>3.3734489999999999</v>
      </c>
      <c r="C12039">
        <f>LOG10(1.025136)</f>
        <v>1.0781485032251103E-2</v>
      </c>
      <c r="D12039">
        <f>LOG10(3.373449)</f>
        <v>0.52807414885147308</v>
      </c>
    </row>
    <row r="12040" spans="1:4">
      <c r="A12040">
        <v>1.0172650000000001</v>
      </c>
      <c r="B12040">
        <v>3.3173520000000001</v>
      </c>
      <c r="C12040">
        <f>LOG10(1.017265)</f>
        <v>7.4341024272146696E-3</v>
      </c>
      <c r="D12040">
        <f>LOG10(3.317352)</f>
        <v>0.52079155639944452</v>
      </c>
    </row>
    <row r="12041" spans="1:4">
      <c r="A12041">
        <v>1.017822</v>
      </c>
      <c r="B12041">
        <v>3.2889840000000001</v>
      </c>
      <c r="C12041">
        <f>LOG10(1.017822)</f>
        <v>7.6718338190032613E-3</v>
      </c>
      <c r="D12041">
        <f>LOG10(3.288984)</f>
        <v>0.51706176076492527</v>
      </c>
    </row>
    <row r="12042" spans="1:4">
      <c r="A12042">
        <v>1.020348</v>
      </c>
      <c r="B12042">
        <v>3.0626519999999999</v>
      </c>
      <c r="C12042">
        <f>LOG10(1.020348)</f>
        <v>8.7483175499575103E-3</v>
      </c>
      <c r="D12042">
        <f>LOG10(3.062652)</f>
        <v>0.48609765202503269</v>
      </c>
    </row>
    <row r="12043" spans="1:4">
      <c r="A12043">
        <v>1.025339</v>
      </c>
      <c r="B12043">
        <v>2.9217339999999998</v>
      </c>
      <c r="C12043">
        <f>LOG10(1.025339)</f>
        <v>1.0867476600170119E-2</v>
      </c>
      <c r="D12043">
        <f>LOG10(2.921734)</f>
        <v>0.46564067443513324</v>
      </c>
    </row>
    <row r="12044" spans="1:4">
      <c r="A12044">
        <v>1.031895</v>
      </c>
      <c r="B12044">
        <v>2.94407</v>
      </c>
      <c r="C12044">
        <f>LOG10(1.031895)</f>
        <v>1.363550810459228E-2</v>
      </c>
      <c r="D12044">
        <f>LOG10(2.94407)</f>
        <v>0.46894813183812384</v>
      </c>
    </row>
    <row r="12045" spans="1:4">
      <c r="A12045">
        <v>1.018367</v>
      </c>
      <c r="B12045">
        <v>3.1154090000000001</v>
      </c>
      <c r="C12045">
        <f>LOG10(1.018367)</f>
        <v>7.9043176388151407E-3</v>
      </c>
      <c r="D12045">
        <f>LOG10(3.115409)</f>
        <v>0.49351507018713991</v>
      </c>
    </row>
    <row r="12046" spans="1:4">
      <c r="A12046">
        <v>1.0254209999999999</v>
      </c>
      <c r="B12046">
        <v>3.3230789999999999</v>
      </c>
      <c r="C12046">
        <f>LOG10(1.025421)</f>
        <v>1.0902207282975527E-2</v>
      </c>
      <c r="D12046">
        <f>LOG10(3.323079)</f>
        <v>0.52154066594204163</v>
      </c>
    </row>
    <row r="12047" spans="1:4">
      <c r="A12047">
        <v>1.0185</v>
      </c>
      <c r="B12047">
        <v>3.3351690000000001</v>
      </c>
      <c r="C12047">
        <f>LOG10(1.0185)</f>
        <v>7.9610333361829072E-3</v>
      </c>
      <c r="D12047">
        <f>LOG10(3.335169)</f>
        <v>0.52311784542133888</v>
      </c>
    </row>
    <row r="12048" spans="1:4">
      <c r="A12048">
        <v>1.023903</v>
      </c>
      <c r="B12048">
        <v>3.2597990000000001</v>
      </c>
      <c r="C12048">
        <f>LOG10(1.023903)</f>
        <v>1.0258815467816877E-2</v>
      </c>
      <c r="D12048">
        <f>LOG10(3.259799)</f>
        <v>0.51319082219000434</v>
      </c>
    </row>
    <row r="12049" spans="1:4">
      <c r="A12049">
        <v>1.0137590000000001</v>
      </c>
      <c r="B12049">
        <v>3.1994050000000001</v>
      </c>
      <c r="C12049">
        <f>LOG10(1.013759)</f>
        <v>5.9347228374486043E-3</v>
      </c>
      <c r="D12049">
        <f>LOG10(3.199405)</f>
        <v>0.50506921918136827</v>
      </c>
    </row>
    <row r="12050" spans="1:4">
      <c r="A12050">
        <v>1.0233840000000001</v>
      </c>
      <c r="B12050">
        <v>3.0375969999999999</v>
      </c>
      <c r="C12050">
        <f>LOG10(1.023384)</f>
        <v>1.0038622753325739E-2</v>
      </c>
      <c r="D12050">
        <f>LOG10(3.037597)</f>
        <v>0.4825301552128281</v>
      </c>
    </row>
    <row r="12051" spans="1:4">
      <c r="A12051">
        <v>1.0275860000000001</v>
      </c>
      <c r="B12051">
        <v>3.2272370000000001</v>
      </c>
      <c r="C12051">
        <f>LOG10(1.027586)</f>
        <v>1.1818178735448395E-2</v>
      </c>
      <c r="D12051">
        <f>LOG10(3.227237)</f>
        <v>0.5088308600468372</v>
      </c>
    </row>
    <row r="12052" spans="1:4">
      <c r="A12052">
        <v>1.0169440000000001</v>
      </c>
      <c r="B12052">
        <v>3.3582070000000002</v>
      </c>
      <c r="C12052">
        <f>LOG10(1.016944)</f>
        <v>7.2970383105500662E-3</v>
      </c>
      <c r="D12052">
        <f>LOG10(3.358207)</f>
        <v>0.52610746255456409</v>
      </c>
    </row>
    <row r="12053" spans="1:4">
      <c r="A12053">
        <v>1.02624</v>
      </c>
      <c r="B12053">
        <v>3.45886</v>
      </c>
      <c r="C12053">
        <f>LOG10(1.02624)</f>
        <v>1.1248938248346448E-2</v>
      </c>
      <c r="D12053">
        <f>LOG10(3.45886)</f>
        <v>0.53893298396927969</v>
      </c>
    </row>
    <row r="12054" spans="1:4">
      <c r="A12054">
        <v>1.0190360000000001</v>
      </c>
      <c r="B12054">
        <v>3.243528</v>
      </c>
      <c r="C12054">
        <f>LOG10(1.019036)</f>
        <v>8.1895268181825815E-3</v>
      </c>
      <c r="D12054">
        <f>LOG10(3.243528)</f>
        <v>0.51101765136228561</v>
      </c>
    </row>
    <row r="12055" spans="1:4">
      <c r="A12055">
        <v>1.0103979999999999</v>
      </c>
      <c r="B12055">
        <v>3.4409999999999998</v>
      </c>
      <c r="C12055">
        <f>LOG10(1.010398)</f>
        <v>4.4924778978053118E-3</v>
      </c>
      <c r="D12055">
        <f>LOG10(3.441)</f>
        <v>0.53668467262093011</v>
      </c>
    </row>
    <row r="12056" spans="1:4">
      <c r="A12056">
        <v>1.015077</v>
      </c>
      <c r="B12056">
        <v>3.2433830000000001</v>
      </c>
      <c r="C12056">
        <f>LOG10(1.015077)</f>
        <v>6.4989874775384223E-3</v>
      </c>
      <c r="D12056">
        <f>LOG10(3.243383)</f>
        <v>0.5109982360504719</v>
      </c>
    </row>
    <row r="12057" spans="1:4">
      <c r="A12057">
        <v>1.0223690000000001</v>
      </c>
      <c r="B12057">
        <v>3.3401800000000001</v>
      </c>
      <c r="C12057">
        <f>LOG10(1.022369)</f>
        <v>9.6076724525784602E-3</v>
      </c>
      <c r="D12057">
        <f>LOG10(3.34018)</f>
        <v>0.5237698712727501</v>
      </c>
    </row>
    <row r="12058" spans="1:4">
      <c r="A12058">
        <v>1.0255909999999999</v>
      </c>
      <c r="B12058">
        <v>3.1738979999999999</v>
      </c>
      <c r="C12058">
        <f>LOG10(1.025591)</f>
        <v>1.0974201071498099E-2</v>
      </c>
      <c r="D12058">
        <f>LOG10(3.173898)</f>
        <v>0.50159296566112532</v>
      </c>
    </row>
    <row r="12059" spans="1:4">
      <c r="A12059">
        <v>1.0182910000000001</v>
      </c>
      <c r="B12059">
        <v>3.3635730000000001</v>
      </c>
      <c r="C12059">
        <f>LOG10(1.018291)</f>
        <v>7.8719053431425701E-3</v>
      </c>
      <c r="D12059">
        <f>LOG10(3.363573)</f>
        <v>0.52680085766268725</v>
      </c>
    </row>
    <row r="12060" spans="1:4">
      <c r="A12060">
        <v>1.017498</v>
      </c>
      <c r="B12060">
        <v>3.247439</v>
      </c>
      <c r="C12060">
        <f>LOG10(1.017498)</f>
        <v>7.5335642463314045E-3</v>
      </c>
      <c r="D12060">
        <f>LOG10(3.247439)</f>
        <v>0.51154100201998232</v>
      </c>
    </row>
    <row r="12061" spans="1:4">
      <c r="A12061">
        <v>1.018151</v>
      </c>
      <c r="B12061">
        <v>3.30505</v>
      </c>
      <c r="C12061">
        <f>LOG10(1.018151)</f>
        <v>7.8121921496784267E-3</v>
      </c>
      <c r="D12061">
        <f>LOG10(3.30505)</f>
        <v>0.5191780340364367</v>
      </c>
    </row>
    <row r="12062" spans="1:4">
      <c r="A12062">
        <v>1.0162530000000001</v>
      </c>
      <c r="B12062">
        <v>3.2346330000000001</v>
      </c>
      <c r="C12062">
        <f>LOG10(1.016253)</f>
        <v>7.0018406503633713E-3</v>
      </c>
      <c r="D12062">
        <f>LOG10(3.234633)</f>
        <v>0.50982501294399196</v>
      </c>
    </row>
    <row r="12063" spans="1:4">
      <c r="A12063">
        <v>1.0159100000000001</v>
      </c>
      <c r="B12063">
        <v>3.2067040000000002</v>
      </c>
      <c r="C12063">
        <f>LOG10(1.01591)</f>
        <v>6.8552352759840614E-3</v>
      </c>
      <c r="D12063">
        <f>LOG10(3.206704)</f>
        <v>0.50605887352384971</v>
      </c>
    </row>
    <row r="12064" spans="1:4">
      <c r="A12064">
        <v>1.020267</v>
      </c>
      <c r="B12064">
        <v>3.3107510000000002</v>
      </c>
      <c r="C12064">
        <f>LOG10(1.020267)</f>
        <v>8.7138398527410958E-3</v>
      </c>
      <c r="D12064">
        <f>LOG10(3.310751)</f>
        <v>0.51992651889992547</v>
      </c>
    </row>
    <row r="12065" spans="1:4">
      <c r="A12065">
        <v>1.01983</v>
      </c>
      <c r="B12065">
        <v>3.1744729999999999</v>
      </c>
      <c r="C12065">
        <f>LOG10(1.01983)</f>
        <v>8.5277833157289297E-3</v>
      </c>
      <c r="D12065">
        <f>LOG10(3.174473)</f>
        <v>0.50167163760004552</v>
      </c>
    </row>
    <row r="12066" spans="1:4">
      <c r="A12066">
        <v>1.0164120000000001</v>
      </c>
      <c r="B12066">
        <v>3.131329</v>
      </c>
      <c r="C12066">
        <f>LOG10(1.016412)</f>
        <v>7.0697837917698151E-3</v>
      </c>
      <c r="D12066">
        <f>LOG10(3.131329)</f>
        <v>0.49572870012350428</v>
      </c>
    </row>
    <row r="12067" spans="1:4">
      <c r="A12067">
        <v>1.0091829999999999</v>
      </c>
      <c r="B12067">
        <v>3.3281749999999999</v>
      </c>
      <c r="C12067">
        <f>LOG10(1.009183)</f>
        <v>3.9699260821833126E-3</v>
      </c>
      <c r="D12067">
        <f>LOG10(3.328175)</f>
        <v>0.52220615401777459</v>
      </c>
    </row>
    <row r="12068" spans="1:4">
      <c r="A12068">
        <v>1.020394</v>
      </c>
      <c r="B12068">
        <v>3.3173560000000002</v>
      </c>
      <c r="C12068">
        <f>LOG10(1.020394)</f>
        <v>8.7678962582615778E-3</v>
      </c>
      <c r="D12068">
        <f>LOG10(3.317356)</f>
        <v>0.52079208006316191</v>
      </c>
    </row>
    <row r="12069" spans="1:4">
      <c r="A12069">
        <v>1.0203450000000001</v>
      </c>
      <c r="B12069">
        <v>3.4176579999999999</v>
      </c>
      <c r="C12069">
        <f>LOG10(1.020345)</f>
        <v>8.7470406470174806E-3</v>
      </c>
      <c r="D12069">
        <f>LOG10(3.417658)</f>
        <v>0.5337286013501692</v>
      </c>
    </row>
    <row r="12070" spans="1:4">
      <c r="A12070">
        <v>1.0185249999999999</v>
      </c>
      <c r="B12070">
        <v>3.5219930000000002</v>
      </c>
      <c r="C12070">
        <f>LOG10(1.018525)</f>
        <v>7.9716933546393337E-3</v>
      </c>
      <c r="D12070">
        <f>LOG10(3.521993)</f>
        <v>0.54678848846703487</v>
      </c>
    </row>
    <row r="12071" spans="1:4">
      <c r="A12071">
        <v>1.0217210000000001</v>
      </c>
      <c r="B12071">
        <v>3.4515319999999998</v>
      </c>
      <c r="C12071">
        <f>LOG10(1.021721)</f>
        <v>9.3323197687919177E-3</v>
      </c>
      <c r="D12071">
        <f>LOG10(3.451532)</f>
        <v>0.53801190419368505</v>
      </c>
    </row>
    <row r="12072" spans="1:4">
      <c r="A12072">
        <v>1.034446</v>
      </c>
      <c r="B12072">
        <v>3.700078</v>
      </c>
      <c r="C12072">
        <f>LOG10(1.034446)</f>
        <v>1.4707824615935583E-2</v>
      </c>
      <c r="D12072">
        <f>LOG10(3.700078)</f>
        <v>0.56821087936767956</v>
      </c>
    </row>
    <row r="12073" spans="1:4">
      <c r="A12073">
        <v>1.0325629999999999</v>
      </c>
      <c r="B12073">
        <v>3.644425</v>
      </c>
      <c r="C12073">
        <f>LOG10(1.032563)</f>
        <v>1.391655884433703E-2</v>
      </c>
      <c r="D12073">
        <f>LOG10(3.644425)</f>
        <v>0.56162901714622371</v>
      </c>
    </row>
    <row r="12074" spans="1:4">
      <c r="A12074">
        <v>1.0199199999999999</v>
      </c>
      <c r="B12074">
        <v>3.7143609999999998</v>
      </c>
      <c r="C12074">
        <f>LOG10(1.01992)</f>
        <v>8.5661081137645961E-3</v>
      </c>
      <c r="D12074">
        <f>LOG10(3.714361)</f>
        <v>0.56988411068242462</v>
      </c>
    </row>
    <row r="12075" spans="1:4">
      <c r="A12075">
        <v>1.0123260000000001</v>
      </c>
      <c r="B12075">
        <v>3.634636</v>
      </c>
      <c r="C12075">
        <f>LOG10(1.012326)</f>
        <v>5.3203911619849782E-3</v>
      </c>
      <c r="D12075">
        <f>LOG10(3.634636)</f>
        <v>0.56046092383137769</v>
      </c>
    </row>
    <row r="12076" spans="1:4">
      <c r="A12076">
        <v>1.018456</v>
      </c>
      <c r="B12076">
        <v>3.675834</v>
      </c>
      <c r="C12076">
        <f>LOG10(1.018456)</f>
        <v>7.9422710681646622E-3</v>
      </c>
      <c r="D12076">
        <f>LOG10(3.675834)</f>
        <v>0.56535589049649415</v>
      </c>
    </row>
    <row r="12077" spans="1:4">
      <c r="A12077">
        <v>1.01305</v>
      </c>
      <c r="B12077">
        <v>3.6695579999999999</v>
      </c>
      <c r="C12077">
        <f>LOG10(1.01305)</f>
        <v>5.6308808866490506E-3</v>
      </c>
      <c r="D12077">
        <f>LOG10(3.669558)</f>
        <v>0.5646137564261321</v>
      </c>
    </row>
    <row r="12078" spans="1:4">
      <c r="A12078">
        <v>1.0205150000000001</v>
      </c>
      <c r="B12078">
        <v>3.7312810000000001</v>
      </c>
      <c r="C12078">
        <f>LOG10(1.020515)</f>
        <v>8.8193925595389799E-3</v>
      </c>
      <c r="D12078">
        <f>LOG10(3.731281)</f>
        <v>0.57185795666721639</v>
      </c>
    </row>
    <row r="12079" spans="1:4">
      <c r="A12079">
        <v>1.0246390000000001</v>
      </c>
      <c r="B12079">
        <v>3.7047319999999999</v>
      </c>
      <c r="C12079">
        <f>LOG10(1.024639)</f>
        <v>1.0570882052181874E-2</v>
      </c>
      <c r="D12079">
        <f>LOG10(3.704732)</f>
        <v>0.5687567966254945</v>
      </c>
    </row>
    <row r="12080" spans="1:4">
      <c r="A12080">
        <v>1.016632</v>
      </c>
      <c r="B12080">
        <v>3.6456149999999998</v>
      </c>
      <c r="C12080">
        <f>LOG10(1.016632)</f>
        <v>7.1637756447662133E-3</v>
      </c>
      <c r="D12080">
        <f>LOG10(3.645615)</f>
        <v>0.56177080249666211</v>
      </c>
    </row>
    <row r="12081" spans="1:4">
      <c r="A12081">
        <v>1.017744</v>
      </c>
      <c r="B12081">
        <v>3.5761620000000001</v>
      </c>
      <c r="C12081">
        <f>LOG10(1.017744)</f>
        <v>7.6385507226997829E-3</v>
      </c>
      <c r="D12081">
        <f>LOG10(3.576162)</f>
        <v>0.55341718409269691</v>
      </c>
    </row>
    <row r="12082" spans="1:4">
      <c r="A12082">
        <v>1.018621</v>
      </c>
      <c r="B12082">
        <v>3.3837549999999998</v>
      </c>
      <c r="C12082">
        <f>LOG10(1.018621)</f>
        <v>8.0126253941628801E-3</v>
      </c>
      <c r="D12082">
        <f>LOG10(3.383755)</f>
        <v>0.52939891051356247</v>
      </c>
    </row>
    <row r="12083" spans="1:4">
      <c r="A12083">
        <v>1.0217529999999999</v>
      </c>
      <c r="B12083">
        <v>3.5317919999999998</v>
      </c>
      <c r="C12083">
        <f>LOG10(1.021753)</f>
        <v>9.3459215307149547E-3</v>
      </c>
      <c r="D12083">
        <f>LOG10(3.531792)</f>
        <v>0.54799511848644555</v>
      </c>
    </row>
    <row r="12084" spans="1:4">
      <c r="A12084">
        <v>1.0246360000000001</v>
      </c>
      <c r="B12084">
        <v>3.3745660000000002</v>
      </c>
      <c r="C12084">
        <f>LOG10(1.024636)</f>
        <v>1.0569610496684733E-2</v>
      </c>
      <c r="D12084">
        <f>LOG10(3.374566)</f>
        <v>0.52821792652260058</v>
      </c>
    </row>
    <row r="12085" spans="1:4">
      <c r="A12085">
        <v>1.011836</v>
      </c>
      <c r="B12085">
        <v>3.6300270000000001</v>
      </c>
      <c r="C12085">
        <f>LOG10(1.011836)</f>
        <v>5.110127062284012E-3</v>
      </c>
      <c r="D12085">
        <f>LOG10(3.630027)</f>
        <v>0.55990985531363391</v>
      </c>
    </row>
    <row r="12086" spans="1:4">
      <c r="A12086">
        <v>1.025987</v>
      </c>
      <c r="B12086">
        <v>3.5941489999999998</v>
      </c>
      <c r="C12086">
        <f>LOG10(1.025987)</f>
        <v>1.1141857984342331E-2</v>
      </c>
      <c r="D12086">
        <f>LOG10(3.594149)</f>
        <v>0.55559607737408745</v>
      </c>
    </row>
    <row r="12087" spans="1:4">
      <c r="A12087">
        <v>1.0271950000000001</v>
      </c>
      <c r="B12087">
        <v>3.4796689999999999</v>
      </c>
      <c r="C12087">
        <f>LOG10(1.027195)</f>
        <v>1.1652896747271794E-2</v>
      </c>
      <c r="D12087">
        <f>LOG10(3.479669)</f>
        <v>0.54153793408727058</v>
      </c>
    </row>
    <row r="12088" spans="1:4">
      <c r="A12088">
        <v>1.0250060000000001</v>
      </c>
      <c r="B12088">
        <v>3.507107</v>
      </c>
      <c r="C12088">
        <f>LOG10(1.025006)</f>
        <v>1.0726407595933934E-2</v>
      </c>
      <c r="D12088">
        <f>LOG10(3.507107)</f>
        <v>0.54494901618109659</v>
      </c>
    </row>
    <row r="12089" spans="1:4">
      <c r="A12089">
        <v>1.034724</v>
      </c>
      <c r="B12089">
        <v>3.463927</v>
      </c>
      <c r="C12089">
        <f>LOG10(1.034724)</f>
        <v>1.4824522486768384E-2</v>
      </c>
      <c r="D12089">
        <f>LOG10(3.463927)</f>
        <v>0.53956873096908442</v>
      </c>
    </row>
    <row r="12090" spans="1:4">
      <c r="A12090">
        <v>1.028905</v>
      </c>
      <c r="B12090">
        <v>3.2923840000000002</v>
      </c>
      <c r="C12090">
        <f>LOG10(1.028905)</f>
        <v>1.2375277696912282E-2</v>
      </c>
      <c r="D12090">
        <f>LOG10(3.292384)</f>
        <v>0.51751048248048115</v>
      </c>
    </row>
    <row r="12091" spans="1:4">
      <c r="A12091">
        <v>1.0242629999999999</v>
      </c>
      <c r="B12091">
        <v>3.3607580000000001</v>
      </c>
      <c r="C12091">
        <f>LOG10(1.024263)</f>
        <v>1.0411484748622425E-2</v>
      </c>
      <c r="D12091">
        <f>LOG10(3.360758)</f>
        <v>0.52643724110723378</v>
      </c>
    </row>
    <row r="12092" spans="1:4">
      <c r="A12092">
        <v>1.0297240000000001</v>
      </c>
      <c r="B12092">
        <v>3.3947180000000001</v>
      </c>
      <c r="C12092">
        <f>LOG10(1.029724)</f>
        <v>1.2720835055177663E-2</v>
      </c>
      <c r="D12092">
        <f>LOG10(3.394718)</f>
        <v>0.53080370317304337</v>
      </c>
    </row>
    <row r="12093" spans="1:4">
      <c r="A12093">
        <v>1.038492</v>
      </c>
      <c r="B12093">
        <v>3.345853</v>
      </c>
      <c r="C12093">
        <f>LOG10(1.038492)</f>
        <v>1.6403155306132348E-2</v>
      </c>
      <c r="D12093">
        <f>LOG10(3.345853)</f>
        <v>0.52450685632414851</v>
      </c>
    </row>
    <row r="12094" spans="1:4">
      <c r="A12094">
        <v>1.0436840000000001</v>
      </c>
      <c r="B12094">
        <v>3.419238</v>
      </c>
      <c r="C12094">
        <f>LOG10(1.043684)</f>
        <v>1.8569025648938545E-2</v>
      </c>
      <c r="D12094">
        <f>LOG10(3.419238)</f>
        <v>0.5339293314164516</v>
      </c>
    </row>
    <row r="12095" spans="1:4">
      <c r="A12095">
        <v>1.0254760000000001</v>
      </c>
      <c r="B12095">
        <v>3.4991940000000001</v>
      </c>
      <c r="C12095">
        <f>LOG10(1.025476)</f>
        <v>1.0925500697038218E-2</v>
      </c>
      <c r="D12095">
        <f>LOG10(3.499194)</f>
        <v>0.54396802101788588</v>
      </c>
    </row>
    <row r="12096" spans="1:4">
      <c r="A12096">
        <v>1.0210699999999999</v>
      </c>
      <c r="B12096">
        <v>3.4950670000000001</v>
      </c>
      <c r="C12096">
        <f>LOG10(1.02107)</f>
        <v>9.0555163980211312E-3</v>
      </c>
      <c r="D12096">
        <f>LOG10(3.495067)</f>
        <v>0.54345550553274047</v>
      </c>
    </row>
    <row r="12097" spans="1:4">
      <c r="A12097">
        <v>1.0301979999999999</v>
      </c>
      <c r="B12097">
        <v>3.5536599999999998</v>
      </c>
      <c r="C12097">
        <f>LOG10(1.030198)</f>
        <v>1.292070241719947E-2</v>
      </c>
      <c r="D12097">
        <f>LOG10(3.55366)</f>
        <v>0.55067587389489125</v>
      </c>
    </row>
    <row r="12098" spans="1:4">
      <c r="A12098">
        <v>1.040905</v>
      </c>
      <c r="B12098">
        <v>3.4987339999999998</v>
      </c>
      <c r="C12098">
        <f>LOG10(1.040905)</f>
        <v>1.7411094680119341E-2</v>
      </c>
      <c r="D12098">
        <f>LOG10(3.498734)</f>
        <v>0.54391092541416908</v>
      </c>
    </row>
    <row r="12099" spans="1:4">
      <c r="A12099">
        <v>1.0537049999999999</v>
      </c>
      <c r="B12099">
        <v>3.600114</v>
      </c>
      <c r="C12099">
        <f>LOG10(1.053705)</f>
        <v>2.2719040853210411E-2</v>
      </c>
      <c r="D12099">
        <f>LOG10(3.600114)</f>
        <v>0.55631625320813505</v>
      </c>
    </row>
    <row r="12100" spans="1:4">
      <c r="A12100">
        <v>1.0589759999999999</v>
      </c>
      <c r="B12100">
        <v>3.75142</v>
      </c>
      <c r="C12100">
        <f>LOG10(1.058976)</f>
        <v>2.4886117628093205E-2</v>
      </c>
      <c r="D12100">
        <f>LOG10(3.75142)</f>
        <v>0.57419568944298571</v>
      </c>
    </row>
    <row r="12101" spans="1:4">
      <c r="A12101">
        <v>1.0322960000000001</v>
      </c>
      <c r="B12101">
        <v>3.6476000000000002</v>
      </c>
      <c r="C12101">
        <f>LOG10(1.032296)</f>
        <v>1.3804244514579548E-2</v>
      </c>
      <c r="D12101">
        <f>LOG10(3.6476)</f>
        <v>0.56200720703646101</v>
      </c>
    </row>
    <row r="12102" spans="1:4">
      <c r="A12102">
        <v>1.0451809999999999</v>
      </c>
      <c r="B12102">
        <v>3.5092789999999998</v>
      </c>
      <c r="C12102">
        <f>LOG10(1.045181)</f>
        <v>1.919150623118044E-2</v>
      </c>
      <c r="D12102">
        <f>LOG10(3.509279)</f>
        <v>0.54521789752394878</v>
      </c>
    </row>
    <row r="12103" spans="1:4">
      <c r="A12103">
        <v>1.0287980000000001</v>
      </c>
      <c r="B12103">
        <v>3.461751</v>
      </c>
      <c r="C12103">
        <f>LOG10(1.028798)</f>
        <v>1.2330111305450083E-2</v>
      </c>
      <c r="D12103">
        <f>LOG10(3.461751)</f>
        <v>0.53929582633109285</v>
      </c>
    </row>
    <row r="12104" spans="1:4">
      <c r="A12104">
        <v>1.02912</v>
      </c>
      <c r="B12104">
        <v>3.4142139999999999</v>
      </c>
      <c r="C12104">
        <f>LOG10(1.02912)</f>
        <v>1.2466018396319643E-2</v>
      </c>
      <c r="D12104">
        <f>LOG10(3.414214)</f>
        <v>0.53329073883682776</v>
      </c>
    </row>
    <row r="12105" spans="1:4">
      <c r="A12105">
        <v>1.028546</v>
      </c>
      <c r="B12105">
        <v>3.5355720000000002</v>
      </c>
      <c r="C12105">
        <f>LOG10(1.028546)</f>
        <v>1.2223719559600081E-2</v>
      </c>
      <c r="D12105">
        <f>LOG10(3.535572)</f>
        <v>0.54845968584087468</v>
      </c>
    </row>
    <row r="12106" spans="1:4">
      <c r="A12106">
        <v>1.024516</v>
      </c>
      <c r="B12106">
        <v>3.6574460000000002</v>
      </c>
      <c r="C12106">
        <f>LOG10(1.024516)</f>
        <v>1.0518745223744496E-2</v>
      </c>
      <c r="D12106">
        <f>LOG10(3.657446)</f>
        <v>0.56317792274672684</v>
      </c>
    </row>
    <row r="12107" spans="1:4">
      <c r="A12107">
        <v>1.020697</v>
      </c>
      <c r="B12107">
        <v>3.5439240000000001</v>
      </c>
      <c r="C12107">
        <f>LOG10(1.020697)</f>
        <v>8.8968383083546931E-3</v>
      </c>
      <c r="D12107">
        <f>LOG10(3.543924)</f>
        <v>0.54948439980233377</v>
      </c>
    </row>
    <row r="12108" spans="1:4">
      <c r="A12108">
        <v>1.0301709999999999</v>
      </c>
      <c r="B12108">
        <v>3.5405250000000001</v>
      </c>
      <c r="C12108">
        <f>LOG10(1.030171)</f>
        <v>1.2909320037623717E-2</v>
      </c>
      <c r="D12108">
        <f>LOG10(3.540525)</f>
        <v>0.54906766533018037</v>
      </c>
    </row>
    <row r="12109" spans="1:4">
      <c r="A12109">
        <v>1.021018</v>
      </c>
      <c r="B12109">
        <v>3.3841760000000001</v>
      </c>
      <c r="C12109">
        <f>LOG10(1.021018)</f>
        <v>9.0333985333024471E-3</v>
      </c>
      <c r="D12109">
        <f>LOG10(3.384176)</f>
        <v>0.52945294119948916</v>
      </c>
    </row>
    <row r="12110" spans="1:4">
      <c r="A12110">
        <v>1.025649</v>
      </c>
      <c r="B12110">
        <v>3.4293</v>
      </c>
      <c r="C12110">
        <f>LOG10(1.025649)</f>
        <v>1.0998760927933377E-2</v>
      </c>
      <c r="D12110">
        <f>LOG10(3.4293)</f>
        <v>0.53520547947058739</v>
      </c>
    </row>
    <row r="12111" spans="1:4">
      <c r="A12111">
        <v>1.028367</v>
      </c>
      <c r="B12111">
        <v>3.3707029999999998</v>
      </c>
      <c r="C12111">
        <f>LOG10(1.028367)</f>
        <v>1.2148131809941353E-2</v>
      </c>
      <c r="D12111">
        <f>LOG10(3.370703)</f>
        <v>0.5277204875718311</v>
      </c>
    </row>
    <row r="12112" spans="1:4">
      <c r="A12112">
        <v>1.0296540000000001</v>
      </c>
      <c r="B12112">
        <v>3.173829</v>
      </c>
      <c r="C12112">
        <f>LOG10(1.029654)</f>
        <v>1.2691310981651636E-2</v>
      </c>
      <c r="D12112">
        <f>LOG10(3.173829)</f>
        <v>0.50158352407069384</v>
      </c>
    </row>
    <row r="12113" spans="1:4">
      <c r="A12113">
        <v>1.0358670000000001</v>
      </c>
      <c r="B12113">
        <v>3.1933850000000001</v>
      </c>
      <c r="C12113">
        <f>LOG10(1.035867)</f>
        <v>1.5303997808777094E-2</v>
      </c>
      <c r="D12113">
        <f>LOG10(3.193385)</f>
        <v>0.50425128098728833</v>
      </c>
    </row>
    <row r="12114" spans="1:4">
      <c r="A12114">
        <v>1.0112650000000001</v>
      </c>
      <c r="B12114">
        <v>3.08162</v>
      </c>
      <c r="C12114">
        <f>LOG10(1.011265)</f>
        <v>4.8649765178955633E-3</v>
      </c>
      <c r="D12114">
        <f>LOG10(3.08162)</f>
        <v>0.48877908406510895</v>
      </c>
    </row>
    <row r="12115" spans="1:4">
      <c r="A12115">
        <v>1.014437</v>
      </c>
      <c r="B12115">
        <v>3.4283190000000001</v>
      </c>
      <c r="C12115">
        <f>LOG10(1.014437)</f>
        <v>6.2250810372463643E-3</v>
      </c>
      <c r="D12115">
        <f>LOG10(3.428319)</f>
        <v>0.53508122558898419</v>
      </c>
    </row>
    <row r="12116" spans="1:4">
      <c r="A12116">
        <v>1.0111559999999999</v>
      </c>
      <c r="B12116">
        <v>3.6238069999999998</v>
      </c>
      <c r="C12116">
        <f>LOG10(1.011156)</f>
        <v>4.8181632198005088E-3</v>
      </c>
      <c r="D12116">
        <f>LOG10(3.623807)</f>
        <v>0.55916505957127172</v>
      </c>
    </row>
    <row r="12117" spans="1:4">
      <c r="A12117">
        <v>1.0196130000000001</v>
      </c>
      <c r="B12117">
        <v>3.1736049999999998</v>
      </c>
      <c r="C12117">
        <f>LOG10(1.019613)</f>
        <v>8.4353640591685701E-3</v>
      </c>
      <c r="D12117">
        <f>LOG10(3.173605)</f>
        <v>0.50155287169558072</v>
      </c>
    </row>
    <row r="12118" spans="1:4">
      <c r="A12118">
        <v>1.012899</v>
      </c>
      <c r="B12118">
        <v>3.1204350000000001</v>
      </c>
      <c r="C12118">
        <f>LOG10(1.012899)</f>
        <v>5.5661423696490376E-3</v>
      </c>
      <c r="D12118">
        <f>LOG10(3.120435)</f>
        <v>0.49421514047071219</v>
      </c>
    </row>
    <row r="12119" spans="1:4">
      <c r="A12119">
        <v>1.0196639999999999</v>
      </c>
      <c r="B12119">
        <v>3.0226660000000001</v>
      </c>
      <c r="C12119">
        <f>LOG10(1.019664)</f>
        <v>8.4570864819503676E-3</v>
      </c>
      <c r="D12119">
        <f>LOG10(3.022666)</f>
        <v>0.48039016094863962</v>
      </c>
    </row>
    <row r="12120" spans="1:4">
      <c r="A12120">
        <v>1.023242</v>
      </c>
      <c r="B12120">
        <v>2.9345279999999998</v>
      </c>
      <c r="C12120">
        <f>LOG10(1.023242)</f>
        <v>9.9783578915197645E-3</v>
      </c>
      <c r="D12120">
        <f>LOG10(2.934528)</f>
        <v>0.4675382577199208</v>
      </c>
    </row>
    <row r="12121" spans="1:4">
      <c r="A12121">
        <v>1.040054</v>
      </c>
      <c r="B12121">
        <v>3.1035539999999999</v>
      </c>
      <c r="C12121">
        <f>LOG10(1.040054)</f>
        <v>1.7055888619161515E-2</v>
      </c>
      <c r="D12121">
        <f>LOG10(3.103554)</f>
        <v>0.4918593062537171</v>
      </c>
    </row>
    <row r="12122" spans="1:4">
      <c r="A12122">
        <v>1.0210170000000001</v>
      </c>
      <c r="B12122">
        <v>3.046354</v>
      </c>
      <c r="C12122">
        <f>LOG10(1.021017)</f>
        <v>9.0329731787107109E-3</v>
      </c>
      <c r="D12122">
        <f>LOG10(3.046354)</f>
        <v>0.48378036889943105</v>
      </c>
    </row>
    <row r="12123" spans="1:4">
      <c r="A12123">
        <v>1.017198</v>
      </c>
      <c r="B12123">
        <v>2.8430710000000001</v>
      </c>
      <c r="C12123">
        <f>LOG10(1.017198)</f>
        <v>7.40549760097988E-3</v>
      </c>
      <c r="D12123">
        <f>LOG10(2.843071)</f>
        <v>0.45378770546011921</v>
      </c>
    </row>
    <row r="12124" spans="1:4">
      <c r="A12124">
        <v>1.0220610000000001</v>
      </c>
      <c r="B12124">
        <v>2.9563790000000001</v>
      </c>
      <c r="C12124">
        <f>LOG10(1.022061)</f>
        <v>9.4768167114299071E-3</v>
      </c>
      <c r="D12124">
        <f>LOG10(2.956379)</f>
        <v>0.47076010870035934</v>
      </c>
    </row>
    <row r="12125" spans="1:4">
      <c r="A12125">
        <v>1.0411060000000001</v>
      </c>
      <c r="B12125">
        <v>2.933122</v>
      </c>
      <c r="C12125">
        <f>LOG10(1.041106)</f>
        <v>1.749494936785519E-2</v>
      </c>
      <c r="D12125">
        <f>LOG10(2.933122)</f>
        <v>0.46733012735998369</v>
      </c>
    </row>
    <row r="12126" spans="1:4">
      <c r="A12126">
        <v>1.016499</v>
      </c>
      <c r="B12126">
        <v>2.9184040000000002</v>
      </c>
      <c r="C12126">
        <f>LOG10(1.016499)</f>
        <v>7.1069557289068826E-3</v>
      </c>
      <c r="D12126">
        <f>LOG10(2.918404)</f>
        <v>0.4651454118980265</v>
      </c>
    </row>
    <row r="12127" spans="1:4">
      <c r="A12127">
        <v>1.01677</v>
      </c>
      <c r="B12127">
        <v>2.966164</v>
      </c>
      <c r="C12127">
        <f>LOG10(1.01677)</f>
        <v>7.222723790380952E-3</v>
      </c>
      <c r="D12127">
        <f>LOG10(2.966164)</f>
        <v>0.47219515961414027</v>
      </c>
    </row>
    <row r="12128" spans="1:4">
      <c r="A12128">
        <v>1.023409</v>
      </c>
      <c r="B12128">
        <v>2.946294</v>
      </c>
      <c r="C12128">
        <f>LOG10(1.023409)</f>
        <v>1.0049231898508565E-2</v>
      </c>
      <c r="D12128">
        <f>LOG10(2.946294)</f>
        <v>0.46927608134129534</v>
      </c>
    </row>
    <row r="12129" spans="1:4">
      <c r="A12129">
        <v>1.0159560000000001</v>
      </c>
      <c r="B12129">
        <v>2.923829</v>
      </c>
      <c r="C12129">
        <f>LOG10(1.015956)</f>
        <v>6.8748995118844197E-3</v>
      </c>
      <c r="D12129">
        <f>LOG10(2.923829)</f>
        <v>0.46595196933642585</v>
      </c>
    </row>
    <row r="12130" spans="1:4">
      <c r="A12130">
        <v>1.0210790000000001</v>
      </c>
      <c r="B12130">
        <v>3.0449060000000001</v>
      </c>
      <c r="C12130">
        <f>LOG10(1.021079)</f>
        <v>9.0593443756439383E-3</v>
      </c>
      <c r="D12130">
        <f>LOG10(3.044906)</f>
        <v>0.48357388997006623</v>
      </c>
    </row>
    <row r="12131" spans="1:4">
      <c r="A12131">
        <v>1.0209950000000001</v>
      </c>
      <c r="B12131">
        <v>3.103313</v>
      </c>
      <c r="C12131">
        <f>LOG10(1.020995)</f>
        <v>9.0236152722907425E-3</v>
      </c>
      <c r="D12131">
        <f>LOG10(3.103313)</f>
        <v>0.49182558071386218</v>
      </c>
    </row>
    <row r="12132" spans="1:4">
      <c r="A12132">
        <v>1.0289159999999999</v>
      </c>
      <c r="B12132">
        <v>3.077693</v>
      </c>
      <c r="C12132">
        <f>LOG10(1.028916)</f>
        <v>1.2379920704541199E-2</v>
      </c>
      <c r="D12132">
        <f>LOG10(3.077693)</f>
        <v>0.48822529676398491</v>
      </c>
    </row>
    <row r="12133" spans="1:4">
      <c r="A12133">
        <v>1.0189319999999999</v>
      </c>
      <c r="B12133">
        <v>2.8899300000000001</v>
      </c>
      <c r="C12133">
        <f>LOG10(1.018932)</f>
        <v>8.1452016608128969E-3</v>
      </c>
      <c r="D12133">
        <f>LOG10(2.88993)</f>
        <v>0.46088732338564381</v>
      </c>
    </row>
    <row r="12134" spans="1:4">
      <c r="A12134">
        <v>1.0264169999999999</v>
      </c>
      <c r="B12134">
        <v>2.96034</v>
      </c>
      <c r="C12134">
        <f>LOG10(1.026417)</f>
        <v>1.1323836415441432E-2</v>
      </c>
      <c r="D12134">
        <f>LOG10(2.96034)</f>
        <v>0.47134159337110626</v>
      </c>
    </row>
    <row r="12135" spans="1:4">
      <c r="A12135">
        <v>1.0168189999999999</v>
      </c>
      <c r="B12135">
        <v>3.017563</v>
      </c>
      <c r="C12135">
        <f>LOG10(1.016819)</f>
        <v>7.2436527289396905E-3</v>
      </c>
      <c r="D12135">
        <f>LOG10(3.017563)</f>
        <v>0.47965634596631945</v>
      </c>
    </row>
    <row r="12136" spans="1:4">
      <c r="A12136">
        <v>1.03765</v>
      </c>
      <c r="B12136">
        <v>3.0730050000000002</v>
      </c>
      <c r="C12136">
        <f>LOG10(1.03765)</f>
        <v>1.6050890409211812E-2</v>
      </c>
      <c r="D12136">
        <f>LOG10(3.073005)</f>
        <v>0.48756326688528906</v>
      </c>
    </row>
    <row r="12137" spans="1:4">
      <c r="A12137">
        <v>1.0518430000000001</v>
      </c>
      <c r="B12137">
        <v>3.0531259999999998</v>
      </c>
      <c r="C12137">
        <f>LOG10(1.051843)</f>
        <v>2.1950921070517788E-2</v>
      </c>
      <c r="D12137">
        <f>LOG10(3.053126)</f>
        <v>0.48474472764473342</v>
      </c>
    </row>
    <row r="12138" spans="1:4">
      <c r="A12138">
        <v>1.042279</v>
      </c>
      <c r="B12138">
        <v>3.0273539999999999</v>
      </c>
      <c r="C12138">
        <f>LOG10(1.042279)</f>
        <v>1.7983987621564113E-2</v>
      </c>
      <c r="D12138">
        <f>LOG10(3.027354)</f>
        <v>0.48106320762903015</v>
      </c>
    </row>
    <row r="12139" spans="1:4">
      <c r="A12139">
        <v>1.0160819999999999</v>
      </c>
      <c r="B12139">
        <v>3.051949</v>
      </c>
      <c r="C12139">
        <f>LOG10(1.016082)</f>
        <v>6.9287578597990503E-3</v>
      </c>
      <c r="D12139">
        <f>LOG10(3.051949)</f>
        <v>0.4845772720077321</v>
      </c>
    </row>
    <row r="12140" spans="1:4">
      <c r="A12140">
        <v>1.0202310000000001</v>
      </c>
      <c r="B12140">
        <v>3.1030609999999998</v>
      </c>
      <c r="C12140">
        <f>LOG10(1.020231)</f>
        <v>8.6985155531337371E-3</v>
      </c>
      <c r="D12140">
        <f>LOG10(3.103061)</f>
        <v>0.49179031303276538</v>
      </c>
    </row>
    <row r="12141" spans="1:4">
      <c r="A12141">
        <v>1.0148740000000001</v>
      </c>
      <c r="B12141">
        <v>2.9872380000000001</v>
      </c>
      <c r="C12141">
        <f>LOG10(1.014874)</f>
        <v>6.412126484223582E-3</v>
      </c>
      <c r="D12141">
        <f>LOG10(2.987238)</f>
        <v>0.47526982520507849</v>
      </c>
    </row>
    <row r="12142" spans="1:4">
      <c r="A12142">
        <v>1.015072</v>
      </c>
      <c r="B12142">
        <v>2.9466070000000002</v>
      </c>
      <c r="C12142">
        <f>LOG10(1.015072)</f>
        <v>6.496848252871135E-3</v>
      </c>
      <c r="D12142">
        <f>LOG10(2.946607)</f>
        <v>0.46932221623240028</v>
      </c>
    </row>
    <row r="12143" spans="1:4">
      <c r="A12143">
        <v>1.013798</v>
      </c>
      <c r="B12143">
        <v>3.0970610000000001</v>
      </c>
      <c r="C12143">
        <f>LOG10(1.013798)</f>
        <v>5.9514301209393E-3</v>
      </c>
      <c r="D12143">
        <f>LOG10(3.097061)</f>
        <v>0.49094975934532414</v>
      </c>
    </row>
    <row r="12144" spans="1:4">
      <c r="A12144">
        <v>1.0081530000000001</v>
      </c>
      <c r="B12144">
        <v>3.0527000000000002</v>
      </c>
      <c r="C12144">
        <f>LOG10(1.008153)</f>
        <v>3.5264468053244958E-3</v>
      </c>
      <c r="D12144">
        <f>LOG10(3.0527)</f>
        <v>0.48468412668768329</v>
      </c>
    </row>
    <row r="12145" spans="1:4">
      <c r="A12145">
        <v>1.021639</v>
      </c>
      <c r="B12145">
        <v>3.0456590000000001</v>
      </c>
      <c r="C12145">
        <f>LOG10(1.021639)</f>
        <v>9.2974633092984919E-3</v>
      </c>
      <c r="D12145">
        <f>LOG10(3.045659)</f>
        <v>0.48368127696832974</v>
      </c>
    </row>
    <row r="12146" spans="1:4">
      <c r="A12146">
        <v>1.010154</v>
      </c>
      <c r="B12146">
        <v>3.0669460000000002</v>
      </c>
      <c r="C12146">
        <f>LOG10(1.010154)</f>
        <v>4.3875878933912153E-3</v>
      </c>
      <c r="D12146">
        <f>LOG10(3.066946)</f>
        <v>0.48670612938695845</v>
      </c>
    </row>
    <row r="12147" spans="1:4">
      <c r="A12147">
        <v>1.0199339999999999</v>
      </c>
      <c r="B12147">
        <v>3.143637</v>
      </c>
      <c r="C12147">
        <f>LOG10(1.019934)</f>
        <v>8.572069445062544E-3</v>
      </c>
      <c r="D12147">
        <f>LOG10(3.143637)</f>
        <v>0.49743239169353254</v>
      </c>
    </row>
    <row r="12148" spans="1:4">
      <c r="A12148">
        <v>1.0259450000000001</v>
      </c>
      <c r="B12148">
        <v>3.1270470000000001</v>
      </c>
      <c r="C12148">
        <f>LOG10(1.025945)</f>
        <v>1.1124079258495248E-2</v>
      </c>
      <c r="D12148">
        <f>LOG10(3.127047)</f>
        <v>0.49513440880521409</v>
      </c>
    </row>
    <row r="12149" spans="1:4">
      <c r="A12149">
        <v>1.024932</v>
      </c>
      <c r="B12149">
        <v>3.04434</v>
      </c>
      <c r="C12149">
        <f>LOG10(1.024932)</f>
        <v>1.0695052704542237E-2</v>
      </c>
      <c r="D12149">
        <f>LOG10(3.04434)</f>
        <v>0.48349315397172909</v>
      </c>
    </row>
    <row r="12150" spans="1:4">
      <c r="A12150">
        <v>1.0198499999999999</v>
      </c>
      <c r="B12150">
        <v>3.0807220000000002</v>
      </c>
      <c r="C12150">
        <f>LOG10(1.01985)</f>
        <v>8.5363002297922184E-3</v>
      </c>
      <c r="D12150">
        <f>LOG10(3.080722)</f>
        <v>0.48865250996470699</v>
      </c>
    </row>
    <row r="12151" spans="1:4">
      <c r="A12151">
        <v>1.0239670000000001</v>
      </c>
      <c r="B12151">
        <v>3.16764</v>
      </c>
      <c r="C12151">
        <f>LOG10(1.023967)</f>
        <v>1.0285960596024121E-2</v>
      </c>
      <c r="D12151">
        <f>LOG10(3.16764)</f>
        <v>0.50073581846750181</v>
      </c>
    </row>
    <row r="12152" spans="1:4">
      <c r="A12152">
        <v>1.017663</v>
      </c>
      <c r="B12152">
        <v>3.036794</v>
      </c>
      <c r="C12152">
        <f>LOG10(1.017663)</f>
        <v>7.6039848073298022E-3</v>
      </c>
      <c r="D12152">
        <f>LOG10(3.036794)</f>
        <v>0.48241533268296471</v>
      </c>
    </row>
    <row r="12153" spans="1:4">
      <c r="A12153">
        <v>1.020389</v>
      </c>
      <c r="B12153">
        <v>3.1523349999999999</v>
      </c>
      <c r="C12153">
        <f>LOG10(1.020389)</f>
        <v>8.7657681805487237E-3</v>
      </c>
      <c r="D12153">
        <f>LOG10(3.152335)</f>
        <v>0.49863236393191901</v>
      </c>
    </row>
    <row r="12154" spans="1:4">
      <c r="A12154">
        <v>1.0158020000000001</v>
      </c>
      <c r="B12154">
        <v>3.1790729999999998</v>
      </c>
      <c r="C12154">
        <f>LOG10(1.015802)</f>
        <v>6.8090635704571674E-3</v>
      </c>
      <c r="D12154">
        <f>LOG10(3.179073)</f>
        <v>0.50230050058956921</v>
      </c>
    </row>
    <row r="12155" spans="1:4">
      <c r="A12155">
        <v>1.0272110000000001</v>
      </c>
      <c r="B12155">
        <v>3.8417560000000002</v>
      </c>
      <c r="C12155">
        <f>LOG10(1.027211)</f>
        <v>1.1659661439071371E-2</v>
      </c>
      <c r="D12155">
        <f>LOG10(3.841756)</f>
        <v>0.58452977821993268</v>
      </c>
    </row>
    <row r="12156" spans="1:4">
      <c r="A12156">
        <v>1.0226310000000001</v>
      </c>
      <c r="B12156">
        <v>3.806718</v>
      </c>
      <c r="C12156">
        <f>LOG10(1.022631)</f>
        <v>9.7189537776456517E-3</v>
      </c>
      <c r="D12156">
        <f>LOG10(3.806718)</f>
        <v>0.58055070566120581</v>
      </c>
    </row>
    <row r="12157" spans="1:4">
      <c r="A12157">
        <v>1.0279750000000001</v>
      </c>
      <c r="B12157">
        <v>4.0183730000000004</v>
      </c>
      <c r="C12157">
        <f>LOG10(1.027975)</f>
        <v>1.198255289459726E-2</v>
      </c>
      <c r="D12157">
        <f>LOG10(4.018373)</f>
        <v>0.60405024707703414</v>
      </c>
    </row>
    <row r="12158" spans="1:4">
      <c r="A12158">
        <v>1.0187349999999999</v>
      </c>
      <c r="B12158">
        <v>4.0772029999999999</v>
      </c>
      <c r="C12158">
        <f>LOG10(1.018735)</f>
        <v>8.0612271809773779E-3</v>
      </c>
      <c r="D12158">
        <f>LOG10(4.077203)</f>
        <v>0.61036233509332549</v>
      </c>
    </row>
    <row r="12159" spans="1:4">
      <c r="A12159">
        <v>1.023903</v>
      </c>
      <c r="B12159">
        <v>4.1564410000000001</v>
      </c>
      <c r="C12159">
        <f>LOG10(1.023903)</f>
        <v>1.0258815467816877E-2</v>
      </c>
      <c r="D12159">
        <f>LOG10(4.156441)</f>
        <v>0.61872162014254639</v>
      </c>
    </row>
    <row r="12160" spans="1:4">
      <c r="A12160">
        <v>1.0233129999999999</v>
      </c>
      <c r="B12160">
        <v>3.8571689999999998</v>
      </c>
      <c r="C12160">
        <f>LOG10(1.023313)</f>
        <v>1.000849136775419E-2</v>
      </c>
      <c r="D12160">
        <f>LOG10(3.857169)</f>
        <v>0.58626866768624364</v>
      </c>
    </row>
    <row r="12161" spans="1:4">
      <c r="A12161">
        <v>1.029822</v>
      </c>
      <c r="B12161">
        <v>3.934412</v>
      </c>
      <c r="C12161">
        <f>LOG10(1.029822)</f>
        <v>1.276216538648234E-2</v>
      </c>
      <c r="D12161">
        <f>LOG10(3.934412)</f>
        <v>0.59487983599962246</v>
      </c>
    </row>
    <row r="12162" spans="1:4">
      <c r="A12162">
        <v>1.027363</v>
      </c>
      <c r="B12162">
        <v>3.2047370000000002</v>
      </c>
      <c r="C12162">
        <f>LOG10(1.027363)</f>
        <v>1.1723920756447818E-2</v>
      </c>
      <c r="D12162">
        <f>LOG10(3.204737)</f>
        <v>0.50579239449902347</v>
      </c>
    </row>
    <row r="12163" spans="1:4">
      <c r="A12163">
        <v>1.007282</v>
      </c>
      <c r="B12163">
        <v>3.2496779999999998</v>
      </c>
      <c r="C12163">
        <f>LOG10(1.007282)</f>
        <v>3.1510732335772867E-3</v>
      </c>
      <c r="D12163">
        <f>LOG10(3.249678)</f>
        <v>0.51184033028618858</v>
      </c>
    </row>
    <row r="12164" spans="1:4">
      <c r="A12164">
        <v>1.0075510000000001</v>
      </c>
      <c r="B12164">
        <v>3.4329719999999999</v>
      </c>
      <c r="C12164">
        <f>LOG10(1.007551)</f>
        <v>3.2670383942890071E-3</v>
      </c>
      <c r="D12164">
        <f>LOG10(3.432972)</f>
        <v>0.53567026124832984</v>
      </c>
    </row>
    <row r="12165" spans="1:4">
      <c r="A12165">
        <v>1.0090269999999999</v>
      </c>
      <c r="B12165">
        <v>3.4717669999999998</v>
      </c>
      <c r="C12165">
        <f>LOG10(1.009027)</f>
        <v>3.9027874402066546E-3</v>
      </c>
      <c r="D12165">
        <f>LOG10(3.471767)</f>
        <v>0.54055057076430446</v>
      </c>
    </row>
    <row r="12166" spans="1:4">
      <c r="A12166">
        <v>1.0064329999999999</v>
      </c>
      <c r="B12166">
        <v>3.4993720000000001</v>
      </c>
      <c r="C12166">
        <f>LOG10(1.006433)</f>
        <v>2.7848684459257857E-3</v>
      </c>
      <c r="D12166">
        <f>LOG10(3.499372)</f>
        <v>0.54399011252000085</v>
      </c>
    </row>
    <row r="12167" spans="1:4">
      <c r="A12167">
        <v>1.011034</v>
      </c>
      <c r="B12167">
        <v>3.3800789999999998</v>
      </c>
      <c r="C12167">
        <f>LOG10(1.011034)</f>
        <v>4.7657606989132918E-3</v>
      </c>
      <c r="D12167">
        <f>LOG10(3.380079)</f>
        <v>0.52892685082887514</v>
      </c>
    </row>
    <row r="12168" spans="1:4">
      <c r="A12168">
        <v>1.0174339999999999</v>
      </c>
      <c r="B12168">
        <v>3.2602139999999999</v>
      </c>
      <c r="C12168">
        <f>LOG10(1.017434)</f>
        <v>7.5062465307015949E-3</v>
      </c>
      <c r="D12168">
        <f>LOG10(3.260214)</f>
        <v>0.51324610803383108</v>
      </c>
    </row>
    <row r="12169" spans="1:4">
      <c r="A12169">
        <v>1.0105930000000001</v>
      </c>
      <c r="B12169">
        <v>3.6553149999999999</v>
      </c>
      <c r="C12169">
        <f>LOG10(1.010593)</f>
        <v>4.57628571707221E-3</v>
      </c>
      <c r="D12169">
        <f>LOG10(3.655315)</f>
        <v>0.56292480861729399</v>
      </c>
    </row>
    <row r="12170" spans="1:4">
      <c r="A12170">
        <v>1.003989</v>
      </c>
      <c r="B12170">
        <v>3.542332</v>
      </c>
      <c r="C12170">
        <f>LOG10(1.003989)</f>
        <v>1.7289545764594405E-3</v>
      </c>
      <c r="D12170">
        <f>LOG10(3.542332)</f>
        <v>0.54928926239075226</v>
      </c>
    </row>
    <row r="12171" spans="1:4">
      <c r="A12171">
        <v>1.00885</v>
      </c>
      <c r="B12171">
        <v>3.2470840000000001</v>
      </c>
      <c r="C12171">
        <f>LOG10(1.00885)</f>
        <v>3.8265983330470323E-3</v>
      </c>
      <c r="D12171">
        <f>LOG10(3.247084)</f>
        <v>0.51149352369363588</v>
      </c>
    </row>
    <row r="12172" spans="1:4">
      <c r="A12172">
        <v>1.0112019999999999</v>
      </c>
      <c r="B12172">
        <v>3.2498049999999998</v>
      </c>
      <c r="C12172">
        <f>LOG10(1.011202)</f>
        <v>4.837919905976735E-3</v>
      </c>
      <c r="D12172">
        <f>LOG10(3.249805)</f>
        <v>0.51185730252819883</v>
      </c>
    </row>
    <row r="12173" spans="1:4">
      <c r="A12173">
        <v>1.0039469999999999</v>
      </c>
      <c r="B12173">
        <v>3.2139609999999998</v>
      </c>
      <c r="C12173">
        <f>LOG10(1.003947)</f>
        <v>1.7107862999380383E-3</v>
      </c>
      <c r="D12173">
        <f>LOG10(3.213961)</f>
        <v>0.50704060248720184</v>
      </c>
    </row>
    <row r="12174" spans="1:4">
      <c r="A12174">
        <v>1.0068189999999999</v>
      </c>
      <c r="B12174">
        <v>3.2677969999999998</v>
      </c>
      <c r="C12174">
        <f>LOG10(1.006819)</f>
        <v>2.9514026622770302E-3</v>
      </c>
      <c r="D12174">
        <f>LOG10(3.267797)</f>
        <v>0.51425506973365365</v>
      </c>
    </row>
    <row r="12175" spans="1:4">
      <c r="A12175">
        <v>1.009865</v>
      </c>
      <c r="B12175">
        <v>3.3371970000000002</v>
      </c>
      <c r="C12175">
        <f>LOG10(1.009865)</f>
        <v>4.2633206403343161E-3</v>
      </c>
      <c r="D12175">
        <f>LOG10(3.337197)</f>
        <v>0.52338184449945324</v>
      </c>
    </row>
    <row r="12176" spans="1:4">
      <c r="A12176">
        <v>1.007098</v>
      </c>
      <c r="B12176">
        <v>3.3719299999999999</v>
      </c>
      <c r="C12176">
        <f>LOG10(1.007098)</f>
        <v>3.0717335013595048E-3</v>
      </c>
      <c r="D12176">
        <f>LOG10(3.37193)</f>
        <v>0.52787855025600139</v>
      </c>
    </row>
    <row r="12177" spans="1:4">
      <c r="A12177">
        <v>1.0047630000000001</v>
      </c>
      <c r="B12177">
        <v>3.3494429999999999</v>
      </c>
      <c r="C12177">
        <f>LOG10(1.004763)</f>
        <v>2.0636339650833648E-3</v>
      </c>
      <c r="D12177">
        <f>LOG10(3.349443)</f>
        <v>0.52497259147296105</v>
      </c>
    </row>
    <row r="12178" spans="1:4">
      <c r="A12178">
        <v>1.01217</v>
      </c>
      <c r="B12178">
        <v>3.5341089999999999</v>
      </c>
      <c r="C12178">
        <f>LOG10(1.01217)</f>
        <v>5.2534609835000424E-3</v>
      </c>
      <c r="D12178">
        <f>LOG10(3.534109)</f>
        <v>0.54827994001186364</v>
      </c>
    </row>
    <row r="12179" spans="1:4">
      <c r="A12179">
        <v>1.006356</v>
      </c>
      <c r="B12179">
        <v>3.5673330000000001</v>
      </c>
      <c r="C12179">
        <f>LOG10(1.006356)</f>
        <v>2.7516402485113396E-3</v>
      </c>
      <c r="D12179">
        <f>LOG10(3.567333)</f>
        <v>0.55234365133788754</v>
      </c>
    </row>
    <row r="12180" spans="1:4">
      <c r="A12180">
        <v>1.016972</v>
      </c>
      <c r="B12180">
        <v>3.1012219999999999</v>
      </c>
      <c r="C12180">
        <f>LOG10(1.016972)</f>
        <v>7.3089957812558599E-3</v>
      </c>
      <c r="D12180">
        <f>LOG10(3.101222)</f>
        <v>0.49153285618380804</v>
      </c>
    </row>
    <row r="12181" spans="1:4">
      <c r="A12181">
        <v>1.006975</v>
      </c>
      <c r="B12181">
        <v>3.4453680000000002</v>
      </c>
      <c r="C12181">
        <f>LOG10(1.006975)</f>
        <v>3.0186885309532183E-3</v>
      </c>
      <c r="D12181">
        <f>LOG10(3.445368)</f>
        <v>0.5372356157454804</v>
      </c>
    </row>
    <row r="12182" spans="1:4">
      <c r="A12182">
        <v>1.0084340000000001</v>
      </c>
      <c r="B12182">
        <v>3.3693529999999998</v>
      </c>
      <c r="C12182">
        <f>LOG10(1.008434)</f>
        <v>3.6474797686478332E-3</v>
      </c>
      <c r="D12182">
        <f>LOG10(3.369353)</f>
        <v>0.52754651348069304</v>
      </c>
    </row>
    <row r="12183" spans="1:4">
      <c r="A12183">
        <v>1.006032</v>
      </c>
      <c r="B12183">
        <v>3.3068170000000001</v>
      </c>
      <c r="C12183">
        <f>LOG10(1.006032)</f>
        <v>2.6117950364026562E-3</v>
      </c>
      <c r="D12183">
        <f>LOG10(3.306817)</f>
        <v>0.51941016162393738</v>
      </c>
    </row>
    <row r="12184" spans="1:4">
      <c r="A12184">
        <v>1.013622</v>
      </c>
      <c r="B12184">
        <v>3.2495690000000002</v>
      </c>
      <c r="C12184">
        <f>LOG10(1.013622)</f>
        <v>5.8760280542664274E-3</v>
      </c>
      <c r="D12184">
        <f>LOG10(3.249569)</f>
        <v>0.51182576302984895</v>
      </c>
    </row>
    <row r="12185" spans="1:4">
      <c r="A12185">
        <v>1.0081709999999999</v>
      </c>
      <c r="B12185">
        <v>3.2037469999999999</v>
      </c>
      <c r="C12185">
        <f>LOG10(1.008171)</f>
        <v>3.5342008177494848E-3</v>
      </c>
      <c r="D12185">
        <f>LOG10(3.203747)</f>
        <v>0.5056582125176049</v>
      </c>
    </row>
    <row r="12186" spans="1:4">
      <c r="A12186">
        <v>1.0105770000000001</v>
      </c>
      <c r="B12186">
        <v>2.9480840000000001</v>
      </c>
      <c r="C12186">
        <f>LOG10(1.010577)</f>
        <v>4.5694097870805682E-3</v>
      </c>
      <c r="D12186">
        <f>LOG10(2.948084)</f>
        <v>0.46953985375171897</v>
      </c>
    </row>
    <row r="12187" spans="1:4">
      <c r="A12187">
        <v>1.0177240000000001</v>
      </c>
      <c r="B12187">
        <v>2.906358</v>
      </c>
      <c r="C12187">
        <f>LOG10(1.017724)</f>
        <v>7.6300161845608335E-3</v>
      </c>
      <c r="D12187">
        <f>LOG10(2.906358)</f>
        <v>0.46334910887749209</v>
      </c>
    </row>
    <row r="12188" spans="1:4">
      <c r="A12188">
        <v>1.016383</v>
      </c>
      <c r="B12188">
        <v>3.0307849999999998</v>
      </c>
      <c r="C12188">
        <f>LOG10(1.016383)</f>
        <v>7.0573924390007715E-3</v>
      </c>
      <c r="D12188">
        <f>LOG10(3.030785)</f>
        <v>0.48155512916688903</v>
      </c>
    </row>
    <row r="12189" spans="1:4">
      <c r="A12189">
        <v>1.0080249999999999</v>
      </c>
      <c r="B12189">
        <v>3.298035</v>
      </c>
      <c r="C12189">
        <f>LOG10(1.008025)</f>
        <v>3.4713031684448581E-3</v>
      </c>
      <c r="D12189">
        <f>LOG10(3.298035)</f>
        <v>0.51825526023094104</v>
      </c>
    </row>
    <row r="12190" spans="1:4">
      <c r="A12190">
        <v>1.0107660000000001</v>
      </c>
      <c r="B12190">
        <v>3.3007770000000001</v>
      </c>
      <c r="C12190">
        <f>LOG10(1.010766)</f>
        <v>4.6506247588284765E-3</v>
      </c>
      <c r="D12190">
        <f>LOG10(3.300777)</f>
        <v>0.51861618445121493</v>
      </c>
    </row>
    <row r="12191" spans="1:4">
      <c r="A12191">
        <v>1.0063230000000001</v>
      </c>
      <c r="B12191">
        <v>3.3975689999999998</v>
      </c>
      <c r="C12191">
        <f>LOG10(1.006323)</f>
        <v>2.7373988141802122E-3</v>
      </c>
      <c r="D12191">
        <f>LOG10(3.397569)</f>
        <v>0.53116828542365235</v>
      </c>
    </row>
    <row r="12192" spans="1:4">
      <c r="A12192">
        <v>1.0064439999999999</v>
      </c>
      <c r="B12192">
        <v>3.1898689999999998</v>
      </c>
      <c r="C12192">
        <f>LOG10(1.006444)</f>
        <v>2.7896151237416442E-3</v>
      </c>
      <c r="D12192">
        <f>LOG10(3.189869)</f>
        <v>0.50377284802729649</v>
      </c>
    </row>
    <row r="12193" spans="1:4">
      <c r="A12193">
        <v>1.0086360000000001</v>
      </c>
      <c r="B12193">
        <v>3.0956570000000001</v>
      </c>
      <c r="C12193">
        <f>LOG10(1.008636)</f>
        <v>3.7344648367295037E-3</v>
      </c>
      <c r="D12193">
        <f>LOG10(3.095657)</f>
        <v>0.49075283467895331</v>
      </c>
    </row>
    <row r="12194" spans="1:4">
      <c r="A12194">
        <v>1.02017</v>
      </c>
      <c r="B12194">
        <v>3.1402909999999999</v>
      </c>
      <c r="C12194">
        <f>LOG10(1.02017)</f>
        <v>8.672548144370431E-3</v>
      </c>
      <c r="D12194">
        <f>LOG10(3.140291)</f>
        <v>0.49696989451858642</v>
      </c>
    </row>
    <row r="12195" spans="1:4">
      <c r="A12195">
        <v>1.014278</v>
      </c>
      <c r="B12195">
        <v>3.388287</v>
      </c>
      <c r="C12195">
        <f>LOG10(1.014278)</f>
        <v>6.1570056074654305E-3</v>
      </c>
      <c r="D12195">
        <f>LOG10(3.388287)</f>
        <v>0.52998018950911918</v>
      </c>
    </row>
    <row r="12196" spans="1:4">
      <c r="A12196">
        <v>1.007533</v>
      </c>
      <c r="B12196">
        <v>3.4199929999999998</v>
      </c>
      <c r="C12196">
        <f>LOG10(1.007533)</f>
        <v>3.2592796103628795E-3</v>
      </c>
      <c r="D12196">
        <f>LOG10(3.419993)</f>
        <v>0.53402521714839102</v>
      </c>
    </row>
    <row r="12197" spans="1:4">
      <c r="A12197">
        <v>1.007865</v>
      </c>
      <c r="B12197">
        <v>3.383575</v>
      </c>
      <c r="C12197">
        <f>LOG10(1.007865)</f>
        <v>3.4023637746779314E-3</v>
      </c>
      <c r="D12197">
        <f>LOG10(3.383575)</f>
        <v>0.52937580745614965</v>
      </c>
    </row>
    <row r="12198" spans="1:4">
      <c r="A12198">
        <v>1.0080439999999999</v>
      </c>
      <c r="B12198">
        <v>3.382425</v>
      </c>
      <c r="C12198">
        <f>LOG10(1.008044)</f>
        <v>3.4794889945811681E-3</v>
      </c>
      <c r="D12198">
        <f>LOG10(3.382425)</f>
        <v>0.52922817557350166</v>
      </c>
    </row>
    <row r="12199" spans="1:4">
      <c r="A12199">
        <v>1.010483</v>
      </c>
      <c r="B12199">
        <v>3.368862</v>
      </c>
      <c r="C12199">
        <f>LOG10(1.010483)</f>
        <v>4.5290114997181352E-3</v>
      </c>
      <c r="D12199">
        <f>LOG10(3.368862)</f>
        <v>0.52748322117227253</v>
      </c>
    </row>
    <row r="12200" spans="1:4">
      <c r="A12200">
        <v>1.0114069999999999</v>
      </c>
      <c r="B12200">
        <v>3.345383</v>
      </c>
      <c r="C12200">
        <f>LOG10(1.011407)</f>
        <v>4.9259550814308457E-3</v>
      </c>
      <c r="D12200">
        <f>LOG10(3.345383)</f>
        <v>0.52444584565083485</v>
      </c>
    </row>
    <row r="12201" spans="1:4">
      <c r="A12201">
        <v>1.0084310000000001</v>
      </c>
      <c r="B12201">
        <v>3.2383099999999998</v>
      </c>
      <c r="C12201">
        <f>LOG10(1.008431)</f>
        <v>3.6461877798972726E-3</v>
      </c>
      <c r="D12201">
        <f>LOG10(3.23831)</f>
        <v>0.51031842096001356</v>
      </c>
    </row>
    <row r="12202" spans="1:4">
      <c r="A12202">
        <v>1.007622</v>
      </c>
      <c r="B12202">
        <v>4.6573089999999997</v>
      </c>
      <c r="C12202">
        <f>LOG10(1.007622)</f>
        <v>3.2976411348257851E-3</v>
      </c>
      <c r="D12202">
        <f>LOG10(4.657309)</f>
        <v>0.66813505316635891</v>
      </c>
    </row>
    <row r="12203" spans="1:4">
      <c r="A12203">
        <v>1.0126740000000001</v>
      </c>
      <c r="B12203">
        <v>4.9461469999999998</v>
      </c>
      <c r="C12203">
        <f>LOG10(1.012674)</f>
        <v>5.469659785382666E-3</v>
      </c>
      <c r="D12203">
        <f>LOG10(4.946147)</f>
        <v>0.69426701949396941</v>
      </c>
    </row>
    <row r="12204" spans="1:4">
      <c r="A12204">
        <v>1.0050650000000001</v>
      </c>
      <c r="B12204">
        <v>5.9957440000000002</v>
      </c>
      <c r="C12204">
        <f>LOG10(1.005065)</f>
        <v>2.1941495460404458E-3</v>
      </c>
      <c r="D12204">
        <f>LOG10(5.995744)</f>
        <v>0.77784308152099768</v>
      </c>
    </row>
    <row r="12205" spans="1:4">
      <c r="A12205">
        <v>1.0065789999999999</v>
      </c>
      <c r="B12205">
        <v>4.0595860000000004</v>
      </c>
      <c r="C12205">
        <f>LOG10(1.006579)</f>
        <v>2.8478655810338189E-3</v>
      </c>
      <c r="D12205">
        <f>LOG10(4.059586)</f>
        <v>0.60848174611828587</v>
      </c>
    </row>
    <row r="12206" spans="1:4">
      <c r="A12206">
        <v>1.006634</v>
      </c>
      <c r="B12206">
        <v>3.2328130000000002</v>
      </c>
      <c r="C12206">
        <f>LOG10(1.006634)</f>
        <v>2.8715950090781256E-3</v>
      </c>
      <c r="D12206">
        <f>LOG10(3.232813)</f>
        <v>0.50958058385160265</v>
      </c>
    </row>
    <row r="12207" spans="1:4">
      <c r="A12207">
        <v>1.011398</v>
      </c>
      <c r="B12207">
        <v>3.22973</v>
      </c>
      <c r="C12207">
        <f>LOG10(1.011398)</f>
        <v>4.9220904970174962E-3</v>
      </c>
      <c r="D12207">
        <f>LOG10(3.22973)</f>
        <v>0.50916621755979441</v>
      </c>
    </row>
    <row r="12208" spans="1:4">
      <c r="A12208">
        <v>1.007987</v>
      </c>
      <c r="B12208">
        <v>3.1922510000000002</v>
      </c>
      <c r="C12208">
        <f>LOG10(1.007987)</f>
        <v>3.4549310532845609E-3</v>
      </c>
      <c r="D12208">
        <f>LOG10(3.192251)</f>
        <v>0.50409703168536901</v>
      </c>
    </row>
    <row r="12209" spans="1:4">
      <c r="A12209">
        <v>1.0095179999999999</v>
      </c>
      <c r="B12209">
        <v>3.0444450000000001</v>
      </c>
      <c r="C12209">
        <f>LOG10(1.009518)</f>
        <v>4.1140669458110688E-3</v>
      </c>
      <c r="D12209">
        <f>LOG10(3.044445)</f>
        <v>0.48350813263187375</v>
      </c>
    </row>
    <row r="12210" spans="1:4">
      <c r="A12210">
        <v>1.0065789999999999</v>
      </c>
      <c r="B12210">
        <v>3.2048559999999999</v>
      </c>
      <c r="C12210">
        <f>LOG10(1.006579)</f>
        <v>2.8478655810338189E-3</v>
      </c>
      <c r="D12210">
        <f>LOG10(3.204856)</f>
        <v>0.50580852065347737</v>
      </c>
    </row>
    <row r="12211" spans="1:4">
      <c r="A12211">
        <v>1.0090669999999999</v>
      </c>
      <c r="B12211">
        <v>3.3233510000000002</v>
      </c>
      <c r="C12211">
        <f>LOG10(1.009067)</f>
        <v>3.9200034660988306E-3</v>
      </c>
      <c r="D12211">
        <f>LOG10(3.323351)</f>
        <v>0.52157621227267148</v>
      </c>
    </row>
    <row r="12212" spans="1:4">
      <c r="A12212">
        <v>1.008297</v>
      </c>
      <c r="B12212">
        <v>3.3488799999999999</v>
      </c>
      <c r="C12212">
        <f>LOG10(1.008297)</f>
        <v>3.5884750286876784E-3</v>
      </c>
      <c r="D12212">
        <f>LOG10(3.34888)</f>
        <v>0.52489958579858931</v>
      </c>
    </row>
    <row r="12213" spans="1:4">
      <c r="A12213">
        <v>1.0049920000000001</v>
      </c>
      <c r="B12213">
        <v>3.3894929999999999</v>
      </c>
      <c r="C12213">
        <f>LOG10(1.004992)</f>
        <v>2.1626046722454527E-3</v>
      </c>
      <c r="D12213">
        <f>LOG10(3.389493)</f>
        <v>0.53013474133898175</v>
      </c>
    </row>
    <row r="12214" spans="1:4">
      <c r="A12214">
        <v>1.014421</v>
      </c>
      <c r="B12214">
        <v>3.4203139999999999</v>
      </c>
      <c r="C12214">
        <f>LOG10(1.014421)</f>
        <v>6.218231162380205E-3</v>
      </c>
      <c r="D12214">
        <f>LOG10(3.420314)</f>
        <v>0.53406597804663525</v>
      </c>
    </row>
    <row r="12215" spans="1:4">
      <c r="A12215">
        <v>1.026794</v>
      </c>
      <c r="B12215">
        <v>3.530967</v>
      </c>
      <c r="C12215">
        <f>LOG10(1.026794)</f>
        <v>1.1483322236935245E-2</v>
      </c>
      <c r="D12215">
        <f>LOG10(3.530967)</f>
        <v>0.54789365871719686</v>
      </c>
    </row>
    <row r="12216" spans="1:4">
      <c r="A12216">
        <v>1.023077</v>
      </c>
      <c r="B12216">
        <v>3.5823969999999998</v>
      </c>
      <c r="C12216">
        <f>LOG10(1.023077)</f>
        <v>9.9083213139682449E-3</v>
      </c>
      <c r="D12216">
        <f>LOG10(3.582397)</f>
        <v>0.55417371254469394</v>
      </c>
    </row>
    <row r="12217" spans="1:4">
      <c r="A12217">
        <v>1.019517</v>
      </c>
      <c r="B12217">
        <v>3.5554739999999998</v>
      </c>
      <c r="C12217">
        <f>LOG10(1.019517)</f>
        <v>8.3944718450443545E-3</v>
      </c>
      <c r="D12217">
        <f>LOG10(3.555474)</f>
        <v>0.5508975071366532</v>
      </c>
    </row>
    <row r="12218" spans="1:4">
      <c r="A12218">
        <v>1.0105379999999999</v>
      </c>
      <c r="B12218">
        <v>3.5559470000000002</v>
      </c>
      <c r="C12218">
        <f>LOG10(1.010538)</f>
        <v>4.5526492516371302E-3</v>
      </c>
      <c r="D12218">
        <f>LOG10(3.555947)</f>
        <v>0.55095527935692912</v>
      </c>
    </row>
    <row r="12219" spans="1:4">
      <c r="A12219">
        <v>1.0097959999999999</v>
      </c>
      <c r="B12219">
        <v>3.5294370000000002</v>
      </c>
      <c r="C12219">
        <f>LOG10(1.009796)</f>
        <v>4.2336460372568441E-3</v>
      </c>
      <c r="D12219">
        <f>LOG10(3.529437)</f>
        <v>0.54770543419981432</v>
      </c>
    </row>
    <row r="12220" spans="1:4">
      <c r="A12220">
        <v>1.012982</v>
      </c>
      <c r="B12220">
        <v>3.6102620000000001</v>
      </c>
      <c r="C12220">
        <f>LOG10(1.012982)</f>
        <v>5.6017283117830155E-3</v>
      </c>
      <c r="D12220">
        <f>LOG10(3.610262)</f>
        <v>0.55753872019524597</v>
      </c>
    </row>
    <row r="12221" spans="1:4">
      <c r="A12221">
        <v>1.016842</v>
      </c>
      <c r="B12221">
        <v>3.7478760000000002</v>
      </c>
      <c r="C12221">
        <f>LOG10(1.016842)</f>
        <v>7.2534761686223583E-3</v>
      </c>
      <c r="D12221">
        <f>LOG10(3.747876)</f>
        <v>0.57378521364407253</v>
      </c>
    </row>
    <row r="12222" spans="1:4">
      <c r="A12222">
        <v>1.0196719999999999</v>
      </c>
      <c r="B12222">
        <v>3.6827179999999999</v>
      </c>
      <c r="C12222">
        <f>LOG10(1.019672)</f>
        <v>8.4604938222368597E-3</v>
      </c>
      <c r="D12222">
        <f>LOG10(3.682718)</f>
        <v>0.56616846451529346</v>
      </c>
    </row>
    <row r="12223" spans="1:4">
      <c r="A12223">
        <v>1.0110699999999999</v>
      </c>
      <c r="B12223">
        <v>3.600743</v>
      </c>
      <c r="C12223">
        <f>LOG10(1.01107)</f>
        <v>4.7812243954888749E-3</v>
      </c>
      <c r="D12223">
        <f>LOG10(3.600743)</f>
        <v>0.55639212507444535</v>
      </c>
    </row>
    <row r="12224" spans="1:4">
      <c r="A12224">
        <v>1.0174350000000001</v>
      </c>
      <c r="B12224">
        <v>3.5864579999999999</v>
      </c>
      <c r="C12224">
        <f>LOG10(1.017435)</f>
        <v>7.5066733832232693E-3</v>
      </c>
      <c r="D12224">
        <f>LOG10(3.586458)</f>
        <v>0.55466574930081791</v>
      </c>
    </row>
    <row r="12225" spans="1:4">
      <c r="A12225">
        <v>1.016662</v>
      </c>
      <c r="B12225">
        <v>3.3418009999999998</v>
      </c>
      <c r="C12225">
        <f>LOG10(1.016662)</f>
        <v>7.1765911396804091E-3</v>
      </c>
      <c r="D12225">
        <f>LOG10(3.341801)</f>
        <v>0.52398058464322372</v>
      </c>
    </row>
    <row r="12226" spans="1:4">
      <c r="A12226">
        <v>1.014003</v>
      </c>
      <c r="B12226">
        <v>3.523234</v>
      </c>
      <c r="C12226">
        <f>LOG10(1.014003)</f>
        <v>6.0392398903333106E-3</v>
      </c>
      <c r="D12226">
        <f>LOG10(3.523234)</f>
        <v>0.54694148835124468</v>
      </c>
    </row>
    <row r="12227" spans="1:4">
      <c r="A12227">
        <v>1.0148839999999999</v>
      </c>
      <c r="B12227">
        <v>3.328452</v>
      </c>
      <c r="C12227">
        <f>LOG10(1.014884)</f>
        <v>6.4164057577320499E-3</v>
      </c>
      <c r="D12227">
        <f>LOG10(3.328452)</f>
        <v>0.52224229832075464</v>
      </c>
    </row>
    <row r="12228" spans="1:4">
      <c r="A12228">
        <v>1.012227</v>
      </c>
      <c r="B12228">
        <v>3.4399869999999999</v>
      </c>
      <c r="C12228">
        <f>LOG10(1.012227)</f>
        <v>5.2779174369279184E-3</v>
      </c>
      <c r="D12228">
        <f>LOG10(3.439987)</f>
        <v>0.53655680133928219</v>
      </c>
    </row>
    <row r="12229" spans="1:4">
      <c r="A12229">
        <v>1.0150680000000001</v>
      </c>
      <c r="B12229">
        <v>3.6087310000000001</v>
      </c>
      <c r="C12229">
        <f>LOG10(1.015068)</f>
        <v>6.4951368655504884E-3</v>
      </c>
      <c r="D12229">
        <f>LOG10(3.608731)</f>
        <v>0.55735451033058403</v>
      </c>
    </row>
    <row r="12230" spans="1:4">
      <c r="A12230">
        <v>1.0240860000000001</v>
      </c>
      <c r="B12230">
        <v>3.4023500000000002</v>
      </c>
      <c r="C12230">
        <f>LOG10(1.024086)</f>
        <v>1.0336429058905344E-2</v>
      </c>
      <c r="D12230">
        <f>LOG10(3.40235)</f>
        <v>0.5317789874805815</v>
      </c>
    </row>
    <row r="12231" spans="1:4">
      <c r="A12231">
        <v>1.019604</v>
      </c>
      <c r="B12231">
        <v>3.4600379999999999</v>
      </c>
      <c r="C12231">
        <f>LOG10(1.019604)</f>
        <v>8.431530577653638E-3</v>
      </c>
      <c r="D12231">
        <f>LOG10(3.460038)</f>
        <v>0.53908086847476755</v>
      </c>
    </row>
    <row r="12232" spans="1:4">
      <c r="A12232">
        <v>1.016205</v>
      </c>
      <c r="B12232">
        <v>3.3646039999999999</v>
      </c>
      <c r="C12232">
        <f>LOG10(1.016205)</f>
        <v>6.9813274243727208E-3</v>
      </c>
      <c r="D12232">
        <f>LOG10(3.364604)</f>
        <v>0.52693395690022127</v>
      </c>
    </row>
    <row r="12233" spans="1:4">
      <c r="A12233">
        <v>1.023954</v>
      </c>
      <c r="B12233">
        <v>3.2932630000000001</v>
      </c>
      <c r="C12233">
        <f>LOG10(1.023954)</f>
        <v>1.0280446879171921E-2</v>
      </c>
      <c r="D12233">
        <f>LOG10(3.293263)</f>
        <v>0.51762641485640715</v>
      </c>
    </row>
    <row r="12234" spans="1:4">
      <c r="A12234">
        <v>1.0247740000000001</v>
      </c>
      <c r="B12234">
        <v>3.3214830000000002</v>
      </c>
      <c r="C12234">
        <f>LOG10(1.024774)</f>
        <v>1.0628098196650303E-2</v>
      </c>
      <c r="D12234">
        <f>LOG10(3.321483)</f>
        <v>0.52133203397910799</v>
      </c>
    </row>
    <row r="12235" spans="1:4">
      <c r="A12235">
        <v>1.0134339999999999</v>
      </c>
      <c r="B12235">
        <v>3.3179069999999999</v>
      </c>
      <c r="C12235">
        <f>LOG10(1.013434)</f>
        <v>5.7954704743752479E-3</v>
      </c>
      <c r="D12235">
        <f>LOG10(3.317907)</f>
        <v>0.52086420870676764</v>
      </c>
    </row>
    <row r="12236" spans="1:4">
      <c r="A12236">
        <v>1.014858</v>
      </c>
      <c r="B12236">
        <v>3.2855669999999999</v>
      </c>
      <c r="C12236">
        <f>LOG10(1.014858)</f>
        <v>6.4052795589047687E-3</v>
      </c>
      <c r="D12236">
        <f>LOG10(3.285567)</f>
        <v>0.51661032784478156</v>
      </c>
    </row>
    <row r="12237" spans="1:4">
      <c r="A12237">
        <v>1.0262830000000001</v>
      </c>
      <c r="B12237">
        <v>3.3206720000000001</v>
      </c>
      <c r="C12237">
        <f>LOG10(1.026283)</f>
        <v>1.1267135036128684E-2</v>
      </c>
      <c r="D12237">
        <f>LOG10(3.320672)</f>
        <v>0.52122598019789568</v>
      </c>
    </row>
    <row r="12238" spans="1:4">
      <c r="A12238">
        <v>1.0307139999999999</v>
      </c>
      <c r="B12238">
        <v>3.4863179999999998</v>
      </c>
      <c r="C12238">
        <f>LOG10(1.030714)</f>
        <v>1.3138175028688684E-2</v>
      </c>
      <c r="D12238">
        <f>LOG10(3.486318)</f>
        <v>0.54236699819178547</v>
      </c>
    </row>
    <row r="12239" spans="1:4">
      <c r="A12239">
        <v>1.0167679999999999</v>
      </c>
      <c r="B12239">
        <v>3.4194939999999998</v>
      </c>
      <c r="C12239">
        <f>LOG10(1.016768)</f>
        <v>7.2218695265670162E-3</v>
      </c>
      <c r="D12239">
        <f>LOG10(3.419494)</f>
        <v>0.53396184603682828</v>
      </c>
    </row>
    <row r="12240" spans="1:4">
      <c r="A12240">
        <v>1.0145310000000001</v>
      </c>
      <c r="B12240">
        <v>3.510154</v>
      </c>
      <c r="C12240">
        <f>LOG10(1.014531)</f>
        <v>6.2653218703478527E-3</v>
      </c>
      <c r="D12240">
        <f>LOG10(3.510154)</f>
        <v>0.54532617056356147</v>
      </c>
    </row>
    <row r="12241" spans="1:4">
      <c r="A12241">
        <v>1.0244880000000001</v>
      </c>
      <c r="B12241">
        <v>3.4810150000000002</v>
      </c>
      <c r="C12241">
        <f>LOG10(1.024488)</f>
        <v>1.0506875802802408E-2</v>
      </c>
      <c r="D12241">
        <f>LOG10(3.481015)</f>
        <v>0.54170589470146535</v>
      </c>
    </row>
    <row r="12242" spans="1:4">
      <c r="A12242">
        <v>1.038597</v>
      </c>
      <c r="B12242">
        <v>3.4199540000000002</v>
      </c>
      <c r="C12242">
        <f>LOG10(1.038597)</f>
        <v>1.6447063795983957E-2</v>
      </c>
      <c r="D12242">
        <f>LOG10(3.419954)</f>
        <v>0.53402026462908225</v>
      </c>
    </row>
    <row r="12243" spans="1:4">
      <c r="A12243">
        <v>1.039615</v>
      </c>
      <c r="B12243">
        <v>3.7952910000000002</v>
      </c>
      <c r="C12243">
        <f>LOG10(1.039615)</f>
        <v>1.6872537056593244E-2</v>
      </c>
      <c r="D12243">
        <f>LOG10(3.795291)</f>
        <v>0.57924508058699165</v>
      </c>
    </row>
    <row r="12244" spans="1:4">
      <c r="A12244">
        <v>1.030278</v>
      </c>
      <c r="B12244">
        <v>3.56155</v>
      </c>
      <c r="C12244">
        <f>LOG10(1.030278)</f>
        <v>1.2954426234967552E-2</v>
      </c>
      <c r="D12244">
        <f>LOG10(3.56155)</f>
        <v>0.55163904571039846</v>
      </c>
    </row>
    <row r="12245" spans="1:4">
      <c r="A12245">
        <v>1.465263</v>
      </c>
      <c r="B12245">
        <v>3.5436200000000002</v>
      </c>
      <c r="C12245">
        <f>LOG10(1.465263)</f>
        <v>0.16591558318671867</v>
      </c>
      <c r="D12245">
        <f>LOG10(3.54362)</f>
        <v>0.54944714415423357</v>
      </c>
    </row>
    <row r="12246" spans="1:4">
      <c r="A12246">
        <v>1.0303869999999999</v>
      </c>
      <c r="B12246">
        <v>3.432604</v>
      </c>
      <c r="C12246">
        <f>LOG10(1.030387)</f>
        <v>1.3000370722374838E-2</v>
      </c>
      <c r="D12246">
        <f>LOG10(3.432604)</f>
        <v>0.53562370423126571</v>
      </c>
    </row>
    <row r="12247" spans="1:4">
      <c r="A12247">
        <v>1.0247550000000001</v>
      </c>
      <c r="B12247">
        <v>3.3493889999999999</v>
      </c>
      <c r="C12247">
        <f>LOG10(1.024755)</f>
        <v>1.0620046009873346E-2</v>
      </c>
      <c r="D12247">
        <f>LOG10(3.349389)</f>
        <v>0.52496558968458262</v>
      </c>
    </row>
    <row r="12248" spans="1:4">
      <c r="A12248">
        <v>1.032907</v>
      </c>
      <c r="B12248">
        <v>3.4688620000000001</v>
      </c>
      <c r="C12248">
        <f>LOG10(1.032907)</f>
        <v>1.4061220643497621E-2</v>
      </c>
      <c r="D12248">
        <f>LOG10(3.468862)</f>
        <v>0.54018702286580678</v>
      </c>
    </row>
    <row r="12249" spans="1:4">
      <c r="A12249">
        <v>1.0183960000000001</v>
      </c>
      <c r="B12249">
        <v>3.5893739999999998</v>
      </c>
      <c r="C12249">
        <f>LOG10(1.018396)</f>
        <v>7.916684850882592E-3</v>
      </c>
      <c r="D12249">
        <f>LOG10(3.589374)</f>
        <v>0.55501871263076707</v>
      </c>
    </row>
    <row r="12250" spans="1:4">
      <c r="A12250">
        <v>1.0170129999999999</v>
      </c>
      <c r="B12250">
        <v>3.5068130000000002</v>
      </c>
      <c r="C12250">
        <f>LOG10(1.017013)</f>
        <v>7.3265043408179287E-3</v>
      </c>
      <c r="D12250">
        <f>LOG10(3.506813)</f>
        <v>0.54491260784517193</v>
      </c>
    </row>
    <row r="12251" spans="1:4">
      <c r="A12251">
        <v>1.026003</v>
      </c>
      <c r="B12251">
        <v>3.5361090000000002</v>
      </c>
      <c r="C12251">
        <f>LOG10(1.026003)</f>
        <v>1.114863064084709E-2</v>
      </c>
      <c r="D12251">
        <f>LOG10(3.536109)</f>
        <v>0.54852564360600309</v>
      </c>
    </row>
    <row r="12252" spans="1:4">
      <c r="A12252">
        <v>1.017126</v>
      </c>
      <c r="B12252">
        <v>3.3673570000000002</v>
      </c>
      <c r="C12252">
        <f>LOG10(1.017126)</f>
        <v>7.3747559858683039E-3</v>
      </c>
      <c r="D12252">
        <f>LOG10(3.367357)</f>
        <v>0.52728916180272423</v>
      </c>
    </row>
    <row r="12253" spans="1:4">
      <c r="A12253">
        <v>1.0246409999999999</v>
      </c>
      <c r="B12253">
        <v>3.3761060000000001</v>
      </c>
      <c r="C12253">
        <f>LOG10(1.024641)</f>
        <v>1.0571729753778273E-2</v>
      </c>
      <c r="D12253">
        <f>LOG10(3.376106)</f>
        <v>0.52841607376297395</v>
      </c>
    </row>
    <row r="12254" spans="1:4">
      <c r="A12254">
        <v>1.0306569999999999</v>
      </c>
      <c r="B12254">
        <v>3.3308499999999999</v>
      </c>
      <c r="C12254">
        <f>LOG10(1.030657)</f>
        <v>1.311415724103689E-2</v>
      </c>
      <c r="D12254">
        <f>LOG10(3.33085)</f>
        <v>0.52255507530927936</v>
      </c>
    </row>
    <row r="12255" spans="1:4">
      <c r="A12255">
        <v>1.025865</v>
      </c>
      <c r="B12255">
        <v>3.2410890000000001</v>
      </c>
      <c r="C12255">
        <f>LOG10(1.025865)</f>
        <v>1.1090213005216532E-2</v>
      </c>
      <c r="D12255">
        <f>LOG10(3.241089)</f>
        <v>0.5106909568816983</v>
      </c>
    </row>
    <row r="12256" spans="1:4">
      <c r="A12256">
        <v>1.027037</v>
      </c>
      <c r="B12256">
        <v>3.1743999999999999</v>
      </c>
      <c r="C12256">
        <f>LOG10(1.027037)</f>
        <v>1.1586089757334855E-2</v>
      </c>
      <c r="D12256">
        <f>LOG10(3.1744)</f>
        <v>0.50166165047408462</v>
      </c>
    </row>
    <row r="12257" spans="1:4">
      <c r="A12257">
        <v>1.0154540000000001</v>
      </c>
      <c r="B12257">
        <v>3.0980759999999998</v>
      </c>
      <c r="C12257">
        <f>LOG10(1.015454)</f>
        <v>6.6602546746990666E-3</v>
      </c>
      <c r="D12257">
        <f>LOG10(3.098076)</f>
        <v>0.49109206738567129</v>
      </c>
    </row>
    <row r="12258" spans="1:4">
      <c r="A12258">
        <v>1.0089140000000001</v>
      </c>
      <c r="B12258">
        <v>3.1168330000000002</v>
      </c>
      <c r="C12258">
        <f>LOG10(1.008914)</f>
        <v>3.854148479497417E-3</v>
      </c>
      <c r="D12258">
        <f>LOG10(3.116833)</f>
        <v>0.49371353338962548</v>
      </c>
    </row>
    <row r="12259" spans="1:4">
      <c r="A12259">
        <v>1.027223</v>
      </c>
      <c r="B12259">
        <v>3.803601</v>
      </c>
      <c r="C12259">
        <f>LOG10(1.027223)</f>
        <v>1.1664734888773677E-2</v>
      </c>
      <c r="D12259">
        <f>LOG10(3.803601)</f>
        <v>0.58019495290608813</v>
      </c>
    </row>
    <row r="12260" spans="1:4">
      <c r="A12260">
        <v>1.037385</v>
      </c>
      <c r="B12260">
        <v>3.1435870000000001</v>
      </c>
      <c r="C12260">
        <f>LOG10(1.037385)</f>
        <v>1.5939964050543143E-2</v>
      </c>
      <c r="D12260">
        <f>LOG10(3.143587)</f>
        <v>0.49742548412221155</v>
      </c>
    </row>
    <row r="12261" spans="1:4">
      <c r="A12261">
        <v>1.0252810000000001</v>
      </c>
      <c r="B12261">
        <v>3.083609</v>
      </c>
      <c r="C12261">
        <f>LOG10(1.025281)</f>
        <v>1.0842909318121707E-2</v>
      </c>
      <c r="D12261">
        <f>LOG10(3.083609)</f>
        <v>0.4890593045579647</v>
      </c>
    </row>
    <row r="12262" spans="1:4">
      <c r="A12262">
        <v>1.0121199999999999</v>
      </c>
      <c r="B12262">
        <v>2.9715989999999999</v>
      </c>
      <c r="C12262">
        <f>LOG10(1.01212)</f>
        <v>5.2320068202135325E-3</v>
      </c>
      <c r="D12262">
        <f>LOG10(2.971599)</f>
        <v>0.47299020352826837</v>
      </c>
    </row>
    <row r="12263" spans="1:4">
      <c r="A12263">
        <v>1.0309159999999999</v>
      </c>
      <c r="B12263">
        <v>2.811966</v>
      </c>
      <c r="C12263">
        <f>LOG10(1.030916)</f>
        <v>1.3223280004484734E-2</v>
      </c>
      <c r="D12263">
        <f>LOG10(2.811966)</f>
        <v>0.44901006524478004</v>
      </c>
    </row>
    <row r="12264" spans="1:4">
      <c r="A12264">
        <v>1.0391170000000001</v>
      </c>
      <c r="B12264">
        <v>3.0483730000000002</v>
      </c>
      <c r="C12264">
        <f>LOG10(1.039117)</f>
        <v>1.6664449957221682E-2</v>
      </c>
      <c r="D12264">
        <f>LOG10(3.048373)</f>
        <v>0.48406810634559971</v>
      </c>
    </row>
    <row r="12265" spans="1:4">
      <c r="A12265">
        <v>1.0316860000000001</v>
      </c>
      <c r="B12265">
        <v>3.0091209999999999</v>
      </c>
      <c r="C12265">
        <f>LOG10(1.031686)</f>
        <v>1.3547537196711182E-2</v>
      </c>
      <c r="D12265">
        <f>LOG10(3.009121)</f>
        <v>0.47843965154059814</v>
      </c>
    </row>
    <row r="12266" spans="1:4">
      <c r="A12266">
        <v>1.0089809999999999</v>
      </c>
      <c r="B12266">
        <v>2.852706</v>
      </c>
      <c r="C12266">
        <f>LOG10(1.008981)</f>
        <v>3.8829881666943536E-3</v>
      </c>
      <c r="D12266">
        <f>LOG10(2.852706)</f>
        <v>0.45525701555580073</v>
      </c>
    </row>
    <row r="12267" spans="1:4">
      <c r="A12267">
        <v>1.0037970000000001</v>
      </c>
      <c r="B12267">
        <v>2.8862000000000001</v>
      </c>
      <c r="C12267">
        <f>LOG10(1.003797)</f>
        <v>1.6458933928675777E-3</v>
      </c>
      <c r="D12267">
        <f>LOG10(2.8862)</f>
        <v>0.46032642235236659</v>
      </c>
    </row>
    <row r="12268" spans="1:4">
      <c r="A12268">
        <v>1.0227329999999999</v>
      </c>
      <c r="B12268">
        <v>2.960636</v>
      </c>
      <c r="C12268">
        <f>LOG10(1.022733)</f>
        <v>9.7622693314451479E-3</v>
      </c>
      <c r="D12268">
        <f>LOG10(2.960636)</f>
        <v>0.47138501566052293</v>
      </c>
    </row>
    <row r="12269" spans="1:4">
      <c r="A12269">
        <v>1.010424</v>
      </c>
      <c r="B12269">
        <v>2.8775599999999999</v>
      </c>
      <c r="C12269">
        <f>LOG10(1.010424)</f>
        <v>4.5036532081791526E-3</v>
      </c>
      <c r="D12269">
        <f>LOG10(2.87756)</f>
        <v>0.45902438786994343</v>
      </c>
    </row>
    <row r="12270" spans="1:4">
      <c r="A12270">
        <v>1.006486</v>
      </c>
      <c r="B12270">
        <v>2.8947240000000001</v>
      </c>
      <c r="C12270">
        <f>LOG10(1.006486)</f>
        <v>2.8077383254849994E-3</v>
      </c>
      <c r="D12270">
        <f>LOG10(2.894724)</f>
        <v>0.46160716184889417</v>
      </c>
    </row>
    <row r="12271" spans="1:4">
      <c r="A12271">
        <v>1.006381</v>
      </c>
      <c r="B12271">
        <v>2.9558390000000001</v>
      </c>
      <c r="C12271">
        <f>LOG10(1.006381)</f>
        <v>2.7624289030132583E-3</v>
      </c>
      <c r="D12271">
        <f>LOG10(2.955839)</f>
        <v>0.47068077501514005</v>
      </c>
    </row>
    <row r="12272" spans="1:4">
      <c r="A12272">
        <v>1.0140340000000001</v>
      </c>
      <c r="B12272">
        <v>2.8735149999999998</v>
      </c>
      <c r="C12272">
        <f>LOG10(1.014034)</f>
        <v>6.0525168955754228E-3</v>
      </c>
      <c r="D12272">
        <f>LOG10(2.873515)</f>
        <v>0.45841346853087023</v>
      </c>
    </row>
    <row r="12273" spans="1:4">
      <c r="A12273">
        <v>1.01912</v>
      </c>
      <c r="B12273">
        <v>2.981684</v>
      </c>
      <c r="C12273">
        <f>LOG10(1.01912)</f>
        <v>8.2253246045154403E-3</v>
      </c>
      <c r="D12273">
        <f>LOG10(2.981684)</f>
        <v>0.47446161486203203</v>
      </c>
    </row>
    <row r="12274" spans="1:4">
      <c r="A12274">
        <v>1.0131330000000001</v>
      </c>
      <c r="B12274">
        <v>3.0767190000000002</v>
      </c>
      <c r="C12274">
        <f>LOG10(1.013133)</f>
        <v>5.6664615247435926E-3</v>
      </c>
      <c r="D12274">
        <f>LOG10(3.076719)</f>
        <v>0.48808783348433926</v>
      </c>
    </row>
    <row r="12275" spans="1:4">
      <c r="A12275">
        <v>1.0089570000000001</v>
      </c>
      <c r="B12275">
        <v>3.1342759999999998</v>
      </c>
      <c r="C12275">
        <f>LOG10(1.008957)</f>
        <v>3.8726577526121734E-3</v>
      </c>
      <c r="D12275">
        <f>LOG10(3.134276)</f>
        <v>0.49613723718658065</v>
      </c>
    </row>
    <row r="12276" spans="1:4">
      <c r="A12276">
        <v>1.014907</v>
      </c>
      <c r="B12276">
        <v>2.9038949999999999</v>
      </c>
      <c r="C12276">
        <f>LOG10(1.014907)</f>
        <v>6.4262479267871379E-3</v>
      </c>
      <c r="D12276">
        <f>LOG10(2.903895)</f>
        <v>0.46298090894781624</v>
      </c>
    </row>
    <row r="12277" spans="1:4">
      <c r="A12277">
        <v>1.0163880000000001</v>
      </c>
      <c r="B12277">
        <v>2.9334440000000002</v>
      </c>
      <c r="C12277">
        <f>LOG10(1.016388)</f>
        <v>7.0595289043572087E-3</v>
      </c>
      <c r="D12277">
        <f>LOG10(2.933444)</f>
        <v>0.46737780186780081</v>
      </c>
    </row>
    <row r="12278" spans="1:4">
      <c r="A12278">
        <v>1.002926</v>
      </c>
      <c r="B12278">
        <v>2.9960330000000002</v>
      </c>
      <c r="C12278">
        <f>LOG10(1.002926)</f>
        <v>1.268890171703434E-3</v>
      </c>
      <c r="D12278">
        <f>LOG10(2.996033)</f>
        <v>0.4765465926185416</v>
      </c>
    </row>
    <row r="12279" spans="1:4">
      <c r="A12279">
        <v>1.006586</v>
      </c>
      <c r="B12279">
        <v>3.030211</v>
      </c>
      <c r="C12279">
        <f>LOG10(1.006586)</f>
        <v>2.8508857620655518E-3</v>
      </c>
      <c r="D12279">
        <f>LOG10(3.030211)</f>
        <v>0.48147287039841014</v>
      </c>
    </row>
    <row r="12280" spans="1:4">
      <c r="A12280">
        <v>1.0273939999999999</v>
      </c>
      <c r="B12280">
        <v>3.0280239999999998</v>
      </c>
      <c r="C12280">
        <f>LOG10(1.027394)</f>
        <v>1.1737025107901517E-2</v>
      </c>
      <c r="D12280">
        <f>LOG10(3.028024)</f>
        <v>0.48115931304278386</v>
      </c>
    </row>
    <row r="12281" spans="1:4">
      <c r="A12281">
        <v>1.025069</v>
      </c>
      <c r="B12281">
        <v>3.0931000000000002</v>
      </c>
      <c r="C12281">
        <f>LOG10(1.025069)</f>
        <v>1.0753099841211287E-2</v>
      </c>
      <c r="D12281">
        <f>LOG10(3.0931)</f>
        <v>0.49039396098156413</v>
      </c>
    </row>
    <row r="12282" spans="1:4">
      <c r="A12282">
        <v>1.0091829999999999</v>
      </c>
      <c r="B12282">
        <v>3.0012129999999999</v>
      </c>
      <c r="C12282">
        <f>LOG10(1.009183)</f>
        <v>3.9699260821833126E-3</v>
      </c>
      <c r="D12282">
        <f>LOG10(3.001213)</f>
        <v>0.47729681896433185</v>
      </c>
    </row>
    <row r="12283" spans="1:4">
      <c r="A12283">
        <v>1.005673</v>
      </c>
      <c r="B12283">
        <v>3.1726700000000001</v>
      </c>
      <c r="C12283">
        <f>LOG10(1.005673)</f>
        <v>2.4567904799111802E-3</v>
      </c>
      <c r="D12283">
        <f>LOG10(3.17267)</f>
        <v>0.50142490203037793</v>
      </c>
    </row>
    <row r="12284" spans="1:4">
      <c r="A12284">
        <v>1.01312</v>
      </c>
      <c r="B12284">
        <v>2.9904600000000001</v>
      </c>
      <c r="C12284">
        <f>LOG10(1.01312)</f>
        <v>5.6608888462430914E-3</v>
      </c>
      <c r="D12284">
        <f>LOG10(2.99046)</f>
        <v>0.47573799772105452</v>
      </c>
    </row>
    <row r="12285" spans="1:4">
      <c r="A12285">
        <v>1.0081869999999999</v>
      </c>
      <c r="B12285">
        <v>2.9165930000000002</v>
      </c>
      <c r="C12285">
        <f>LOG10(1.008187)</f>
        <v>3.5410931570172186E-3</v>
      </c>
      <c r="D12285">
        <f>LOG10(2.916593)</f>
        <v>0.46487582912635372</v>
      </c>
    </row>
    <row r="12286" spans="1:4">
      <c r="A12286">
        <v>1.0068790000000001</v>
      </c>
      <c r="B12286">
        <v>3.0463969999999998</v>
      </c>
      <c r="C12286">
        <f>LOG10(1.006879)</f>
        <v>2.9772830762437525E-3</v>
      </c>
      <c r="D12286">
        <f>LOG10(3.046397)</f>
        <v>0.48378649902446719</v>
      </c>
    </row>
    <row r="12287" spans="1:4">
      <c r="A12287">
        <v>1.0079279999999999</v>
      </c>
      <c r="B12287">
        <v>3.0152939999999999</v>
      </c>
      <c r="C12287">
        <f>LOG10(1.007928)</f>
        <v>3.4295099671379512E-3</v>
      </c>
      <c r="D12287">
        <f>LOG10(3.015294)</f>
        <v>0.47932966352517992</v>
      </c>
    </row>
    <row r="12288" spans="1:4">
      <c r="A12288">
        <v>1.016257</v>
      </c>
      <c r="B12288">
        <v>3.161143</v>
      </c>
      <c r="C12288">
        <f>LOG10(1.016257)</f>
        <v>7.0035500421278089E-3</v>
      </c>
      <c r="D12288">
        <f>LOG10(3.161143)</f>
        <v>0.49984414237744601</v>
      </c>
    </row>
    <row r="12289" spans="1:4">
      <c r="A12289">
        <v>1.0048589999999999</v>
      </c>
      <c r="B12289">
        <v>2.9905170000000001</v>
      </c>
      <c r="C12289">
        <f>LOG10(1.004859)</f>
        <v>2.1051266142426308E-3</v>
      </c>
      <c r="D12289">
        <f>LOG10(2.990517)</f>
        <v>0.47574627556110277</v>
      </c>
    </row>
    <row r="12290" spans="1:4">
      <c r="A12290">
        <v>1.008157</v>
      </c>
      <c r="B12290">
        <v>3.1243180000000002</v>
      </c>
      <c r="C12290">
        <f>LOG10(1.008157)</f>
        <v>3.5281699311608692E-3</v>
      </c>
      <c r="D12290">
        <f>LOG10(3.124318)</f>
        <v>0.49475523090841822</v>
      </c>
    </row>
    <row r="12291" spans="1:4">
      <c r="A12291">
        <v>1.009001</v>
      </c>
      <c r="B12291">
        <v>3.1639810000000002</v>
      </c>
      <c r="C12291">
        <f>LOG10(1.009001)</f>
        <v>3.8915966573928895E-3</v>
      </c>
      <c r="D12291">
        <f>LOG10(3.163981)</f>
        <v>0.50023386685473759</v>
      </c>
    </row>
    <row r="12292" spans="1:4">
      <c r="A12292">
        <v>1.0080560000000001</v>
      </c>
      <c r="B12292">
        <v>3.0790989999999998</v>
      </c>
      <c r="C12292">
        <f>LOG10(1.008056)</f>
        <v>3.4846589105406484E-3</v>
      </c>
      <c r="D12292">
        <f>LOG10(3.079099)</f>
        <v>0.48842365267796434</v>
      </c>
    </row>
    <row r="12293" spans="1:4">
      <c r="A12293">
        <v>1.006478</v>
      </c>
      <c r="B12293">
        <v>3.117054</v>
      </c>
      <c r="C12293">
        <f>LOG10(1.006478)</f>
        <v>2.8042863453648899E-3</v>
      </c>
      <c r="D12293">
        <f>LOG10(3.117054)</f>
        <v>0.49374432608142138</v>
      </c>
    </row>
    <row r="12294" spans="1:4">
      <c r="A12294">
        <v>1.006186</v>
      </c>
      <c r="B12294">
        <v>3.1660720000000002</v>
      </c>
      <c r="C12294">
        <f>LOG10(1.006186)</f>
        <v>2.6782702894256136E-3</v>
      </c>
      <c r="D12294">
        <f>LOG10(3.166072)</f>
        <v>0.50052078697837321</v>
      </c>
    </row>
    <row r="12295" spans="1:4">
      <c r="A12295">
        <v>1.00467</v>
      </c>
      <c r="B12295">
        <v>3.066411</v>
      </c>
      <c r="C12295">
        <f>LOG10(1.00467)</f>
        <v>2.0234341805213589E-3</v>
      </c>
      <c r="D12295">
        <f>LOG10(3.066411)</f>
        <v>0.48663036417439787</v>
      </c>
    </row>
    <row r="12296" spans="1:4">
      <c r="A12296">
        <v>1.0060549999999999</v>
      </c>
      <c r="B12296">
        <v>3.1138520000000001</v>
      </c>
      <c r="C12296">
        <f>LOG10(1.006055)</f>
        <v>2.621723804973955E-3</v>
      </c>
      <c r="D12296">
        <f>LOG10(3.113852)</f>
        <v>0.49329796689915595</v>
      </c>
    </row>
    <row r="12297" spans="1:4">
      <c r="A12297">
        <v>1.004651</v>
      </c>
      <c r="B12297">
        <v>3.1014599999999999</v>
      </c>
      <c r="C12297">
        <f>LOG10(1.004651)</f>
        <v>2.0152208635287987E-3</v>
      </c>
      <c r="D12297">
        <f>LOG10(3.10146)</f>
        <v>0.49156618437530447</v>
      </c>
    </row>
    <row r="12298" spans="1:4">
      <c r="A12298">
        <v>1.008373</v>
      </c>
      <c r="B12298">
        <v>3.8843969999999999</v>
      </c>
      <c r="C12298">
        <f>LOG10(1.008373)</f>
        <v>3.6212085752176087E-3</v>
      </c>
      <c r="D12298">
        <f>LOG10(3.884397)</f>
        <v>0.58932361003573264</v>
      </c>
    </row>
    <row r="12299" spans="1:4">
      <c r="A12299">
        <v>1.004459</v>
      </c>
      <c r="B12299">
        <v>3.7452420000000002</v>
      </c>
      <c r="C12299">
        <f>LOG10(1.004459)</f>
        <v>1.932214417112972E-3</v>
      </c>
      <c r="D12299">
        <f>LOG10(3.745242)</f>
        <v>0.5734798850178715</v>
      </c>
    </row>
    <row r="12300" spans="1:4">
      <c r="A12300">
        <v>1.0108539999999999</v>
      </c>
      <c r="B12300">
        <v>4.1601759999999999</v>
      </c>
      <c r="C12300">
        <f>LOG10(1.010854)</f>
        <v>4.6884339558403449E-3</v>
      </c>
      <c r="D12300">
        <f>LOG10(4.160176)</f>
        <v>0.61911170423538431</v>
      </c>
    </row>
    <row r="12301" spans="1:4">
      <c r="A12301">
        <v>1.0042990000000001</v>
      </c>
      <c r="B12301">
        <v>4.0752639999999998</v>
      </c>
      <c r="C12301">
        <f>LOG10(1.004299)</f>
        <v>1.8630302572973619E-3</v>
      </c>
      <c r="D12301">
        <f>LOG10(4.075264)</f>
        <v>0.61015574805254646</v>
      </c>
    </row>
    <row r="12302" spans="1:4">
      <c r="A12302">
        <v>1.0061329999999999</v>
      </c>
      <c r="B12302">
        <v>4.1214620000000002</v>
      </c>
      <c r="C12302">
        <f>LOG10(1.006133)</f>
        <v>2.6553935909039285E-3</v>
      </c>
      <c r="D12302">
        <f>LOG10(4.121462)</f>
        <v>0.61505129999037489</v>
      </c>
    </row>
    <row r="12303" spans="1:4">
      <c r="A12303">
        <v>1.0034540000000001</v>
      </c>
      <c r="B12303">
        <v>3.9220329999999999</v>
      </c>
      <c r="C12303">
        <f>LOG10(1.003454)</f>
        <v>1.4974684985790997E-3</v>
      </c>
      <c r="D12303">
        <f>LOG10(3.922033)</f>
        <v>0.59351124350249673</v>
      </c>
    </row>
    <row r="12304" spans="1:4">
      <c r="A12304">
        <v>1.0146759999999999</v>
      </c>
      <c r="B12304">
        <v>3.995012</v>
      </c>
      <c r="C12304">
        <f>LOG10(1.014676)</f>
        <v>6.3273881849062802E-3</v>
      </c>
      <c r="D12304">
        <f>LOG10(3.995012)</f>
        <v>0.60151808816213925</v>
      </c>
    </row>
    <row r="12305" spans="1:4">
      <c r="A12305">
        <v>1.003544</v>
      </c>
      <c r="B12305">
        <v>3.894819</v>
      </c>
      <c r="C12305">
        <f>LOG10(1.003544)</f>
        <v>1.5364187151687117E-3</v>
      </c>
      <c r="D12305">
        <f>LOG10(3.894819)</f>
        <v>0.59048727994755246</v>
      </c>
    </row>
    <row r="12306" spans="1:4">
      <c r="A12306">
        <v>1.02644</v>
      </c>
      <c r="B12306">
        <v>3.9942739999999999</v>
      </c>
      <c r="C12306">
        <f>LOG10(1.02644)</f>
        <v>1.1333567997411573E-2</v>
      </c>
      <c r="D12306">
        <f>LOG10(3.994274)</f>
        <v>0.60143785337556233</v>
      </c>
    </row>
    <row r="12307" spans="1:4">
      <c r="A12307">
        <v>1.0233890000000001</v>
      </c>
      <c r="B12307">
        <v>4.2858669999999996</v>
      </c>
      <c r="C12307">
        <f>LOG10(1.023389)</f>
        <v>1.004074460309563E-2</v>
      </c>
      <c r="D12307">
        <f>LOG10(4.285867)</f>
        <v>0.63203868978973132</v>
      </c>
    </row>
    <row r="12308" spans="1:4">
      <c r="A12308">
        <v>1.028257</v>
      </c>
      <c r="B12308">
        <v>4.5605830000000003</v>
      </c>
      <c r="C12308">
        <f>LOG10(1.028257)</f>
        <v>1.2101674710291697E-2</v>
      </c>
      <c r="D12308">
        <f>LOG10(4.560583)</f>
        <v>0.65902036404575337</v>
      </c>
    </row>
    <row r="12309" spans="1:4">
      <c r="A12309">
        <v>1.0198499999999999</v>
      </c>
      <c r="B12309">
        <v>4.4555429999999996</v>
      </c>
      <c r="C12309">
        <f>LOG10(1.01985)</f>
        <v>8.5363002297922184E-3</v>
      </c>
      <c r="D12309">
        <f>LOG10(4.455543)</f>
        <v>0.64890063935677755</v>
      </c>
    </row>
    <row r="12310" spans="1:4">
      <c r="A12310">
        <v>1.024891</v>
      </c>
      <c r="B12310">
        <v>4.6672450000000003</v>
      </c>
      <c r="C12310">
        <f>LOG10(1.024891)</f>
        <v>1.0677679425229448E-2</v>
      </c>
      <c r="D12310">
        <f>LOG10(4.667245)</f>
        <v>0.66906059911856219</v>
      </c>
    </row>
    <row r="12311" spans="1:4">
      <c r="A12311">
        <v>1.021045</v>
      </c>
      <c r="B12311">
        <v>4.194204</v>
      </c>
      <c r="C12311">
        <f>LOG10(1.021045)</f>
        <v>9.0448829498087652E-3</v>
      </c>
      <c r="D12311">
        <f>LOG10(4.194204)</f>
        <v>0.62264955009682177</v>
      </c>
    </row>
    <row r="12312" spans="1:4">
      <c r="A12312">
        <v>1.027827</v>
      </c>
      <c r="B12312">
        <v>3.2073369999999999</v>
      </c>
      <c r="C12312">
        <f>LOG10(1.027827)</f>
        <v>1.1920021986044064E-2</v>
      </c>
      <c r="D12312">
        <f>LOG10(3.207337)</f>
        <v>0.50614459433790038</v>
      </c>
    </row>
    <row r="12313" spans="1:4">
      <c r="A12313">
        <v>1.0285599999999999</v>
      </c>
      <c r="B12313">
        <v>3.2261600000000001</v>
      </c>
      <c r="C12313">
        <f>LOG10(1.02856)</f>
        <v>1.2229630895959727E-2</v>
      </c>
      <c r="D12313">
        <f>LOG10(3.22616)</f>
        <v>0.50868590223272714</v>
      </c>
    </row>
    <row r="12314" spans="1:4">
      <c r="A12314">
        <v>1.0180640000000001</v>
      </c>
      <c r="B12314">
        <v>3.1336240000000002</v>
      </c>
      <c r="C12314">
        <f>LOG10(1.018064)</f>
        <v>7.7750805284119567E-3</v>
      </c>
      <c r="D12314">
        <f>LOG10(3.133624)</f>
        <v>0.49604688475491387</v>
      </c>
    </row>
    <row r="12315" spans="1:4">
      <c r="A12315">
        <v>1.0334890000000001</v>
      </c>
      <c r="B12315">
        <v>3.3079010000000002</v>
      </c>
      <c r="C12315">
        <f>LOG10(1.033489)</f>
        <v>1.430585854944715E-2</v>
      </c>
      <c r="D12315">
        <f>LOG10(3.307901)</f>
        <v>0.51955250336022829</v>
      </c>
    </row>
    <row r="12316" spans="1:4">
      <c r="A12316">
        <v>1.0231239999999999</v>
      </c>
      <c r="B12316">
        <v>3.338943</v>
      </c>
      <c r="C12316">
        <f>LOG10(1.023124)</f>
        <v>9.9282722773907078E-3</v>
      </c>
      <c r="D12316">
        <f>LOG10(3.338943)</f>
        <v>0.52360900515896336</v>
      </c>
    </row>
    <row r="12317" spans="1:4">
      <c r="A12317">
        <v>1.0278210000000001</v>
      </c>
      <c r="B12317">
        <v>3.2637459999999998</v>
      </c>
      <c r="C12317">
        <f>LOG10(1.027821)</f>
        <v>1.1917486759301541E-2</v>
      </c>
      <c r="D12317">
        <f>LOG10(3.263746)</f>
        <v>0.51371635256627712</v>
      </c>
    </row>
    <row r="12318" spans="1:4">
      <c r="A12318">
        <v>1.029298</v>
      </c>
      <c r="B12318">
        <v>3.2676449999999999</v>
      </c>
      <c r="C12318">
        <f>LOG10(1.029298)</f>
        <v>1.2541128911260217E-2</v>
      </c>
      <c r="D12318">
        <f>LOG10(3.267645)</f>
        <v>0.51423486826563936</v>
      </c>
    </row>
    <row r="12319" spans="1:4">
      <c r="A12319">
        <v>1.0431509999999999</v>
      </c>
      <c r="B12319">
        <v>3.220237</v>
      </c>
      <c r="C12319">
        <f>LOG10(1.043151)</f>
        <v>1.8347178723917675E-2</v>
      </c>
      <c r="D12319">
        <f>LOG10(3.220237)</f>
        <v>0.50788783567239182</v>
      </c>
    </row>
    <row r="12320" spans="1:4">
      <c r="A12320">
        <v>1.0194319999999999</v>
      </c>
      <c r="B12320">
        <v>3.0242789999999999</v>
      </c>
      <c r="C12320">
        <f>LOG10(1.019432)</f>
        <v>8.3582619830191544E-3</v>
      </c>
      <c r="D12320">
        <f>LOG10(3.024279)</f>
        <v>0.48062185381699701</v>
      </c>
    </row>
    <row r="12321" spans="1:4">
      <c r="A12321">
        <v>1.0244770000000001</v>
      </c>
      <c r="B12321">
        <v>3.1943630000000001</v>
      </c>
      <c r="C12321">
        <f>LOG10(1.024477)</f>
        <v>1.0502212727248678E-2</v>
      </c>
      <c r="D12321">
        <f>LOG10(3.194363)</f>
        <v>0.50438426682411852</v>
      </c>
    </row>
    <row r="12322" spans="1:4">
      <c r="A12322">
        <v>1.022003</v>
      </c>
      <c r="B12322">
        <v>3.5815239999999999</v>
      </c>
      <c r="C12322">
        <f>LOG10(1.022003)</f>
        <v>9.4521706338538646E-3</v>
      </c>
      <c r="D12322">
        <f>LOG10(3.581524)</f>
        <v>0.55406786573689748</v>
      </c>
    </row>
    <row r="12323" spans="1:4">
      <c r="A12323">
        <v>1.0251220000000001</v>
      </c>
      <c r="B12323">
        <v>3.1852740000000002</v>
      </c>
      <c r="C12323">
        <f>LOG10(1.025122)</f>
        <v>1.0775553951629326E-2</v>
      </c>
      <c r="D12323">
        <f>LOG10(3.185274)</f>
        <v>0.50314679666188611</v>
      </c>
    </row>
    <row r="12324" spans="1:4">
      <c r="A12324">
        <v>1.018672</v>
      </c>
      <c r="B12324">
        <v>3.3172730000000001</v>
      </c>
      <c r="C12324">
        <f>LOG10(1.018672)</f>
        <v>8.0343689711365428E-3</v>
      </c>
      <c r="D12324">
        <f>LOG10(3.317273)</f>
        <v>0.52078121391164089</v>
      </c>
    </row>
    <row r="12325" spans="1:4">
      <c r="A12325">
        <v>1.0255989999999999</v>
      </c>
      <c r="B12325">
        <v>3.3504770000000001</v>
      </c>
      <c r="C12325">
        <f>LOG10(1.025599)</f>
        <v>1.0977588720477712E-2</v>
      </c>
      <c r="D12325">
        <f>LOG10(3.350477)</f>
        <v>0.52510664098335913</v>
      </c>
    </row>
    <row r="12326" spans="1:4">
      <c r="A12326">
        <v>1.023576</v>
      </c>
      <c r="B12326">
        <v>3.382765</v>
      </c>
      <c r="C12326">
        <f>LOG10(1.023576)</f>
        <v>1.0120094341212117E-2</v>
      </c>
      <c r="D12326">
        <f>LOG10(3.382765)</f>
        <v>0.52927182848612386</v>
      </c>
    </row>
    <row r="12327" spans="1:4">
      <c r="A12327">
        <v>1.015385</v>
      </c>
      <c r="B12327">
        <v>3.2563909999999998</v>
      </c>
      <c r="C12327">
        <f>LOG10(1.015385)</f>
        <v>6.6307434044675043E-3</v>
      </c>
      <c r="D12327">
        <f>LOG10(3.256391)</f>
        <v>0.51273654577103045</v>
      </c>
    </row>
    <row r="12328" spans="1:4">
      <c r="A12328">
        <v>1.017617</v>
      </c>
      <c r="B12328">
        <v>3.1755819999999999</v>
      </c>
      <c r="C12328">
        <f>LOG10(1.017617)</f>
        <v>7.5843535564248197E-3</v>
      </c>
      <c r="D12328">
        <f>LOG10(3.175582)</f>
        <v>0.50182333158862591</v>
      </c>
    </row>
    <row r="12329" spans="1:4">
      <c r="A12329">
        <v>1.0181819999999999</v>
      </c>
      <c r="B12329">
        <v>3.3623569999999998</v>
      </c>
      <c r="C12329">
        <f>LOG10(1.018182)</f>
        <v>7.8254150645356672E-3</v>
      </c>
      <c r="D12329">
        <f>LOG10(3.362357)</f>
        <v>0.5266438229936532</v>
      </c>
    </row>
    <row r="12330" spans="1:4">
      <c r="A12330">
        <v>1.0198970000000001</v>
      </c>
      <c r="B12330">
        <v>2.9397060000000002</v>
      </c>
      <c r="C12330">
        <f>LOG10(1.019897)</f>
        <v>8.5563143204153407E-3</v>
      </c>
      <c r="D12330">
        <f>LOG10(2.939706)</f>
        <v>0.46830389879234979</v>
      </c>
    </row>
    <row r="12331" spans="1:4">
      <c r="A12331">
        <v>1.0221579999999999</v>
      </c>
      <c r="B12331">
        <v>2.8995730000000002</v>
      </c>
      <c r="C12331">
        <f>LOG10(1.022158)</f>
        <v>9.5180320262040503E-3</v>
      </c>
      <c r="D12331">
        <f>LOG10(2.899573)</f>
        <v>0.46233404707219428</v>
      </c>
    </row>
    <row r="12332" spans="1:4">
      <c r="A12332">
        <v>1.0165139999999999</v>
      </c>
      <c r="B12332">
        <v>2.9764140000000001</v>
      </c>
      <c r="C12332">
        <f>LOG10(1.016514)</f>
        <v>7.1133643620328035E-3</v>
      </c>
      <c r="D12332">
        <f>LOG10(2.976414)</f>
        <v>0.47369333863814306</v>
      </c>
    </row>
    <row r="12333" spans="1:4">
      <c r="A12333">
        <v>1.009784</v>
      </c>
      <c r="B12333">
        <v>3.2628020000000002</v>
      </c>
      <c r="C12333">
        <f>LOG10(1.009784)</f>
        <v>4.2284850297376001E-3</v>
      </c>
      <c r="D12333">
        <f>LOG10(3.262802)</f>
        <v>0.51359071984472948</v>
      </c>
    </row>
    <row r="12334" spans="1:4">
      <c r="A12334">
        <v>1.019361</v>
      </c>
      <c r="B12334">
        <v>3.3306420000000001</v>
      </c>
      <c r="C12334">
        <f>LOG10(1.019361)</f>
        <v>8.3280137839841697E-3</v>
      </c>
      <c r="D12334">
        <f>LOG10(3.330642)</f>
        <v>0.52252795428225873</v>
      </c>
    </row>
    <row r="12335" spans="1:4">
      <c r="A12335">
        <v>1.028907</v>
      </c>
      <c r="B12335">
        <v>3.3657309999999998</v>
      </c>
      <c r="C12335">
        <f>LOG10(1.028907)</f>
        <v>1.2376121883809658E-2</v>
      </c>
      <c r="D12335">
        <f>LOG10(3.365731)</f>
        <v>0.52707940282102006</v>
      </c>
    </row>
    <row r="12336" spans="1:4">
      <c r="A12336">
        <v>1.032348</v>
      </c>
      <c r="B12336">
        <v>3.038049</v>
      </c>
      <c r="C12336">
        <f>LOG10(1.032348)</f>
        <v>1.3826120744151056E-2</v>
      </c>
      <c r="D12336">
        <f>LOG10(3.038049)</f>
        <v>0.48259477421998637</v>
      </c>
    </row>
    <row r="12337" spans="1:4">
      <c r="A12337">
        <v>1.0124420000000001</v>
      </c>
      <c r="B12337">
        <v>3.092803</v>
      </c>
      <c r="C12337">
        <f>LOG10(1.012442)</f>
        <v>5.3701530704662421E-3</v>
      </c>
      <c r="D12337">
        <f>LOG10(3.092803)</f>
        <v>0.49035225794767417</v>
      </c>
    </row>
    <row r="12338" spans="1:4">
      <c r="A12338">
        <v>1.017736</v>
      </c>
      <c r="B12338">
        <v>3.268408</v>
      </c>
      <c r="C12338">
        <f>LOG10(1.017736)</f>
        <v>7.6351369275701351E-3</v>
      </c>
      <c r="D12338">
        <f>LOG10(3.268408)</f>
        <v>0.51433626483974837</v>
      </c>
    </row>
    <row r="12339" spans="1:4">
      <c r="A12339">
        <v>1.0171619999999999</v>
      </c>
      <c r="B12339">
        <v>3.3988269999999998</v>
      </c>
      <c r="C12339">
        <f>LOG10(1.017162)</f>
        <v>7.3901270654304074E-3</v>
      </c>
      <c r="D12339">
        <f>LOG10(3.398827)</f>
        <v>0.53132905959410204</v>
      </c>
    </row>
    <row r="12340" spans="1:4">
      <c r="A12340">
        <v>1.013236</v>
      </c>
      <c r="B12340">
        <v>3.272392</v>
      </c>
      <c r="C12340">
        <f>LOG10(1.013236)</f>
        <v>5.71061175767209E-3</v>
      </c>
      <c r="D12340">
        <f>LOG10(3.272392)</f>
        <v>0.51486532227305193</v>
      </c>
    </row>
    <row r="12341" spans="1:4">
      <c r="A12341">
        <v>1.010481</v>
      </c>
      <c r="B12341">
        <v>3.1274790000000001</v>
      </c>
      <c r="C12341">
        <f>LOG10(1.010481)</f>
        <v>4.5281519208598955E-3</v>
      </c>
      <c r="D12341">
        <f>LOG10(3.127479)</f>
        <v>0.49519440222964961</v>
      </c>
    </row>
    <row r="12342" spans="1:4">
      <c r="A12342">
        <v>1.0156369999999999</v>
      </c>
      <c r="B12342">
        <v>3.1469230000000001</v>
      </c>
      <c r="C12342">
        <f>LOG10(1.015637)</f>
        <v>6.7385139849941511E-3</v>
      </c>
      <c r="D12342">
        <f>LOG10(3.146923)</f>
        <v>0.49788611657568543</v>
      </c>
    </row>
    <row r="12343" spans="1:4">
      <c r="A12343">
        <v>1.0177670000000001</v>
      </c>
      <c r="B12343">
        <v>3.2020710000000001</v>
      </c>
      <c r="C12343">
        <f>LOG10(1.017767)</f>
        <v>7.6483652342246491E-3</v>
      </c>
      <c r="D12343">
        <f>LOG10(3.202071)</f>
        <v>0.50543095736665355</v>
      </c>
    </row>
    <row r="12344" spans="1:4">
      <c r="A12344">
        <v>1.020753</v>
      </c>
      <c r="B12344">
        <v>3.0879660000000002</v>
      </c>
      <c r="C12344">
        <f>LOG10(1.020753)</f>
        <v>8.9206649913424786E-3</v>
      </c>
      <c r="D12344">
        <f>LOG10(3.087966)</f>
        <v>0.48967250989761213</v>
      </c>
    </row>
    <row r="12345" spans="1:4">
      <c r="A12345">
        <v>1.0204260000000001</v>
      </c>
      <c r="B12345">
        <v>3.160377</v>
      </c>
      <c r="C12345">
        <f>LOG10(1.020426)</f>
        <v>8.781515708700182E-3</v>
      </c>
      <c r="D12345">
        <f>LOG10(3.160377)</f>
        <v>0.49973889250881753</v>
      </c>
    </row>
    <row r="12346" spans="1:4">
      <c r="A12346">
        <v>1.015935</v>
      </c>
      <c r="B12346">
        <v>3.236408</v>
      </c>
      <c r="C12346">
        <f>LOG10(1.015935)</f>
        <v>6.8659224711668668E-3</v>
      </c>
      <c r="D12346">
        <f>LOG10(3.236408)</f>
        <v>0.51006326602404872</v>
      </c>
    </row>
    <row r="12347" spans="1:4">
      <c r="A12347">
        <v>1.019353</v>
      </c>
      <c r="B12347">
        <v>3.1808879999999999</v>
      </c>
      <c r="C12347">
        <f>LOG10(1.019353)</f>
        <v>8.3246054041376128E-3</v>
      </c>
      <c r="D12347">
        <f>LOG10(3.180888)</f>
        <v>0.50254837774040495</v>
      </c>
    </row>
    <row r="12348" spans="1:4">
      <c r="A12348">
        <v>1.016667</v>
      </c>
      <c r="B12348">
        <v>3.394196</v>
      </c>
      <c r="C12348">
        <f>LOG10(1.016667)</f>
        <v>7.1787270187334638E-3</v>
      </c>
      <c r="D12348">
        <f>LOG10(3.394196)</f>
        <v>0.53073691731598283</v>
      </c>
    </row>
    <row r="12349" spans="1:4">
      <c r="A12349">
        <v>1.018813</v>
      </c>
      <c r="B12349">
        <v>3.2754880000000002</v>
      </c>
      <c r="C12349">
        <f>LOG10(1.018813)</f>
        <v>8.0944779015542784E-3</v>
      </c>
      <c r="D12349">
        <f>LOG10(3.275488)</f>
        <v>0.51527601269992951</v>
      </c>
    </row>
    <row r="12350" spans="1:4">
      <c r="A12350">
        <v>1.017544</v>
      </c>
      <c r="B12350">
        <v>3.3983840000000001</v>
      </c>
      <c r="C12350">
        <f>LOG10(1.017544)</f>
        <v>7.5531977931289134E-3</v>
      </c>
      <c r="D12350">
        <f>LOG10(3.398384)</f>
        <v>0.53127245035959236</v>
      </c>
    </row>
    <row r="12351" spans="1:4">
      <c r="A12351">
        <v>1.016689</v>
      </c>
      <c r="B12351">
        <v>3.081321</v>
      </c>
      <c r="C12351">
        <f>LOG10(1.016689)</f>
        <v>7.1881247617772105E-3</v>
      </c>
      <c r="D12351">
        <f>LOG10(3.081321)</f>
        <v>0.48873694377845328</v>
      </c>
    </row>
    <row r="12352" spans="1:4">
      <c r="A12352">
        <v>1.0147630000000001</v>
      </c>
      <c r="B12352">
        <v>3.480585</v>
      </c>
      <c r="C12352">
        <f>LOG10(1.014763)</f>
        <v>6.3646237164485461E-3</v>
      </c>
      <c r="D12352">
        <f>LOG10(3.480585)</f>
        <v>0.54165224421092983</v>
      </c>
    </row>
    <row r="12353" spans="1:4">
      <c r="A12353">
        <v>1.016945</v>
      </c>
      <c r="B12353">
        <v>3.2259289999999998</v>
      </c>
      <c r="C12353">
        <f>LOG10(1.016945)</f>
        <v>7.2974653687443601E-3</v>
      </c>
      <c r="D12353">
        <f>LOG10(3.225929)</f>
        <v>0.50865480469970714</v>
      </c>
    </row>
    <row r="12354" spans="1:4">
      <c r="A12354">
        <v>1.01797</v>
      </c>
      <c r="B12354">
        <v>3.1984490000000001</v>
      </c>
      <c r="C12354">
        <f>LOG10(1.01797)</f>
        <v>7.7349793500152038E-3</v>
      </c>
      <c r="D12354">
        <f>LOG10(3.198449)</f>
        <v>0.50493943018406084</v>
      </c>
    </row>
    <row r="12355" spans="1:4">
      <c r="A12355">
        <v>1.0162739999999999</v>
      </c>
      <c r="B12355">
        <v>3.2295929999999999</v>
      </c>
      <c r="C12355">
        <f>LOG10(1.016274)</f>
        <v>7.0108148820662878E-3</v>
      </c>
      <c r="D12355">
        <f>LOG10(3.229593)</f>
        <v>0.50914779508919505</v>
      </c>
    </row>
    <row r="12356" spans="1:4">
      <c r="A12356">
        <v>1.0154620000000001</v>
      </c>
      <c r="B12356">
        <v>3.4503659999999998</v>
      </c>
      <c r="C12356">
        <f>LOG10(1.015462)</f>
        <v>6.6636761415201926E-3</v>
      </c>
      <c r="D12356">
        <f>LOG10(3.450366)</f>
        <v>0.53786516560939512</v>
      </c>
    </row>
    <row r="12357" spans="1:4">
      <c r="A12357">
        <v>1.0078959999999999</v>
      </c>
      <c r="B12357">
        <v>3.4818370000000001</v>
      </c>
      <c r="C12357">
        <f>LOG10(1.007896)</f>
        <v>3.4157216369840437E-3</v>
      </c>
      <c r="D12357">
        <f>LOG10(3.481837)</f>
        <v>0.54180843603532769</v>
      </c>
    </row>
    <row r="12358" spans="1:4">
      <c r="A12358">
        <v>1.0077069999999999</v>
      </c>
      <c r="B12358">
        <v>3.5385239999999998</v>
      </c>
      <c r="C12358">
        <f>LOG10(1.007707)</f>
        <v>3.334275382617206E-3</v>
      </c>
      <c r="D12358">
        <f>LOG10(3.538524)</f>
        <v>0.54882214554879916</v>
      </c>
    </row>
    <row r="12359" spans="1:4">
      <c r="A12359">
        <v>1.020365</v>
      </c>
      <c r="B12359">
        <v>3.5072420000000002</v>
      </c>
      <c r="C12359">
        <f>LOG10(1.020365)</f>
        <v>8.7555532623702775E-3</v>
      </c>
      <c r="D12359">
        <f>LOG10(3.507242)</f>
        <v>0.54496573327203812</v>
      </c>
    </row>
    <row r="12360" spans="1:4">
      <c r="A12360">
        <v>1.035612</v>
      </c>
      <c r="B12360">
        <v>3.6018270000000001</v>
      </c>
      <c r="C12360">
        <f>LOG10(1.035612)</f>
        <v>1.5197074114696892E-2</v>
      </c>
      <c r="D12360">
        <f>LOG10(3.601827)</f>
        <v>0.55652284930813911</v>
      </c>
    </row>
    <row r="12361" spans="1:4">
      <c r="A12361">
        <v>1.0128569999999999</v>
      </c>
      <c r="B12361">
        <v>3.6718380000000002</v>
      </c>
      <c r="C12361">
        <f>LOG10(1.012857)</f>
        <v>5.5481339142945015E-3</v>
      </c>
      <c r="D12361">
        <f>LOG10(3.671838)</f>
        <v>0.56488351205587206</v>
      </c>
    </row>
    <row r="12362" spans="1:4">
      <c r="A12362">
        <v>1.0117609999999999</v>
      </c>
      <c r="B12362">
        <v>3.6205500000000002</v>
      </c>
      <c r="C12362">
        <f>LOG10(1.011761)</f>
        <v>5.0779347965733213E-3</v>
      </c>
      <c r="D12362">
        <f>LOG10(3.62055)</f>
        <v>0.55877454948932404</v>
      </c>
    </row>
    <row r="12363" spans="1:4">
      <c r="A12363">
        <v>1.0081020000000001</v>
      </c>
      <c r="B12363">
        <v>3.6333820000000001</v>
      </c>
      <c r="C12363">
        <f>LOG10(1.008102)</f>
        <v>3.504476351605299E-3</v>
      </c>
      <c r="D12363">
        <f>LOG10(3.633382)</f>
        <v>0.56031106033744826</v>
      </c>
    </row>
    <row r="12364" spans="1:4">
      <c r="A12364">
        <v>1.0116540000000001</v>
      </c>
      <c r="B12364">
        <v>3.6136840000000001</v>
      </c>
      <c r="C12364">
        <f>LOG10(1.011654)</f>
        <v>5.0320030330874305E-3</v>
      </c>
      <c r="D12364">
        <f>LOG10(3.613684)</f>
        <v>0.55795017283573756</v>
      </c>
    </row>
    <row r="12365" spans="1:4">
      <c r="A12365">
        <v>1.019282</v>
      </c>
      <c r="B12365">
        <v>3.6142949999999998</v>
      </c>
      <c r="C12365">
        <f>LOG10(1.019282)</f>
        <v>8.2943548607813285E-3</v>
      </c>
      <c r="D12365">
        <f>LOG10(3.614295)</f>
        <v>0.55802359693646464</v>
      </c>
    </row>
    <row r="12366" spans="1:4">
      <c r="A12366">
        <v>1.0111380000000001</v>
      </c>
      <c r="B12366">
        <v>3.6483500000000002</v>
      </c>
      <c r="C12366">
        <f>LOG10(1.011138)</f>
        <v>4.8104320979414708E-3</v>
      </c>
      <c r="D12366">
        <f>LOG10(3.64835)</f>
        <v>0.56209649516551197</v>
      </c>
    </row>
    <row r="12367" spans="1:4">
      <c r="A12367">
        <v>1.010942</v>
      </c>
      <c r="B12367">
        <v>3.5194559999999999</v>
      </c>
      <c r="C12367">
        <f>LOG10(1.010942)</f>
        <v>4.7262398615119938E-3</v>
      </c>
      <c r="D12367">
        <f>LOG10(3.519456)</f>
        <v>0.54647554005307497</v>
      </c>
    </row>
    <row r="12368" spans="1:4">
      <c r="A12368">
        <v>1.0265930000000001</v>
      </c>
      <c r="B12368">
        <v>3.4460980000000001</v>
      </c>
      <c r="C12368">
        <f>LOG10(1.026593)</f>
        <v>1.1398298623616061E-2</v>
      </c>
      <c r="D12368">
        <f>LOG10(3.446098)</f>
        <v>0.53732762373709642</v>
      </c>
    </row>
    <row r="12369" spans="1:4">
      <c r="A12369">
        <v>1.0489580000000001</v>
      </c>
      <c r="B12369">
        <v>3.5809329999999999</v>
      </c>
      <c r="C12369">
        <f>LOG10(1.048958)</f>
        <v>2.0758099505850721E-2</v>
      </c>
      <c r="D12369">
        <f>LOG10(3.580933)</f>
        <v>0.55399619534798272</v>
      </c>
    </row>
    <row r="12370" spans="1:4">
      <c r="A12370">
        <v>1.0179750000000001</v>
      </c>
      <c r="B12370">
        <v>3.508661</v>
      </c>
      <c r="C12370">
        <f>LOG10(1.017975)</f>
        <v>7.7371124846622938E-3</v>
      </c>
      <c r="D12370">
        <f>LOG10(3.508661)</f>
        <v>0.54514140955439938</v>
      </c>
    </row>
    <row r="12371" spans="1:4">
      <c r="A12371">
        <v>1.0226550000000001</v>
      </c>
      <c r="B12371">
        <v>3.534656</v>
      </c>
      <c r="C12371">
        <f>LOG10(1.022655)</f>
        <v>9.7291460613323014E-3</v>
      </c>
      <c r="D12371">
        <f>LOG10(3.534656)</f>
        <v>0.54834715375629428</v>
      </c>
    </row>
    <row r="12372" spans="1:4">
      <c r="A12372">
        <v>1.0144660000000001</v>
      </c>
      <c r="B12372">
        <v>3.4726319999999999</v>
      </c>
      <c r="C12372">
        <f>LOG10(1.014466)</f>
        <v>6.2374961600748843E-3</v>
      </c>
      <c r="D12372">
        <f>LOG10(3.472632)</f>
        <v>0.54065876291420523</v>
      </c>
    </row>
    <row r="12373" spans="1:4">
      <c r="A12373">
        <v>1.024742</v>
      </c>
      <c r="B12373">
        <v>3.5636809999999999</v>
      </c>
      <c r="C12373">
        <f>LOG10(1.024742)</f>
        <v>1.0614536532899401E-2</v>
      </c>
      <c r="D12373">
        <f>LOG10(3.563681)</f>
        <v>0.5518988215881292</v>
      </c>
    </row>
    <row r="12374" spans="1:4">
      <c r="A12374">
        <v>1.021825</v>
      </c>
      <c r="B12374">
        <v>3.5591240000000002</v>
      </c>
      <c r="C12374">
        <f>LOG10(1.021825)</f>
        <v>9.3765239375817374E-3</v>
      </c>
      <c r="D12374">
        <f>LOG10(3.559124)</f>
        <v>0.55134311910180411</v>
      </c>
    </row>
    <row r="12375" spans="1:4">
      <c r="A12375">
        <v>1.012303</v>
      </c>
      <c r="B12375">
        <v>3.5384250000000002</v>
      </c>
      <c r="C12375">
        <f>LOG10(1.012303)</f>
        <v>5.3105238993069754E-3</v>
      </c>
      <c r="D12375">
        <f>LOG10(3.538425)</f>
        <v>0.54880999478899828</v>
      </c>
    </row>
    <row r="12376" spans="1:4">
      <c r="A12376">
        <v>1.022853</v>
      </c>
      <c r="B12376">
        <v>3.4525450000000002</v>
      </c>
      <c r="C12376">
        <f>LOG10(1.022853)</f>
        <v>9.8132232760734604E-3</v>
      </c>
      <c r="D12376">
        <f>LOG10(3.452545)</f>
        <v>0.53813934782252204</v>
      </c>
    </row>
    <row r="12377" spans="1:4">
      <c r="A12377">
        <v>1.017031</v>
      </c>
      <c r="B12377">
        <v>3.4134959999999999</v>
      </c>
      <c r="C12377">
        <f>LOG10(1.017031)</f>
        <v>7.3341908025409729E-3</v>
      </c>
      <c r="D12377">
        <f>LOG10(3.413496)</f>
        <v>0.53319939827340135</v>
      </c>
    </row>
    <row r="12378" spans="1:4">
      <c r="A12378">
        <v>1.0218259999999999</v>
      </c>
      <c r="B12378">
        <v>3.3126289999999998</v>
      </c>
      <c r="C12378">
        <f>LOG10(1.021826)</f>
        <v>9.3769489558278747E-3</v>
      </c>
      <c r="D12378">
        <f>LOG10(3.312629)</f>
        <v>0.52017279951763762</v>
      </c>
    </row>
    <row r="12379" spans="1:4">
      <c r="A12379">
        <v>1.022311</v>
      </c>
      <c r="B12379">
        <v>3.3845450000000001</v>
      </c>
      <c r="C12379">
        <f>LOG10(1.022311)</f>
        <v>9.5830338001172497E-3</v>
      </c>
      <c r="D12379">
        <f>LOG10(3.384545)</f>
        <v>0.52950029273428612</v>
      </c>
    </row>
    <row r="12380" spans="1:4">
      <c r="A12380">
        <v>1.0383770000000001</v>
      </c>
      <c r="B12380">
        <v>3.3556710000000001</v>
      </c>
      <c r="C12380">
        <f>LOG10(1.038377)</f>
        <v>1.6355059961197391E-2</v>
      </c>
      <c r="D12380">
        <f>LOG10(3.355671)</f>
        <v>0.52577937471665981</v>
      </c>
    </row>
    <row r="12381" spans="1:4">
      <c r="A12381">
        <v>1.038184</v>
      </c>
      <c r="B12381">
        <v>3.4893619999999999</v>
      </c>
      <c r="C12381">
        <f>LOG10(1.038184)</f>
        <v>1.6274331453584347E-2</v>
      </c>
      <c r="D12381">
        <f>LOG10(3.489362)</f>
        <v>0.54274602718589804</v>
      </c>
    </row>
    <row r="12382" spans="1:4">
      <c r="A12382">
        <v>1.0132650000000001</v>
      </c>
      <c r="B12382">
        <v>3.53701</v>
      </c>
      <c r="C12382">
        <f>LOG10(1.013265)</f>
        <v>5.7230415960744189E-3</v>
      </c>
      <c r="D12382">
        <f>LOG10(3.53701)</f>
        <v>0.54863628767414652</v>
      </c>
    </row>
    <row r="12383" spans="1:4">
      <c r="A12383">
        <v>1.0119279999999999</v>
      </c>
      <c r="B12383">
        <v>3.5156710000000002</v>
      </c>
      <c r="C12383">
        <f>LOG10(1.011928)</f>
        <v>5.1496129829374229E-3</v>
      </c>
      <c r="D12383">
        <f>LOG10(3.515671)</f>
        <v>0.54600822659232051</v>
      </c>
    </row>
    <row r="12384" spans="1:4">
      <c r="A12384">
        <v>1.0199149999999999</v>
      </c>
      <c r="B12384">
        <v>3.5146730000000002</v>
      </c>
      <c r="C12384">
        <f>LOG10(1.019915)</f>
        <v>8.5639790470415176E-3</v>
      </c>
      <c r="D12384">
        <f>LOG10(3.514673)</f>
        <v>0.54588492511636111</v>
      </c>
    </row>
    <row r="12385" spans="1:4">
      <c r="A12385">
        <v>1.0302070000000001</v>
      </c>
      <c r="B12385">
        <v>3.6669870000000002</v>
      </c>
      <c r="C12385">
        <f>LOG10(1.030207)</f>
        <v>1.29244964774325E-2</v>
      </c>
      <c r="D12385">
        <f>LOG10(3.666987)</f>
        <v>0.5643093703264952</v>
      </c>
    </row>
    <row r="12386" spans="1:4">
      <c r="A12386">
        <v>1.0187759999999999</v>
      </c>
      <c r="B12386">
        <v>3.6829809999999998</v>
      </c>
      <c r="C12386">
        <f>LOG10(1.018776)</f>
        <v>8.078705441227671E-3</v>
      </c>
      <c r="D12386">
        <f>LOG10(3.682981)</f>
        <v>0.56619947839429918</v>
      </c>
    </row>
    <row r="12387" spans="1:4">
      <c r="A12387">
        <v>1.027766</v>
      </c>
      <c r="B12387">
        <v>3.715516</v>
      </c>
      <c r="C12387">
        <f>LOG10(1.027766)</f>
        <v>1.1894246491183055E-2</v>
      </c>
      <c r="D12387">
        <f>LOG10(3.715516)</f>
        <v>0.57001913583308028</v>
      </c>
    </row>
    <row r="12388" spans="1:4">
      <c r="A12388">
        <v>1.0194240000000001</v>
      </c>
      <c r="B12388">
        <v>3.846352</v>
      </c>
      <c r="C12388">
        <f>LOG10(1.019424)</f>
        <v>8.3548538405557819E-3</v>
      </c>
      <c r="D12388">
        <f>LOG10(3.846352)</f>
        <v>0.58504902630453326</v>
      </c>
    </row>
    <row r="12389" spans="1:4">
      <c r="A12389">
        <v>1.0261020000000001</v>
      </c>
      <c r="B12389">
        <v>3.6628949999999998</v>
      </c>
      <c r="C12389">
        <f>LOG10(1.026102)</f>
        <v>1.1190534104599491E-2</v>
      </c>
      <c r="D12389">
        <f>LOG10(3.662895)</f>
        <v>0.56382446942234232</v>
      </c>
    </row>
    <row r="12390" spans="1:4">
      <c r="A12390">
        <v>1.0370220000000001</v>
      </c>
      <c r="B12390">
        <v>3.506796</v>
      </c>
      <c r="C12390">
        <f>LOG10(1.037022)</f>
        <v>1.5787969867588708E-2</v>
      </c>
      <c r="D12390">
        <f>LOG10(3.506796)</f>
        <v>0.54491050250790762</v>
      </c>
    </row>
    <row r="12391" spans="1:4">
      <c r="A12391">
        <v>1.0203599999999999</v>
      </c>
      <c r="B12391">
        <v>3.5398749999999999</v>
      </c>
      <c r="C12391">
        <f>LOG10(1.02036)</f>
        <v>8.7534251241747491E-3</v>
      </c>
      <c r="D12391">
        <f>LOG10(3.539875)</f>
        <v>0.54898792649790251</v>
      </c>
    </row>
    <row r="12392" spans="1:4">
      <c r="A12392">
        <v>1.0225580000000001</v>
      </c>
      <c r="B12392">
        <v>3.5948020000000001</v>
      </c>
      <c r="C12392">
        <f>LOG10(1.022558)</f>
        <v>9.6879507777347419E-3</v>
      </c>
      <c r="D12392">
        <f>LOG10(3.594802)</f>
        <v>0.5556749746422599</v>
      </c>
    </row>
    <row r="12393" spans="1:4">
      <c r="A12393">
        <v>1.017331</v>
      </c>
      <c r="B12393">
        <v>3.5836060000000001</v>
      </c>
      <c r="C12393">
        <f>LOG10(1.017331)</f>
        <v>7.4622784737768616E-3</v>
      </c>
      <c r="D12393">
        <f>LOG10(3.583606)</f>
        <v>0.55432025505482208</v>
      </c>
    </row>
    <row r="12394" spans="1:4">
      <c r="A12394">
        <v>1.0226440000000001</v>
      </c>
      <c r="B12394">
        <v>3.641283</v>
      </c>
      <c r="C12394">
        <f>LOG10(1.022644)</f>
        <v>9.7244746276681036E-3</v>
      </c>
      <c r="D12394">
        <f>LOG10(3.641283)</f>
        <v>0.56125443355140114</v>
      </c>
    </row>
    <row r="12395" spans="1:4">
      <c r="A12395">
        <v>1.0182880000000001</v>
      </c>
      <c r="B12395">
        <v>3.6560000000000001</v>
      </c>
      <c r="C12395">
        <f>LOG10(1.018288)</f>
        <v>7.8706258607893695E-3</v>
      </c>
      <c r="D12395">
        <f>LOG10(3.656)</f>
        <v>0.56300618706179384</v>
      </c>
    </row>
    <row r="12396" spans="1:4">
      <c r="A12396">
        <v>1.0145660000000001</v>
      </c>
      <c r="B12396">
        <v>3.5333890000000001</v>
      </c>
      <c r="C12396">
        <f>LOG10(1.014566)</f>
        <v>6.2803042066956211E-3</v>
      </c>
      <c r="D12396">
        <f>LOG10(3.533389)</f>
        <v>0.54819145267785885</v>
      </c>
    </row>
    <row r="12397" spans="1:4">
      <c r="A12397">
        <v>1.0236080000000001</v>
      </c>
      <c r="B12397">
        <v>3.5797539999999999</v>
      </c>
      <c r="C12397">
        <f>LOG10(1.023608)</f>
        <v>1.013367145340335E-2</v>
      </c>
      <c r="D12397">
        <f>LOG10(3.579754)</f>
        <v>0.55385318303679221</v>
      </c>
    </row>
    <row r="12398" spans="1:4">
      <c r="A12398">
        <v>1.0200899999999999</v>
      </c>
      <c r="B12398">
        <v>3.4116610000000001</v>
      </c>
      <c r="C12398">
        <f>LOG10(1.02009)</f>
        <v>8.6384901727686748E-3</v>
      </c>
      <c r="D12398">
        <f>LOG10(3.411661)</f>
        <v>0.53296587092934333</v>
      </c>
    </row>
    <row r="12399" spans="1:4">
      <c r="A12399">
        <v>1.0213239999999999</v>
      </c>
      <c r="B12399">
        <v>3.2535370000000001</v>
      </c>
      <c r="C12399">
        <f>LOG10(1.021324)</f>
        <v>9.1635374742406253E-3</v>
      </c>
      <c r="D12399">
        <f>LOG10(3.253537)</f>
        <v>0.51235574999855449</v>
      </c>
    </row>
    <row r="12400" spans="1:4">
      <c r="A12400">
        <v>1.012599</v>
      </c>
      <c r="B12400">
        <v>3.1734550000000001</v>
      </c>
      <c r="C12400">
        <f>LOG10(1.012599)</f>
        <v>5.4374941601482863E-3</v>
      </c>
      <c r="D12400">
        <f>LOG10(3.173455)</f>
        <v>0.5015323443420352</v>
      </c>
    </row>
    <row r="12401" spans="1:4">
      <c r="A12401">
        <v>1.018588</v>
      </c>
      <c r="B12401">
        <v>3.1424699999999999</v>
      </c>
      <c r="C12401">
        <f>LOG10(1.018588)</f>
        <v>7.9985554407078947E-3</v>
      </c>
      <c r="D12401">
        <f>LOG10(3.14247)</f>
        <v>0.49727114032883141</v>
      </c>
    </row>
    <row r="12402" spans="1:4">
      <c r="A12402">
        <v>1.0320530000000001</v>
      </c>
      <c r="B12402">
        <v>3.0118269999999998</v>
      </c>
      <c r="C12402">
        <f>LOG10(1.032053)</f>
        <v>1.3702000601762557E-2</v>
      </c>
      <c r="D12402">
        <f>LOG10(3.011827)</f>
        <v>0.47883002227529164</v>
      </c>
    </row>
    <row r="12403" spans="1:4">
      <c r="A12403">
        <v>1.0300370000000001</v>
      </c>
      <c r="B12403">
        <v>3.0366849999999999</v>
      </c>
      <c r="C12403">
        <f>LOG10(1.030037)</f>
        <v>1.285282529470743E-2</v>
      </c>
      <c r="D12403">
        <f>LOG10(3.036685)</f>
        <v>0.48239974422088799</v>
      </c>
    </row>
    <row r="12404" spans="1:4">
      <c r="A12404">
        <v>1.0179590000000001</v>
      </c>
      <c r="B12404">
        <v>3.0652550000000001</v>
      </c>
      <c r="C12404">
        <f>LOG10(1.017959)</f>
        <v>7.73028641691098E-3</v>
      </c>
      <c r="D12404">
        <f>LOG10(3.065255)</f>
        <v>0.48646660951880238</v>
      </c>
    </row>
    <row r="12405" spans="1:4">
      <c r="A12405">
        <v>1.0128470000000001</v>
      </c>
      <c r="B12405">
        <v>3.2168890000000001</v>
      </c>
      <c r="C12405">
        <f>LOG10(1.012847)</f>
        <v>5.5438460767634505E-3</v>
      </c>
      <c r="D12405">
        <f>LOG10(3.216889)</f>
        <v>0.50743607566131799</v>
      </c>
    </row>
    <row r="12406" spans="1:4">
      <c r="A12406">
        <v>1.0297160000000001</v>
      </c>
      <c r="B12406">
        <v>3.142468</v>
      </c>
      <c r="C12406">
        <f>LOG10(1.029716)</f>
        <v>1.2717460976927997E-2</v>
      </c>
      <c r="D12406">
        <f>LOG10(3.142468)</f>
        <v>0.49727086392547987</v>
      </c>
    </row>
    <row r="12407" spans="1:4">
      <c r="A12407">
        <v>1.029576</v>
      </c>
      <c r="B12407">
        <v>3.1166969999999998</v>
      </c>
      <c r="C12407">
        <f>LOG10(1.029576)</f>
        <v>1.2658410363843364E-2</v>
      </c>
      <c r="D12407">
        <f>LOG10(3.116697)</f>
        <v>0.49369458295558621</v>
      </c>
    </row>
    <row r="12408" spans="1:4">
      <c r="A12408">
        <v>1.023509</v>
      </c>
      <c r="B12408">
        <v>3.150045</v>
      </c>
      <c r="C12408">
        <f>LOG10(1.023509)</f>
        <v>1.0091665887779138E-2</v>
      </c>
      <c r="D12408">
        <f>LOG10(3.150045)</f>
        <v>0.49831675795216951</v>
      </c>
    </row>
    <row r="12409" spans="1:4">
      <c r="A12409">
        <v>1.010715</v>
      </c>
      <c r="B12409">
        <v>3.0855239999999999</v>
      </c>
      <c r="C12409">
        <f>LOG10(1.010715)</f>
        <v>4.6287111038579125E-3</v>
      </c>
      <c r="D12409">
        <f>LOG10(3.085524)</f>
        <v>0.48932892881782669</v>
      </c>
    </row>
    <row r="12410" spans="1:4">
      <c r="A12410">
        <v>1.0271870000000001</v>
      </c>
      <c r="B12410">
        <v>3.1284230000000002</v>
      </c>
      <c r="C12410">
        <f>LOG10(1.027187)</f>
        <v>1.1649514361858326E-2</v>
      </c>
      <c r="D12410">
        <f>LOG10(3.128423)</f>
        <v>0.49532547013769179</v>
      </c>
    </row>
    <row r="12411" spans="1:4">
      <c r="A12411">
        <v>1.0180180000000001</v>
      </c>
      <c r="B12411">
        <v>2.9756040000000001</v>
      </c>
      <c r="C12411">
        <f>LOG10(1.018018)</f>
        <v>7.7554570101342609E-3</v>
      </c>
      <c r="D12411">
        <f>LOG10(2.975604)</f>
        <v>0.47357513384356309</v>
      </c>
    </row>
    <row r="12412" spans="1:4">
      <c r="A12412">
        <v>1.0284390000000001</v>
      </c>
      <c r="B12412">
        <v>3.0970909999999998</v>
      </c>
      <c r="C12412">
        <f>LOG10(1.028439)</f>
        <v>1.2178537402602826E-2</v>
      </c>
      <c r="D12412">
        <f>LOG10(3.097091)</f>
        <v>0.49095396616312814</v>
      </c>
    </row>
    <row r="12413" spans="1:4">
      <c r="A12413">
        <v>1.022662</v>
      </c>
      <c r="B12413">
        <v>3.0477690000000002</v>
      </c>
      <c r="C12413">
        <f>LOG10(1.022662)</f>
        <v>9.7321187656840263E-3</v>
      </c>
      <c r="D12413">
        <f>LOG10(3.047769)</f>
        <v>0.48398204736996298</v>
      </c>
    </row>
    <row r="12414" spans="1:4">
      <c r="A12414">
        <v>1.019728</v>
      </c>
      <c r="B12414">
        <v>3.1419790000000001</v>
      </c>
      <c r="C12414">
        <f>LOG10(1.019728)</f>
        <v>8.4843444557493822E-3</v>
      </c>
      <c r="D12414">
        <f>LOG10(3.141979)</f>
        <v>0.49720327802585201</v>
      </c>
    </row>
    <row r="12415" spans="1:4">
      <c r="A12415">
        <v>1.023196</v>
      </c>
      <c r="B12415">
        <v>3.0491389999999998</v>
      </c>
      <c r="C12415">
        <f>LOG10(1.023196)</f>
        <v>9.9588336780611492E-3</v>
      </c>
      <c r="D12415">
        <f>LOG10(3.049139)</f>
        <v>0.48417722284258657</v>
      </c>
    </row>
    <row r="12416" spans="1:4">
      <c r="A12416">
        <v>1.0193920000000001</v>
      </c>
      <c r="B12416">
        <v>3.1947329999999998</v>
      </c>
      <c r="C12416">
        <f>LOG10(1.019392)</f>
        <v>8.3412210032403396E-3</v>
      </c>
      <c r="D12416">
        <f>LOG10(3.194733)</f>
        <v>0.50443456782397322</v>
      </c>
    </row>
    <row r="12417" spans="1:4">
      <c r="A12417">
        <v>1.026473</v>
      </c>
      <c r="B12417">
        <v>3.2629670000000002</v>
      </c>
      <c r="C12417">
        <f>LOG10(1.026473)</f>
        <v>1.1347530321098958E-2</v>
      </c>
      <c r="D12417">
        <f>LOG10(3.262967)</f>
        <v>0.51361268157507245</v>
      </c>
    </row>
    <row r="12418" spans="1:4">
      <c r="A12418">
        <v>1.02518</v>
      </c>
      <c r="B12418">
        <v>3.4079700000000002</v>
      </c>
      <c r="C12418">
        <f>LOG10(1.02518)</f>
        <v>1.0800125044041138E-2</v>
      </c>
      <c r="D12418">
        <f>LOG10(3.40797)</f>
        <v>0.53249576306303026</v>
      </c>
    </row>
    <row r="12419" spans="1:4">
      <c r="A12419">
        <v>1.0228379999999999</v>
      </c>
      <c r="B12419">
        <v>3.33283</v>
      </c>
      <c r="C12419">
        <f>LOG10(1.022838)</f>
        <v>9.8068543599187635E-3</v>
      </c>
      <c r="D12419">
        <f>LOG10(3.33283)</f>
        <v>0.52281316186189741</v>
      </c>
    </row>
    <row r="12420" spans="1:4">
      <c r="A12420">
        <v>1.0180020000000001</v>
      </c>
      <c r="B12420">
        <v>3.0850379999999999</v>
      </c>
      <c r="C12420">
        <f>LOG10(1.018002)</f>
        <v>7.7486312307110698E-3</v>
      </c>
      <c r="D12420">
        <f>LOG10(3.085038)</f>
        <v>0.48926051783074276</v>
      </c>
    </row>
    <row r="12421" spans="1:4">
      <c r="A12421">
        <v>1.0323439999999999</v>
      </c>
      <c r="B12421">
        <v>3.3121999999999998</v>
      </c>
      <c r="C12421">
        <f>LOG10(1.032344)</f>
        <v>1.3824437996382706E-2</v>
      </c>
      <c r="D12421">
        <f>LOG10(3.3122)</f>
        <v>0.52011655283323355</v>
      </c>
    </row>
    <row r="12422" spans="1:4">
      <c r="A12422">
        <v>1.028176</v>
      </c>
      <c r="B12422">
        <v>3.4860470000000001</v>
      </c>
      <c r="C12422">
        <f>LOG10(1.028176)</f>
        <v>1.2067462214137089E-2</v>
      </c>
      <c r="D12422">
        <f>LOG10(3.486047)</f>
        <v>0.5423332381104774</v>
      </c>
    </row>
    <row r="12423" spans="1:4">
      <c r="A12423">
        <v>1.021155</v>
      </c>
      <c r="B12423">
        <v>3.3791389999999999</v>
      </c>
      <c r="C12423">
        <f>LOG10(1.021155)</f>
        <v>9.0916681746208115E-3</v>
      </c>
      <c r="D12423">
        <f>LOG10(3.379139)</f>
        <v>0.52880605673239212</v>
      </c>
    </row>
    <row r="12424" spans="1:4">
      <c r="A12424">
        <v>1.0182230000000001</v>
      </c>
      <c r="B12424">
        <v>3.118528</v>
      </c>
      <c r="C12424">
        <f>LOG10(1.018223)</f>
        <v>7.8429028174733361E-3</v>
      </c>
      <c r="D12424">
        <f>LOG10(3.118528)</f>
        <v>0.49394964775893241</v>
      </c>
    </row>
    <row r="12425" spans="1:4">
      <c r="A12425">
        <v>1.0285709999999999</v>
      </c>
      <c r="B12425">
        <v>3.2492380000000001</v>
      </c>
      <c r="C12425">
        <f>LOG10(1.028571)</f>
        <v>1.2234275460939763E-2</v>
      </c>
      <c r="D12425">
        <f>LOG10(3.249238)</f>
        <v>0.51178152368757146</v>
      </c>
    </row>
    <row r="12426" spans="1:4">
      <c r="A12426">
        <v>1.0117050000000001</v>
      </c>
      <c r="B12426">
        <v>3.2690790000000001</v>
      </c>
      <c r="C12426">
        <f>LOG10(1.011705)</f>
        <v>5.053896348689621E-3</v>
      </c>
      <c r="D12426">
        <f>LOG10(3.269079)</f>
        <v>0.51442541579282275</v>
      </c>
    </row>
    <row r="12427" spans="1:4">
      <c r="A12427">
        <v>1.008095</v>
      </c>
      <c r="B12427">
        <v>3.2262659999999999</v>
      </c>
      <c r="C12427">
        <f>LOG10(1.008095)</f>
        <v>3.501460712386141E-3</v>
      </c>
      <c r="D12427">
        <f>LOG10(3.226266)</f>
        <v>0.50870017135106671</v>
      </c>
    </row>
    <row r="12428" spans="1:4">
      <c r="A12428">
        <v>1.0127949999999999</v>
      </c>
      <c r="B12428">
        <v>3.3640300000000001</v>
      </c>
      <c r="C12428">
        <f>LOG10(1.012795)</f>
        <v>5.5215486391471287E-3</v>
      </c>
      <c r="D12428">
        <f>LOG10(3.36403)</f>
        <v>0.52685986012717134</v>
      </c>
    </row>
    <row r="12429" spans="1:4">
      <c r="A12429">
        <v>1.0103470000000001</v>
      </c>
      <c r="B12429">
        <v>3.2112020000000001</v>
      </c>
      <c r="C12429">
        <f>LOG10(1.010347)</f>
        <v>4.4705562613972715E-3</v>
      </c>
      <c r="D12429">
        <f>LOG10(3.211202)</f>
        <v>0.50666762563067158</v>
      </c>
    </row>
    <row r="12430" spans="1:4">
      <c r="A12430">
        <v>1.010124</v>
      </c>
      <c r="B12430">
        <v>3.25888</v>
      </c>
      <c r="C12430">
        <f>LOG10(1.010124)</f>
        <v>4.3746898323738263E-3</v>
      </c>
      <c r="D12430">
        <f>LOG10(3.25888)</f>
        <v>0.51306836896550501</v>
      </c>
    </row>
    <row r="12431" spans="1:4">
      <c r="A12431">
        <v>1.018119</v>
      </c>
      <c r="B12431">
        <v>3.2155309999999999</v>
      </c>
      <c r="C12431">
        <f>LOG10(1.018119)</f>
        <v>7.7985422668808979E-3</v>
      </c>
      <c r="D12431">
        <f>LOG10(3.215531)</f>
        <v>0.5072527008458716</v>
      </c>
    </row>
    <row r="12432" spans="1:4">
      <c r="A12432">
        <v>1.019595</v>
      </c>
      <c r="B12432">
        <v>3.3294809999999999</v>
      </c>
      <c r="C12432">
        <f>LOG10(1.019595)</f>
        <v>8.4276970623006747E-3</v>
      </c>
      <c r="D12432">
        <f>LOG10(3.329481)</f>
        <v>0.52237654089286722</v>
      </c>
    </row>
    <row r="12433" spans="1:4">
      <c r="A12433">
        <v>1.020996</v>
      </c>
      <c r="B12433">
        <v>3.0804960000000001</v>
      </c>
      <c r="C12433">
        <f>LOG10(1.020996)</f>
        <v>9.0240406360478469E-3</v>
      </c>
      <c r="D12433">
        <f>LOG10(3.080496)</f>
        <v>0.48862064920180126</v>
      </c>
    </row>
    <row r="12434" spans="1:4">
      <c r="A12434">
        <v>1.0216190000000001</v>
      </c>
      <c r="B12434">
        <v>3.1800510000000002</v>
      </c>
      <c r="C12434">
        <f>LOG10(1.021619)</f>
        <v>9.2889613094156564E-3</v>
      </c>
      <c r="D12434">
        <f>LOG10(3.180051)</f>
        <v>0.50243408502876252</v>
      </c>
    </row>
    <row r="12435" spans="1:4">
      <c r="A12435">
        <v>1.0193300000000001</v>
      </c>
      <c r="B12435">
        <v>3.1856059999999999</v>
      </c>
      <c r="C12435">
        <f>LOG10(1.01933)</f>
        <v>8.3148061630744854E-3</v>
      </c>
      <c r="D12435">
        <f>LOG10(3.185606)</f>
        <v>0.50319206066564137</v>
      </c>
    </row>
    <row r="12436" spans="1:4">
      <c r="A12436">
        <v>1.022616</v>
      </c>
      <c r="B12436">
        <v>3.5023949999999999</v>
      </c>
      <c r="C12436">
        <f>LOG10(1.022616)</f>
        <v>9.7125834788712659E-3</v>
      </c>
      <c r="D12436">
        <f>LOG10(3.502395)</f>
        <v>0.54436512422786532</v>
      </c>
    </row>
    <row r="12437" spans="1:4">
      <c r="A12437">
        <v>1.0231710000000001</v>
      </c>
      <c r="B12437">
        <v>3.2658309999999999</v>
      </c>
      <c r="C12437">
        <f>LOG10(1.023171)</f>
        <v>9.9482223243322274E-3</v>
      </c>
      <c r="D12437">
        <f>LOG10(3.265831)</f>
        <v>0.51399370714086723</v>
      </c>
    </row>
    <row r="12438" spans="1:4">
      <c r="A12438">
        <v>1.015096</v>
      </c>
      <c r="B12438">
        <v>3.2996949999999998</v>
      </c>
      <c r="C12438">
        <f>LOG10(1.015096)</f>
        <v>6.5071164351754307E-3</v>
      </c>
      <c r="D12438">
        <f>LOG10(3.299695)</f>
        <v>0.51847379868437027</v>
      </c>
    </row>
    <row r="12439" spans="1:4">
      <c r="A12439">
        <v>1.017406</v>
      </c>
      <c r="B12439">
        <v>3.2590650000000001</v>
      </c>
      <c r="C12439">
        <f>LOG10(1.017406)</f>
        <v>7.4942944897607618E-3</v>
      </c>
      <c r="D12439">
        <f>LOG10(3.259065)</f>
        <v>0.5130930222815957</v>
      </c>
    </row>
    <row r="12440" spans="1:4">
      <c r="A12440">
        <v>1.0299959999999999</v>
      </c>
      <c r="B12440">
        <v>3.3963930000000002</v>
      </c>
      <c r="C12440">
        <f>LOG10(1.029996)</f>
        <v>1.2835538121385E-2</v>
      </c>
      <c r="D12440">
        <f>LOG10(3.396393)</f>
        <v>0.53101793712443635</v>
      </c>
    </row>
    <row r="12441" spans="1:4">
      <c r="A12441">
        <v>1.0195989999999999</v>
      </c>
      <c r="B12441">
        <v>3.4477920000000002</v>
      </c>
      <c r="C12441">
        <f>LOG10(1.019599)</f>
        <v>8.4294008510795437E-3</v>
      </c>
      <c r="D12441">
        <f>LOG10(3.447792)</f>
        <v>0.53754105762337867</v>
      </c>
    </row>
    <row r="12442" spans="1:4">
      <c r="A12442">
        <v>1.0396460000000001</v>
      </c>
      <c r="B12442">
        <v>3.4674710000000002</v>
      </c>
      <c r="C12442">
        <f>LOG10(1.039646)</f>
        <v>1.6885486973837929E-2</v>
      </c>
      <c r="D12442">
        <f>LOG10(3.467471)</f>
        <v>0.54001283756287355</v>
      </c>
    </row>
    <row r="12443" spans="1:4">
      <c r="A12443">
        <v>1.0257480000000001</v>
      </c>
      <c r="B12443">
        <v>3.342025</v>
      </c>
      <c r="C12443">
        <f>LOG10(1.025748)</f>
        <v>1.1040678853855889E-2</v>
      </c>
      <c r="D12443">
        <f>LOG10(3.342025)</f>
        <v>0.5240096943070548</v>
      </c>
    </row>
    <row r="12444" spans="1:4">
      <c r="A12444">
        <v>1.0209809999999999</v>
      </c>
      <c r="B12444">
        <v>3.324166</v>
      </c>
      <c r="C12444">
        <f>LOG10(1.020981)</f>
        <v>9.0176601359455363E-3</v>
      </c>
      <c r="D12444">
        <f>LOG10(3.324166)</f>
        <v>0.52168270316378895</v>
      </c>
    </row>
    <row r="12445" spans="1:4">
      <c r="A12445">
        <v>1.019048</v>
      </c>
      <c r="B12445">
        <v>3.2514069999999999</v>
      </c>
      <c r="C12445">
        <f>LOG10(1.019048)</f>
        <v>8.1946409683185482E-3</v>
      </c>
      <c r="D12445">
        <f>LOG10(3.251407)</f>
        <v>0.51207133639575797</v>
      </c>
    </row>
    <row r="12446" spans="1:4">
      <c r="A12446">
        <v>1.009566</v>
      </c>
      <c r="B12446">
        <v>3.4066649999999998</v>
      </c>
      <c r="C12446">
        <f>LOG10(1.009566)</f>
        <v>4.1347160472207222E-3</v>
      </c>
      <c r="D12446">
        <f>LOG10(3.406665)</f>
        <v>0.53232942860614096</v>
      </c>
    </row>
    <row r="12447" spans="1:4">
      <c r="A12447">
        <v>1.0270630000000001</v>
      </c>
      <c r="B12447">
        <v>3.4137309999999998</v>
      </c>
      <c r="C12447">
        <f>LOG10(1.027063)</f>
        <v>1.1597084019084646E-2</v>
      </c>
      <c r="D12447">
        <f>LOG10(3.413731)</f>
        <v>0.53322929597660862</v>
      </c>
    </row>
    <row r="12448" spans="1:4">
      <c r="A12448">
        <v>1.0162800000000001</v>
      </c>
      <c r="B12448">
        <v>3.4852289999999999</v>
      </c>
      <c r="C12448">
        <f>LOG10(1.01628)</f>
        <v>7.0133789142066416E-3</v>
      </c>
      <c r="D12448">
        <f>LOG10(3.485229)</f>
        <v>0.54223131906787247</v>
      </c>
    </row>
    <row r="12449" spans="1:4">
      <c r="A12449">
        <v>1.018519</v>
      </c>
      <c r="B12449">
        <v>3.3694069999999998</v>
      </c>
      <c r="C12449">
        <f>LOG10(1.018519)</f>
        <v>7.9691349740727817E-3</v>
      </c>
      <c r="D12449">
        <f>LOG10(3.369407)</f>
        <v>0.52755347378259521</v>
      </c>
    </row>
    <row r="12450" spans="1:4">
      <c r="A12450">
        <v>1.0198970000000001</v>
      </c>
      <c r="B12450">
        <v>3.4653130000000001</v>
      </c>
      <c r="C12450">
        <f>LOG10(1.019897)</f>
        <v>8.5563143204153407E-3</v>
      </c>
      <c r="D12450">
        <f>LOG10(3.465313)</f>
        <v>0.53974246781755431</v>
      </c>
    </row>
    <row r="12451" spans="1:4">
      <c r="A12451">
        <v>1.0548519999999999</v>
      </c>
      <c r="B12451">
        <v>2.7809750000000002</v>
      </c>
      <c r="C12451">
        <f>LOG10(1.054852)</f>
        <v>2.3191530636391136E-2</v>
      </c>
      <c r="D12451">
        <f>LOG10(2.780975)</f>
        <v>0.44419708472505515</v>
      </c>
    </row>
    <row r="12452" spans="1:4">
      <c r="A12452">
        <v>1.0020560000000001</v>
      </c>
      <c r="B12452">
        <v>4.253952</v>
      </c>
      <c r="C12452">
        <f>LOG10(1.002056)</f>
        <v>8.9199280008660231E-4</v>
      </c>
      <c r="D12452">
        <f>LOG10(4.253952)</f>
        <v>0.62879258517819558</v>
      </c>
    </row>
    <row r="12453" spans="1:4">
      <c r="A12453">
        <v>1.004407</v>
      </c>
      <c r="B12453">
        <v>4.470739</v>
      </c>
      <c r="C12453">
        <f>LOG10(1.004407)</f>
        <v>1.9097307740387327E-3</v>
      </c>
      <c r="D12453">
        <f>LOG10(4.470739)</f>
        <v>0.6503793166655264</v>
      </c>
    </row>
    <row r="12454" spans="1:4">
      <c r="A12454">
        <v>1.002432</v>
      </c>
      <c r="B12454">
        <v>4.4276369999999998</v>
      </c>
      <c r="C12454">
        <f>LOG10(1.002432)</f>
        <v>1.0549219142652032E-3</v>
      </c>
      <c r="D12454">
        <f>LOG10(4.427637)</f>
        <v>0.64617200801536179</v>
      </c>
    </row>
    <row r="12455" spans="1:4">
      <c r="A12455">
        <v>1.00543</v>
      </c>
      <c r="B12455">
        <v>4.6691000000000003</v>
      </c>
      <c r="C12455">
        <f>LOG10(1.00543)</f>
        <v>2.3518395553527929E-3</v>
      </c>
      <c r="D12455">
        <f>LOG10(4.6691)</f>
        <v>0.66923317549069317</v>
      </c>
    </row>
    <row r="12456" spans="1:4">
      <c r="A12456">
        <v>1.001719</v>
      </c>
      <c r="B12456">
        <v>4.2727459999999997</v>
      </c>
      <c r="C12456">
        <f>LOG10(1.001719)</f>
        <v>7.4591128716091683E-4</v>
      </c>
      <c r="D12456">
        <f>LOG10(4.272746)</f>
        <v>0.63070707627679479</v>
      </c>
    </row>
    <row r="12457" spans="1:4">
      <c r="A12457">
        <v>1.0056430000000001</v>
      </c>
      <c r="B12457">
        <v>3.2853859999999999</v>
      </c>
      <c r="C12457">
        <f>LOG10(1.005643)</f>
        <v>2.4438349478535099E-3</v>
      </c>
      <c r="D12457">
        <f>LOG10(3.285386)</f>
        <v>0.51658640215204132</v>
      </c>
    </row>
    <row r="12458" spans="1:4">
      <c r="A12458">
        <v>1.0045930000000001</v>
      </c>
      <c r="B12458">
        <v>3.2944589999999998</v>
      </c>
      <c r="C12458">
        <f>LOG10(1.004593)</f>
        <v>1.9901476718633387E-3</v>
      </c>
      <c r="D12458">
        <f>LOG10(3.294459)</f>
        <v>0.51778410706201716</v>
      </c>
    </row>
    <row r="12459" spans="1:4">
      <c r="A12459">
        <v>1.0059910000000001</v>
      </c>
      <c r="B12459">
        <v>3.1203919999999998</v>
      </c>
      <c r="C12459">
        <f>LOG10(1.005991)</f>
        <v>2.5940953642214935E-3</v>
      </c>
      <c r="D12459">
        <f>LOG10(3.120392)</f>
        <v>0.49420915579505231</v>
      </c>
    </row>
    <row r="12460" spans="1:4">
      <c r="A12460">
        <v>1.006032</v>
      </c>
      <c r="B12460">
        <v>3.3985690000000002</v>
      </c>
      <c r="C12460">
        <f>LOG10(1.006032)</f>
        <v>2.6117950364026562E-3</v>
      </c>
      <c r="D12460">
        <f>LOG10(3.398569)</f>
        <v>0.53129609168215908</v>
      </c>
    </row>
    <row r="12461" spans="1:4">
      <c r="A12461">
        <v>1.002564</v>
      </c>
      <c r="B12461">
        <v>3.3439290000000002</v>
      </c>
      <c r="C12461">
        <f>LOG10(1.002564)</f>
        <v>1.112105940262325E-3</v>
      </c>
      <c r="D12461">
        <f>LOG10(3.343929)</f>
        <v>0.52425704770371206</v>
      </c>
    </row>
    <row r="12462" spans="1:4">
      <c r="A12462">
        <v>1.012635</v>
      </c>
      <c r="B12462">
        <v>3.3143590000000001</v>
      </c>
      <c r="C12462">
        <f>LOG10(1.012635)</f>
        <v>5.4529339575742934E-3</v>
      </c>
      <c r="D12462">
        <f>LOG10(3.314359)</f>
        <v>0.52039954792000687</v>
      </c>
    </row>
    <row r="12463" spans="1:4">
      <c r="A12463">
        <v>1.0005759999999999</v>
      </c>
      <c r="B12463">
        <v>3.3636529999999998</v>
      </c>
      <c r="C12463">
        <f>LOG10(1.000576)</f>
        <v>2.5008160498626354E-4</v>
      </c>
      <c r="D12463">
        <f>LOG10(3.363653)</f>
        <v>0.52681118690049011</v>
      </c>
    </row>
    <row r="12464" spans="1:4">
      <c r="A12464">
        <v>1.005166</v>
      </c>
      <c r="B12464">
        <v>3.288945</v>
      </c>
      <c r="C12464">
        <f>LOG10(1.005166)</f>
        <v>2.2377900457731604E-3</v>
      </c>
      <c r="D12464">
        <f>LOG10(3.288945)</f>
        <v>0.51705661097240108</v>
      </c>
    </row>
    <row r="12465" spans="1:4">
      <c r="A12465">
        <v>1.0042279999999999</v>
      </c>
      <c r="B12465">
        <v>3.1275979999999999</v>
      </c>
      <c r="C12465">
        <f>LOG10(1.004228)</f>
        <v>1.8323262555806398E-3</v>
      </c>
      <c r="D12465">
        <f>LOG10(3.127598)</f>
        <v>0.49521092674033196</v>
      </c>
    </row>
    <row r="12466" spans="1:4">
      <c r="A12466">
        <v>1.007636</v>
      </c>
      <c r="B12466">
        <v>3.2805300000000002</v>
      </c>
      <c r="C12466">
        <f>LOG10(1.007636)</f>
        <v>3.3036752235099391E-3</v>
      </c>
      <c r="D12466">
        <f>LOG10(3.28053)</f>
        <v>0.51594401367535869</v>
      </c>
    </row>
    <row r="12467" spans="1:4">
      <c r="A12467">
        <v>1.0016890000000001</v>
      </c>
      <c r="B12467">
        <v>3.5565630000000001</v>
      </c>
      <c r="C12467">
        <f>LOG10(1.001689)</f>
        <v>7.3290461607039483E-4</v>
      </c>
      <c r="D12467">
        <f>LOG10(3.556563)</f>
        <v>0.55103050607760051</v>
      </c>
    </row>
    <row r="12468" spans="1:4">
      <c r="A12468">
        <v>1.0027410000000001</v>
      </c>
      <c r="B12468">
        <v>3.2353540000000001</v>
      </c>
      <c r="C12468">
        <f>LOG10(1.002741)</f>
        <v>1.1887727051649653E-3</v>
      </c>
      <c r="D12468">
        <f>LOG10(3.235354)</f>
        <v>0.50992180643762597</v>
      </c>
    </row>
    <row r="12469" spans="1:4">
      <c r="A12469">
        <v>1.0050479999999999</v>
      </c>
      <c r="B12469">
        <v>3.339245</v>
      </c>
      <c r="C12469">
        <f>LOG10(1.005048)</f>
        <v>2.1868036841982521E-3</v>
      </c>
      <c r="D12469">
        <f>LOG10(3.339245)</f>
        <v>0.52364828435674105</v>
      </c>
    </row>
    <row r="12470" spans="1:4">
      <c r="A12470">
        <v>1.0105949999999999</v>
      </c>
      <c r="B12470">
        <v>3.3398300000000001</v>
      </c>
      <c r="C12470">
        <f>LOG10(1.010595)</f>
        <v>4.5771452006667449E-3</v>
      </c>
      <c r="D12470">
        <f>LOG10(3.33983)</f>
        <v>0.52372436144003875</v>
      </c>
    </row>
    <row r="12471" spans="1:4">
      <c r="A12471">
        <v>1.0010319999999999</v>
      </c>
      <c r="B12471">
        <v>3.3609179999999999</v>
      </c>
      <c r="C12471">
        <f>LOG10(1.001032)</f>
        <v>4.4796079728963575E-4</v>
      </c>
      <c r="D12471">
        <f>LOG10(3.360918)</f>
        <v>0.52645791664027575</v>
      </c>
    </row>
    <row r="12472" spans="1:4">
      <c r="A12472">
        <v>1.0016529999999999</v>
      </c>
      <c r="B12472">
        <v>3.2810570000000001</v>
      </c>
      <c r="C12472">
        <f>LOG10(1.001653)</f>
        <v>7.172960965562391E-4</v>
      </c>
      <c r="D12472">
        <f>LOG10(3.281057)</f>
        <v>0.51601377521093084</v>
      </c>
    </row>
    <row r="12473" spans="1:4">
      <c r="A12473">
        <v>1.0079880000000001</v>
      </c>
      <c r="B12473">
        <v>3.1523789999999998</v>
      </c>
      <c r="C12473">
        <f>LOG10(1.007988)</f>
        <v>3.4553619063278419E-3</v>
      </c>
      <c r="D12473">
        <f>LOG10(3.152379)</f>
        <v>0.49863842573177353</v>
      </c>
    </row>
    <row r="12474" spans="1:4">
      <c r="A12474">
        <v>1.0044550000000001</v>
      </c>
      <c r="B12474">
        <v>3.3409559999999998</v>
      </c>
      <c r="C12474">
        <f>LOG10(1.004455)</f>
        <v>1.9304849474317722E-3</v>
      </c>
      <c r="D12474">
        <f>LOG10(3.340956)</f>
        <v>0.52387075606823164</v>
      </c>
    </row>
    <row r="12475" spans="1:4">
      <c r="A12475">
        <v>1.0022470000000001</v>
      </c>
      <c r="B12475">
        <v>2.9173580000000001</v>
      </c>
      <c r="C12475">
        <f>LOG10(1.002247)</f>
        <v>9.7476496207472266E-4</v>
      </c>
      <c r="D12475">
        <f>LOG10(2.917358)</f>
        <v>0.46498972630531876</v>
      </c>
    </row>
    <row r="12476" spans="1:4">
      <c r="A12476">
        <v>1.0054479999999999</v>
      </c>
      <c r="B12476">
        <v>2.9035229999999999</v>
      </c>
      <c r="C12476">
        <f>LOG10(1.005448)</f>
        <v>2.3596145677348495E-3</v>
      </c>
      <c r="D12476">
        <f>LOG10(2.903523)</f>
        <v>0.46292527060819993</v>
      </c>
    </row>
    <row r="12477" spans="1:4">
      <c r="A12477">
        <v>1.006799</v>
      </c>
      <c r="B12477">
        <v>2.9332820000000002</v>
      </c>
      <c r="C12477">
        <f>LOG10(1.006799)</f>
        <v>2.9427755148853092E-3</v>
      </c>
      <c r="D12477">
        <f>LOG10(2.933282)</f>
        <v>0.46735381721057079</v>
      </c>
    </row>
    <row r="12478" spans="1:4">
      <c r="A12478">
        <v>1.0024189999999999</v>
      </c>
      <c r="B12478">
        <v>3.2639230000000001</v>
      </c>
      <c r="C12478">
        <f>LOG10(1.002419)</f>
        <v>1.0492897468224963E-3</v>
      </c>
      <c r="D12478">
        <f>LOG10(3.263923)</f>
        <v>0.51373990465610142</v>
      </c>
    </row>
    <row r="12479" spans="1:4">
      <c r="A12479">
        <v>1.001239</v>
      </c>
      <c r="B12479">
        <v>3.2644289999999998</v>
      </c>
      <c r="C12479">
        <f>LOG10(1.001239)</f>
        <v>5.3775779087769822E-4</v>
      </c>
      <c r="D12479">
        <f>LOG10(3.264429)</f>
        <v>0.51380722731526041</v>
      </c>
    </row>
    <row r="12480" spans="1:4">
      <c r="A12480">
        <v>1.010535</v>
      </c>
      <c r="B12480">
        <v>3.3925649999999998</v>
      </c>
      <c r="C12480">
        <f>LOG10(1.010535)</f>
        <v>4.5513599528877033E-3</v>
      </c>
      <c r="D12480">
        <f>LOG10(3.392565)</f>
        <v>0.53052817729592894</v>
      </c>
    </row>
    <row r="12481" spans="1:4">
      <c r="A12481">
        <v>1.0079610000000001</v>
      </c>
      <c r="B12481">
        <v>3.0091239999999999</v>
      </c>
      <c r="C12481">
        <f>LOG10(1.007961)</f>
        <v>3.4437287241272123E-3</v>
      </c>
      <c r="D12481">
        <f>LOG10(3.009124)</f>
        <v>0.47844008451846648</v>
      </c>
    </row>
    <row r="12482" spans="1:4">
      <c r="A12482">
        <v>1.0029399999999999</v>
      </c>
      <c r="B12482">
        <v>3.1000909999999999</v>
      </c>
      <c r="C12482">
        <f>LOG10(1.00294)</f>
        <v>1.2749525136013734E-3</v>
      </c>
      <c r="D12482">
        <f>LOG10(3.100091)</f>
        <v>0.49137444229162791</v>
      </c>
    </row>
    <row r="12483" spans="1:4">
      <c r="A12483">
        <v>1.0021629999999999</v>
      </c>
      <c r="B12483">
        <v>3.2311109999999998</v>
      </c>
      <c r="C12483">
        <f>LOG10(1.002163)</f>
        <v>9.3836448861738182E-4</v>
      </c>
      <c r="D12483">
        <f>LOG10(3.231111)</f>
        <v>0.50935187781320179</v>
      </c>
    </row>
    <row r="12484" spans="1:4">
      <c r="A12484">
        <v>1.0064360000000001</v>
      </c>
      <c r="B12484">
        <v>3.4154990000000001</v>
      </c>
      <c r="C12484">
        <f>LOG10(1.006436)</f>
        <v>2.7861629995661829E-3</v>
      </c>
      <c r="D12484">
        <f>LOG10(3.415499)</f>
        <v>0.53345416251680688</v>
      </c>
    </row>
    <row r="12485" spans="1:4">
      <c r="A12485">
        <v>1.003506</v>
      </c>
      <c r="B12485">
        <v>3.203881</v>
      </c>
      <c r="C12485">
        <f>LOG10(1.003506)</f>
        <v>1.5199734942581335E-3</v>
      </c>
      <c r="D12485">
        <f>LOG10(3.203881)</f>
        <v>0.50567637694930523</v>
      </c>
    </row>
    <row r="12486" spans="1:4">
      <c r="A12486">
        <v>1.003172</v>
      </c>
      <c r="B12486">
        <v>3.096527</v>
      </c>
      <c r="C12486">
        <f>LOG10(1.003172)</f>
        <v>1.3754018606475353E-3</v>
      </c>
      <c r="D12486">
        <f>LOG10(3.096527)</f>
        <v>0.49087487116938772</v>
      </c>
    </row>
    <row r="12487" spans="1:4">
      <c r="A12487">
        <v>1.0154399999999999</v>
      </c>
      <c r="B12487">
        <v>3.1113770000000001</v>
      </c>
      <c r="C12487">
        <f>LOG10(1.01544)</f>
        <v>6.6542670429006363E-3</v>
      </c>
      <c r="D12487">
        <f>LOG10(3.111377)</f>
        <v>0.49295263698459552</v>
      </c>
    </row>
    <row r="12488" spans="1:4">
      <c r="A12488">
        <v>1.0071490000000001</v>
      </c>
      <c r="B12488">
        <v>3.1438790000000001</v>
      </c>
      <c r="C12488">
        <f>LOG10(1.007149)</f>
        <v>3.0937258573931086E-3</v>
      </c>
      <c r="D12488">
        <f>LOG10(3.143879)</f>
        <v>0.49746582278608881</v>
      </c>
    </row>
    <row r="12489" spans="1:4">
      <c r="A12489">
        <v>1.003736</v>
      </c>
      <c r="B12489">
        <v>3.083663</v>
      </c>
      <c r="C12489">
        <f>LOG10(1.003736)</f>
        <v>1.6195008370248692E-3</v>
      </c>
      <c r="D12489">
        <f>LOG10(3.083663)</f>
        <v>0.48906690983369228</v>
      </c>
    </row>
    <row r="12490" spans="1:4">
      <c r="A12490">
        <v>1.0042960000000001</v>
      </c>
      <c r="B12490">
        <v>3.202718</v>
      </c>
      <c r="C12490">
        <f>LOG10(1.004296)</f>
        <v>1.861732949033924E-3</v>
      </c>
      <c r="D12490">
        <f>LOG10(3.202718)</f>
        <v>0.50551870062587634</v>
      </c>
    </row>
    <row r="12491" spans="1:4">
      <c r="A12491">
        <v>1.0074959999999999</v>
      </c>
      <c r="B12491">
        <v>3.188644</v>
      </c>
      <c r="C12491">
        <f>LOG10(1.007496)</f>
        <v>3.2433305636422076E-3</v>
      </c>
      <c r="D12491">
        <f>LOG10(3.188644)</f>
        <v>0.50360603461894504</v>
      </c>
    </row>
    <row r="12492" spans="1:4">
      <c r="A12492">
        <v>1.0084949999999999</v>
      </c>
      <c r="B12492">
        <v>3.2014330000000002</v>
      </c>
      <c r="C12492">
        <f>LOG10(1.008495)</f>
        <v>3.6737493729860305E-3</v>
      </c>
      <c r="D12492">
        <f>LOG10(3.201433)</f>
        <v>0.50534441728473245</v>
      </c>
    </row>
    <row r="12493" spans="1:4">
      <c r="A12493">
        <v>1.006675</v>
      </c>
      <c r="B12493">
        <v>3.3659780000000001</v>
      </c>
      <c r="C12493">
        <f>LOG10(1.006675)</f>
        <v>2.889283375603559E-3</v>
      </c>
      <c r="D12493">
        <f>LOG10(3.365978)</f>
        <v>0.52711127310450323</v>
      </c>
    </row>
    <row r="12494" spans="1:4">
      <c r="A12494">
        <v>1.0033749999999999</v>
      </c>
      <c r="B12494">
        <v>3.3222309999999999</v>
      </c>
      <c r="C12494">
        <f>LOG10(1.003375)</f>
        <v>1.463275984829149E-3</v>
      </c>
      <c r="D12494">
        <f>LOG10(3.322231)</f>
        <v>0.52142982635061463</v>
      </c>
    </row>
    <row r="12495" spans="1:4">
      <c r="A12495">
        <v>1.0085280000000001</v>
      </c>
      <c r="B12495">
        <v>3.3523339999999999</v>
      </c>
      <c r="C12495">
        <f>LOG10(1.008528)</f>
        <v>3.6879601359809597E-3</v>
      </c>
      <c r="D12495">
        <f>LOG10(3.352334)</f>
        <v>0.52534728177526824</v>
      </c>
    </row>
    <row r="12496" spans="1:4">
      <c r="A12496">
        <v>1.0050269999999999</v>
      </c>
      <c r="B12496">
        <v>3.0808770000000001</v>
      </c>
      <c r="C12496">
        <f>LOG10(1.005027)</f>
        <v>2.1777292127279622E-3</v>
      </c>
      <c r="D12496">
        <f>LOG10(3.080877)</f>
        <v>0.48867436002171627</v>
      </c>
    </row>
    <row r="12497" spans="1:4">
      <c r="A12497">
        <v>1.0081979999999999</v>
      </c>
      <c r="B12497">
        <v>3.4866359999999998</v>
      </c>
      <c r="C12497">
        <f>LOG10(1.008198)</f>
        <v>3.5458315768140095E-3</v>
      </c>
      <c r="D12497">
        <f>LOG10(3.486636)</f>
        <v>0.54240660999629209</v>
      </c>
    </row>
    <row r="12498" spans="1:4">
      <c r="A12498">
        <v>1.004699</v>
      </c>
      <c r="B12498">
        <v>3.2113659999999999</v>
      </c>
      <c r="C12498">
        <f>LOG10(1.004699)</f>
        <v>2.0359699964676518E-3</v>
      </c>
      <c r="D12498">
        <f>LOG10(3.211366)</f>
        <v>0.50668980501282757</v>
      </c>
    </row>
    <row r="12499" spans="1:4">
      <c r="A12499">
        <v>1.0063899999999999</v>
      </c>
      <c r="B12499">
        <v>3.2044000000000001</v>
      </c>
      <c r="C12499">
        <f>LOG10(1.00639)</f>
        <v>2.7663127530261245E-3</v>
      </c>
      <c r="D12499">
        <f>LOG10(3.2044)</f>
        <v>0.50574672306446489</v>
      </c>
    </row>
    <row r="12500" spans="1:4">
      <c r="A12500">
        <v>1.006148</v>
      </c>
      <c r="B12500">
        <v>3.2150639999999999</v>
      </c>
      <c r="C12500">
        <f>LOG10(1.006148)</f>
        <v>2.66186825048548E-3</v>
      </c>
      <c r="D12500">
        <f>LOG10(3.215064)</f>
        <v>0.50718962253868372</v>
      </c>
    </row>
    <row r="12501" spans="1:4">
      <c r="A12501">
        <v>1.0075000000000001</v>
      </c>
      <c r="B12501">
        <v>3.429049</v>
      </c>
      <c r="C12501">
        <f>LOG10(1.0075)</f>
        <v>3.2450548131470851E-3</v>
      </c>
      <c r="D12501">
        <f>LOG10(3.429049)</f>
        <v>0.53517369108682145</v>
      </c>
    </row>
    <row r="12502" spans="1:4">
      <c r="A12502">
        <v>1.0069509999999999</v>
      </c>
      <c r="B12502">
        <v>3.4205009999999998</v>
      </c>
      <c r="C12502">
        <f>LOG10(1.006951)</f>
        <v>3.0083375373554577E-3</v>
      </c>
      <c r="D12502">
        <f>LOG10(3.420501)</f>
        <v>0.53408972172867786</v>
      </c>
    </row>
    <row r="12503" spans="1:4">
      <c r="A12503">
        <v>1.007614</v>
      </c>
      <c r="B12503">
        <v>3.4460009999999999</v>
      </c>
      <c r="C12503">
        <f>LOG10(1.007614)</f>
        <v>3.2941930465073474E-3</v>
      </c>
      <c r="D12503">
        <f>LOG10(3.446001)</f>
        <v>0.53731539914057003</v>
      </c>
    </row>
    <row r="12504" spans="1:4">
      <c r="A12504">
        <v>1.010599</v>
      </c>
      <c r="B12504">
        <v>3.373631</v>
      </c>
      <c r="C12504">
        <f>LOG10(1.010599)</f>
        <v>4.5788641627531809E-3</v>
      </c>
      <c r="D12504">
        <f>LOG10(3.373631)</f>
        <v>0.5280975787191271</v>
      </c>
    </row>
    <row r="12505" spans="1:4">
      <c r="A12505">
        <v>1.019685</v>
      </c>
      <c r="B12505">
        <v>3.4957440000000002</v>
      </c>
      <c r="C12505">
        <f>LOG10(1.019685)</f>
        <v>8.4660306931867105E-3</v>
      </c>
      <c r="D12505">
        <f>LOG10(3.495744)</f>
        <v>0.54353962091367924</v>
      </c>
    </row>
    <row r="12506" spans="1:4">
      <c r="A12506">
        <v>1.0146280000000001</v>
      </c>
      <c r="B12506">
        <v>3.525925</v>
      </c>
      <c r="C12506">
        <f>LOG10(1.014628)</f>
        <v>6.3068430766966008E-3</v>
      </c>
      <c r="D12506">
        <f>LOG10(3.525925)</f>
        <v>0.54727307017755134</v>
      </c>
    </row>
    <row r="12507" spans="1:4">
      <c r="A12507">
        <v>1.01017</v>
      </c>
      <c r="B12507">
        <v>3.4824920000000001</v>
      </c>
      <c r="C12507">
        <f>LOG10(1.01017)</f>
        <v>4.3944667026422106E-3</v>
      </c>
      <c r="D12507">
        <f>LOG10(3.482492)</f>
        <v>0.54189012743344667</v>
      </c>
    </row>
    <row r="12508" spans="1:4">
      <c r="A12508">
        <v>1.0077750000000001</v>
      </c>
      <c r="B12508">
        <v>3.5082059999999999</v>
      </c>
      <c r="C12508">
        <f>LOG10(1.007775)</f>
        <v>3.3635805560503643E-3</v>
      </c>
      <c r="D12508">
        <f>LOG10(3.508206)</f>
        <v>0.54508508698492697</v>
      </c>
    </row>
    <row r="12509" spans="1:4">
      <c r="A12509">
        <v>1.0062949999999999</v>
      </c>
      <c r="B12509">
        <v>3.4817260000000001</v>
      </c>
      <c r="C12509">
        <f>LOG10(1.006295)</f>
        <v>2.7253148066893359E-3</v>
      </c>
      <c r="D12509">
        <f>LOG10(3.481726)</f>
        <v>0.54179459062673574</v>
      </c>
    </row>
    <row r="12510" spans="1:4">
      <c r="A12510">
        <v>1.0193319999999999</v>
      </c>
      <c r="B12510">
        <v>3.5455009999999998</v>
      </c>
      <c r="C12510">
        <f>LOG10(1.019332)</f>
        <v>8.3156582797703736E-3</v>
      </c>
      <c r="D12510">
        <f>LOG10(3.545501)</f>
        <v>0.54967761220228373</v>
      </c>
    </row>
    <row r="12511" spans="1:4">
      <c r="A12511">
        <v>1.0058590000000001</v>
      </c>
      <c r="B12511">
        <v>3.6152319999999998</v>
      </c>
      <c r="C12511">
        <f>LOG10(1.005859)</f>
        <v>2.537106153600921E-3</v>
      </c>
      <c r="D12511">
        <f>LOG10(3.615232)</f>
        <v>0.55813617247061009</v>
      </c>
    </row>
    <row r="12512" spans="1:4">
      <c r="A12512">
        <v>1.004575</v>
      </c>
      <c r="B12512">
        <v>3.4776790000000002</v>
      </c>
      <c r="C12512">
        <f>LOG10(1.004575)</f>
        <v>1.9823660421793106E-3</v>
      </c>
      <c r="D12512">
        <f>LOG10(3.477679)</f>
        <v>0.54128949285864258</v>
      </c>
    </row>
    <row r="12513" spans="1:4">
      <c r="A12513">
        <v>1.0136430000000001</v>
      </c>
      <c r="B12513">
        <v>3.406644</v>
      </c>
      <c r="C12513">
        <f>LOG10(1.013643)</f>
        <v>5.8850255796223288E-3</v>
      </c>
      <c r="D12513">
        <f>LOG10(3.406644)</f>
        <v>0.53232675143881458</v>
      </c>
    </row>
    <row r="12514" spans="1:4">
      <c r="A12514">
        <v>1.027433</v>
      </c>
      <c r="B12514">
        <v>3.521442</v>
      </c>
      <c r="C12514">
        <f>LOG10(1.027433)</f>
        <v>1.1753510665854876E-2</v>
      </c>
      <c r="D12514">
        <f>LOG10(3.521442)</f>
        <v>0.54672053972894985</v>
      </c>
    </row>
    <row r="12515" spans="1:4">
      <c r="A12515">
        <v>1.0106619999999999</v>
      </c>
      <c r="B12515">
        <v>3.4637639999999998</v>
      </c>
      <c r="C12515">
        <f>LOG10(1.010662)</f>
        <v>4.6059369181951863E-3</v>
      </c>
      <c r="D12515">
        <f>LOG10(3.463764)</f>
        <v>0.53954829414516625</v>
      </c>
    </row>
    <row r="12516" spans="1:4">
      <c r="A12516">
        <v>1.014427</v>
      </c>
      <c r="B12516">
        <v>3.478351</v>
      </c>
      <c r="C12516">
        <f>LOG10(1.014427)</f>
        <v>6.2207998781158395E-3</v>
      </c>
      <c r="D12516">
        <f>LOG10(3.478351)</f>
        <v>0.54137340448431037</v>
      </c>
    </row>
    <row r="12517" spans="1:4">
      <c r="A12517">
        <v>1.011703</v>
      </c>
      <c r="B12517">
        <v>3.4330790000000002</v>
      </c>
      <c r="C12517">
        <f>LOG10(1.011703)</f>
        <v>5.0530378080850258E-3</v>
      </c>
      <c r="D12517">
        <f>LOG10(3.433079)</f>
        <v>0.53568379727058413</v>
      </c>
    </row>
    <row r="12518" spans="1:4">
      <c r="A12518">
        <v>1.0120720000000001</v>
      </c>
      <c r="B12518">
        <v>3.5225960000000001</v>
      </c>
      <c r="C12518">
        <f>LOG10(1.012072)</f>
        <v>5.2114098263165232E-3</v>
      </c>
      <c r="D12518">
        <f>LOG10(3.522596)</f>
        <v>0.5468628376088307</v>
      </c>
    </row>
    <row r="12519" spans="1:4">
      <c r="A12519">
        <v>1.014812</v>
      </c>
      <c r="B12519">
        <v>3.504791</v>
      </c>
      <c r="C12519">
        <f>LOG10(1.014812)</f>
        <v>6.3855940472984825E-3</v>
      </c>
      <c r="D12519">
        <f>LOG10(3.504791)</f>
        <v>0.54466212494090316</v>
      </c>
    </row>
    <row r="12520" spans="1:4">
      <c r="A12520">
        <v>1.0100210000000001</v>
      </c>
      <c r="B12520">
        <v>3.516022</v>
      </c>
      <c r="C12520">
        <f>LOG10(1.010021)</f>
        <v>4.3304035740361511E-3</v>
      </c>
      <c r="D12520">
        <f>LOG10(3.516022)</f>
        <v>0.54605158382173147</v>
      </c>
    </row>
    <row r="12521" spans="1:4">
      <c r="A12521">
        <v>1.021531</v>
      </c>
      <c r="B12521">
        <v>3.3951920000000002</v>
      </c>
      <c r="C12521">
        <f>LOG10(1.021531)</f>
        <v>9.2515505324965285E-3</v>
      </c>
      <c r="D12521">
        <f>LOG10(3.395192)</f>
        <v>0.53086433890599327</v>
      </c>
    </row>
    <row r="12522" spans="1:4">
      <c r="A12522">
        <v>1.016475</v>
      </c>
      <c r="B12522">
        <v>3.4044340000000002</v>
      </c>
      <c r="C12522">
        <f>LOG10(1.016475)</f>
        <v>7.0967017191987678E-3</v>
      </c>
      <c r="D12522">
        <f>LOG10(3.404434)</f>
        <v>0.53204491915362007</v>
      </c>
    </row>
    <row r="12523" spans="1:4">
      <c r="A12523">
        <v>1.0264150000000001</v>
      </c>
      <c r="B12523">
        <v>3.2926639999999998</v>
      </c>
      <c r="C12523">
        <f>LOG10(1.026415)</f>
        <v>1.1322990180616823E-2</v>
      </c>
      <c r="D12523">
        <f>LOG10(3.292664)</f>
        <v>0.51754741537907389</v>
      </c>
    </row>
    <row r="12524" spans="1:4">
      <c r="A12524">
        <v>1.0146550000000001</v>
      </c>
      <c r="B12524">
        <v>3.3471090000000001</v>
      </c>
      <c r="C12524">
        <f>LOG10(1.014655)</f>
        <v>6.3183998196566305E-3</v>
      </c>
      <c r="D12524">
        <f>LOG10(3.347109)</f>
        <v>0.52466985556892942</v>
      </c>
    </row>
    <row r="12525" spans="1:4">
      <c r="A12525">
        <v>1.024194</v>
      </c>
      <c r="B12525">
        <v>3.3413189999999999</v>
      </c>
      <c r="C12525">
        <f>LOG10(1.024194)</f>
        <v>1.0382227293608623E-2</v>
      </c>
      <c r="D12525">
        <f>LOG10(3.341319)</f>
        <v>0.52391794026735128</v>
      </c>
    </row>
    <row r="12526" spans="1:4">
      <c r="A12526">
        <v>1.025369</v>
      </c>
      <c r="B12526">
        <v>3.4438789999999999</v>
      </c>
      <c r="C12526">
        <f>LOG10(1.025369)</f>
        <v>1.0880183269728162E-2</v>
      </c>
      <c r="D12526">
        <f>LOG10(3.443879)</f>
        <v>0.53704788419989247</v>
      </c>
    </row>
    <row r="12527" spans="1:4">
      <c r="A12527">
        <v>1.0092989999999999</v>
      </c>
      <c r="B12527">
        <v>3.4784540000000002</v>
      </c>
      <c r="C12527">
        <f>LOG10(1.009299)</f>
        <v>4.0198429602691611E-3</v>
      </c>
      <c r="D12527">
        <f>LOG10(3.478454)</f>
        <v>0.54138626450601268</v>
      </c>
    </row>
    <row r="12528" spans="1:4">
      <c r="A12528">
        <v>1.0076240000000001</v>
      </c>
      <c r="B12528">
        <v>3.465519</v>
      </c>
      <c r="C12528">
        <f>LOG10(1.007624)</f>
        <v>3.2985031526279111E-3</v>
      </c>
      <c r="D12528">
        <f>LOG10(3.465519)</f>
        <v>0.53976828424574019</v>
      </c>
    </row>
    <row r="12529" spans="1:4">
      <c r="A12529">
        <v>1.0088029999999999</v>
      </c>
      <c r="B12529">
        <v>3.4681250000000001</v>
      </c>
      <c r="C12529">
        <f>LOG10(1.008803)</f>
        <v>3.8063650811913353E-3</v>
      </c>
      <c r="D12529">
        <f>LOG10(3.468125)</f>
        <v>0.54009474215824105</v>
      </c>
    </row>
    <row r="12530" spans="1:4">
      <c r="A12530">
        <v>1.01566</v>
      </c>
      <c r="B12530">
        <v>3.6114160000000002</v>
      </c>
      <c r="C12530">
        <f>LOG10(1.01566)</f>
        <v>6.7483488570825234E-3</v>
      </c>
      <c r="D12530">
        <f>LOG10(3.611416)</f>
        <v>0.55767751780887043</v>
      </c>
    </row>
    <row r="12531" spans="1:4">
      <c r="A12531">
        <v>1.0187710000000001</v>
      </c>
      <c r="B12531">
        <v>3.6401910000000002</v>
      </c>
      <c r="C12531">
        <f>LOG10(1.018771)</f>
        <v>8.076573983735463E-3</v>
      </c>
      <c r="D12531">
        <f>LOG10(3.640191)</f>
        <v>0.5611241715803239</v>
      </c>
    </row>
    <row r="12532" spans="1:4">
      <c r="A12532">
        <v>1.0209459999999999</v>
      </c>
      <c r="B12532">
        <v>3.6268950000000002</v>
      </c>
      <c r="C12532">
        <f>LOG10(1.020946)</f>
        <v>9.0027719378188587E-3</v>
      </c>
      <c r="D12532">
        <f>LOG10(3.626895)</f>
        <v>0.55953498277076363</v>
      </c>
    </row>
    <row r="12533" spans="1:4">
      <c r="A12533">
        <v>1.014076</v>
      </c>
      <c r="B12533">
        <v>3.7737280000000002</v>
      </c>
      <c r="C12533">
        <f>LOG10(1.014076)</f>
        <v>6.0705044487579327E-3</v>
      </c>
      <c r="D12533">
        <f>LOG10(3.773728)</f>
        <v>0.57677059419771204</v>
      </c>
    </row>
    <row r="12534" spans="1:4">
      <c r="A12534">
        <v>1.026429</v>
      </c>
      <c r="B12534">
        <v>3.6281819999999998</v>
      </c>
      <c r="C12534">
        <f>LOG10(1.026429)</f>
        <v>1.1328913789762694E-2</v>
      </c>
      <c r="D12534">
        <f>LOG10(3.628182)</f>
        <v>0.55968906438949007</v>
      </c>
    </row>
    <row r="12535" spans="1:4">
      <c r="A12535">
        <v>1.0366059999999999</v>
      </c>
      <c r="B12535">
        <v>3.4778950000000002</v>
      </c>
      <c r="C12535">
        <f>LOG10(1.036606)</f>
        <v>1.5613718259397124E-2</v>
      </c>
      <c r="D12535">
        <f>LOG10(3.477895)</f>
        <v>0.54131646622076091</v>
      </c>
    </row>
    <row r="12536" spans="1:4">
      <c r="A12536">
        <v>1.0235529999999999</v>
      </c>
      <c r="B12536">
        <v>3.4811070000000002</v>
      </c>
      <c r="C12536">
        <f>LOG10(1.023553)</f>
        <v>1.0110335529643093E-2</v>
      </c>
      <c r="D12536">
        <f>LOG10(3.481107)</f>
        <v>0.54171737255041352</v>
      </c>
    </row>
    <row r="12537" spans="1:4">
      <c r="A12537">
        <v>1.0163390000000001</v>
      </c>
      <c r="B12537">
        <v>3.5149279999999998</v>
      </c>
      <c r="C12537">
        <f>LOG10(1.016339)</f>
        <v>7.0385910906543689E-3</v>
      </c>
      <c r="D12537">
        <f>LOG10(3.514928)</f>
        <v>0.54591643333224249</v>
      </c>
    </row>
    <row r="12538" spans="1:4">
      <c r="A12538">
        <v>1.0218160000000001</v>
      </c>
      <c r="B12538">
        <v>3.5400510000000001</v>
      </c>
      <c r="C12538">
        <f>LOG10(1.021816)</f>
        <v>9.372698754648804E-3</v>
      </c>
      <c r="D12538">
        <f>LOG10(3.540051)</f>
        <v>0.54900951876562698</v>
      </c>
    </row>
    <row r="12539" spans="1:4">
      <c r="A12539">
        <v>1.019495</v>
      </c>
      <c r="B12539">
        <v>3.5478450000000001</v>
      </c>
      <c r="C12539">
        <f>LOG10(1.019495)</f>
        <v>8.3851001703291218E-3</v>
      </c>
      <c r="D12539">
        <f>LOG10(3.547845)</f>
        <v>0.54996463790288685</v>
      </c>
    </row>
    <row r="12540" spans="1:4">
      <c r="A12540">
        <v>1.0204409999999999</v>
      </c>
      <c r="B12540">
        <v>3.6224460000000001</v>
      </c>
      <c r="C12540">
        <f>LOG10(1.020441)</f>
        <v>8.7878996790702376E-3</v>
      </c>
      <c r="D12540">
        <f>LOG10(3.622446)</f>
        <v>0.55900192013994887</v>
      </c>
    </row>
    <row r="12541" spans="1:4">
      <c r="A12541">
        <v>1.0079659999999999</v>
      </c>
      <c r="B12541">
        <v>3.5145940000000002</v>
      </c>
      <c r="C12541">
        <f>LOG10(1.007966)</f>
        <v>3.4458830406371237E-3</v>
      </c>
      <c r="D12541">
        <f>LOG10(3.514594)</f>
        <v>0.54587516328370578</v>
      </c>
    </row>
    <row r="12542" spans="1:4">
      <c r="A12542">
        <v>1.0135860000000001</v>
      </c>
      <c r="B12542">
        <v>3.491765</v>
      </c>
      <c r="C12542">
        <f>LOG10(1.013586)</f>
        <v>5.8606032913904637E-3</v>
      </c>
      <c r="D12542">
        <f>LOG10(3.491765)</f>
        <v>0.54304500747410367</v>
      </c>
    </row>
    <row r="12543" spans="1:4">
      <c r="A12543">
        <v>1.0197620000000001</v>
      </c>
      <c r="B12543">
        <v>3.401586</v>
      </c>
      <c r="C12543">
        <f>LOG10(1.019762)</f>
        <v>8.498824558506559E-3</v>
      </c>
      <c r="D12543">
        <f>LOG10(3.401586)</f>
        <v>0.53168145540927203</v>
      </c>
    </row>
    <row r="12544" spans="1:4">
      <c r="A12544">
        <v>1.029676</v>
      </c>
      <c r="B12544">
        <v>3.269828</v>
      </c>
      <c r="C12544">
        <f>LOG10(1.029676)</f>
        <v>1.2700590192465075E-2</v>
      </c>
      <c r="D12544">
        <f>LOG10(3.269828)</f>
        <v>0.51452490843536014</v>
      </c>
    </row>
    <row r="12545" spans="1:4">
      <c r="A12545">
        <v>1.0100910000000001</v>
      </c>
      <c r="B12545">
        <v>3.1173150000000001</v>
      </c>
      <c r="C12545">
        <f>LOG10(1.010091)</f>
        <v>4.3605015228086958E-3</v>
      </c>
      <c r="D12545">
        <f>LOG10(3.117315)</f>
        <v>0.49378068929952507</v>
      </c>
    </row>
    <row r="12546" spans="1:4">
      <c r="A12546">
        <v>1.0089330000000001</v>
      </c>
      <c r="B12546">
        <v>3.1126800000000001</v>
      </c>
      <c r="C12546">
        <f>LOG10(1.008933)</f>
        <v>3.8623270927980306E-3</v>
      </c>
      <c r="D12546">
        <f>LOG10(3.11268)</f>
        <v>0.49313447520303949</v>
      </c>
    </row>
    <row r="12547" spans="1:4">
      <c r="A12547">
        <v>1.0160009999999999</v>
      </c>
      <c r="B12547">
        <v>3.0040680000000002</v>
      </c>
      <c r="C12547">
        <f>LOG10(1.016001)</f>
        <v>6.8941354028887831E-3</v>
      </c>
      <c r="D12547">
        <f>LOG10(3.004068)</f>
        <v>0.47770975912125324</v>
      </c>
    </row>
    <row r="12548" spans="1:4">
      <c r="A12548">
        <v>1.0159640000000001</v>
      </c>
      <c r="B12548">
        <v>2.9857369999999999</v>
      </c>
      <c r="C12548">
        <f>LOG10(1.015964)</f>
        <v>6.8783192881110896E-3</v>
      </c>
      <c r="D12548">
        <f>LOG10(2.985737)</f>
        <v>0.47505155004703442</v>
      </c>
    </row>
    <row r="12549" spans="1:4">
      <c r="A12549">
        <v>1.007177</v>
      </c>
      <c r="B12549">
        <v>2.98881</v>
      </c>
      <c r="C12549">
        <f>LOG10(1.007177)</f>
        <v>3.1057996185360798E-3</v>
      </c>
      <c r="D12549">
        <f>LOG10(2.98881)</f>
        <v>0.47549830762064765</v>
      </c>
    </row>
    <row r="12550" spans="1:4">
      <c r="A12550">
        <v>1.006078</v>
      </c>
      <c r="B12550">
        <v>3.2360350000000002</v>
      </c>
      <c r="C12550">
        <f>LOG10(1.006078)</f>
        <v>2.6316523465606751E-3</v>
      </c>
      <c r="D12550">
        <f>LOG10(3.236035)</f>
        <v>0.51001321016664547</v>
      </c>
    </row>
    <row r="12551" spans="1:4">
      <c r="A12551">
        <v>1.012033</v>
      </c>
      <c r="B12551">
        <v>3.1453950000000002</v>
      </c>
      <c r="C12551">
        <f>LOG10(1.012033)</f>
        <v>5.1946740494705828E-3</v>
      </c>
      <c r="D12551">
        <f>LOG10(3.145395)</f>
        <v>0.49767519208604832</v>
      </c>
    </row>
    <row r="12552" spans="1:4">
      <c r="A12552">
        <v>1.021933</v>
      </c>
      <c r="B12552">
        <v>3.1061519999999998</v>
      </c>
      <c r="C12552">
        <f>LOG10(1.021933)</f>
        <v>9.4224235050346453E-3</v>
      </c>
      <c r="D12552">
        <f>LOG10(3.106152)</f>
        <v>0.49222270417620062</v>
      </c>
    </row>
    <row r="12553" spans="1:4">
      <c r="A12553">
        <v>1.0276860000000001</v>
      </c>
      <c r="B12553">
        <v>3.073035</v>
      </c>
      <c r="C12553">
        <f>LOG10(1.027686)</f>
        <v>1.186044024460591E-2</v>
      </c>
      <c r="D12553">
        <f>LOG10(3.073035)</f>
        <v>0.48756750663460963</v>
      </c>
    </row>
    <row r="12554" spans="1:4">
      <c r="A12554">
        <v>1.0125139999999999</v>
      </c>
      <c r="B12554">
        <v>3.1671420000000001</v>
      </c>
      <c r="C12554">
        <f>LOG10(1.012514)</f>
        <v>5.4010369046929088E-3</v>
      </c>
      <c r="D12554">
        <f>LOG10(3.167142)</f>
        <v>0.50066753556449639</v>
      </c>
    </row>
    <row r="12555" spans="1:4">
      <c r="A12555">
        <v>1.009817</v>
      </c>
      <c r="B12555">
        <v>3.1199460000000001</v>
      </c>
      <c r="C12555">
        <f>LOG10(1.009817)</f>
        <v>4.2426776528389568E-3</v>
      </c>
      <c r="D12555">
        <f>LOG10(3.119946)</f>
        <v>0.49414707731813057</v>
      </c>
    </row>
    <row r="12556" spans="1:4">
      <c r="A12556">
        <v>1.0080100000000001</v>
      </c>
      <c r="B12556">
        <v>3.0056069999999999</v>
      </c>
      <c r="C12556">
        <f>LOG10(1.00801)</f>
        <v>3.4648405651382537E-3</v>
      </c>
      <c r="D12556">
        <f>LOG10(3.005607)</f>
        <v>0.47793219351987209</v>
      </c>
    </row>
    <row r="12557" spans="1:4">
      <c r="A12557">
        <v>1.0051509999999999</v>
      </c>
      <c r="B12557">
        <v>3.0632220000000001</v>
      </c>
      <c r="C12557">
        <f>LOG10(1.005151)</f>
        <v>2.2313090607059172E-3</v>
      </c>
      <c r="D12557">
        <f>LOG10(3.063222)</f>
        <v>0.48617847244523704</v>
      </c>
    </row>
    <row r="12558" spans="1:4">
      <c r="A12558">
        <v>1.0095890000000001</v>
      </c>
      <c r="B12558">
        <v>3.0359400000000001</v>
      </c>
      <c r="C12558">
        <f>LOG10(1.009589)</f>
        <v>4.1446100603938097E-3</v>
      </c>
      <c r="D12558">
        <f>LOG10(3.03594)</f>
        <v>0.48229318424373113</v>
      </c>
    </row>
    <row r="12559" spans="1:4">
      <c r="A12559">
        <v>1.0028360000000001</v>
      </c>
      <c r="B12559">
        <v>3.1364860000000001</v>
      </c>
      <c r="C12559">
        <f>LOG10(1.002836)</f>
        <v>1.2299159530299408E-3</v>
      </c>
      <c r="D12559">
        <f>LOG10(3.136486)</f>
        <v>0.49644335336344836</v>
      </c>
    </row>
    <row r="12560" spans="1:4">
      <c r="A12560">
        <v>1.008429</v>
      </c>
      <c r="B12560">
        <v>3.0105219999999999</v>
      </c>
      <c r="C12560">
        <f>LOG10(1.008429)</f>
        <v>3.6453264519282196E-3</v>
      </c>
      <c r="D12560">
        <f>LOG10(3.010522)</f>
        <v>0.47864180524975741</v>
      </c>
    </row>
    <row r="12561" spans="1:4">
      <c r="A12561">
        <v>1.0046630000000001</v>
      </c>
      <c r="B12561">
        <v>3.1107459999999998</v>
      </c>
      <c r="C12561">
        <f>LOG10(1.004663)</f>
        <v>2.0204082397009197E-3</v>
      </c>
      <c r="D12561">
        <f>LOG10(3.110746)</f>
        <v>0.49286455135240193</v>
      </c>
    </row>
    <row r="12562" spans="1:4">
      <c r="A12562">
        <v>1.0107660000000001</v>
      </c>
      <c r="B12562">
        <v>3.219592</v>
      </c>
      <c r="C12562">
        <f>LOG10(1.010766)</f>
        <v>4.6506247588284765E-3</v>
      </c>
      <c r="D12562">
        <f>LOG10(3.219592)</f>
        <v>0.50780083959166855</v>
      </c>
    </row>
    <row r="12563" spans="1:4">
      <c r="A12563">
        <v>1.0067619999999999</v>
      </c>
      <c r="B12563">
        <v>3.375696</v>
      </c>
      <c r="C12563">
        <f>LOG10(1.006762)</f>
        <v>2.9268148404063567E-3</v>
      </c>
      <c r="D12563">
        <f>LOG10(3.375696)</f>
        <v>0.52836332910671802</v>
      </c>
    </row>
    <row r="12564" spans="1:4">
      <c r="A12564">
        <v>1.009649</v>
      </c>
      <c r="B12564">
        <v>3.3446549999999999</v>
      </c>
      <c r="C12564">
        <f>LOG10(1.009649)</f>
        <v>4.1704194686179438E-3</v>
      </c>
      <c r="D12564">
        <f>LOG10(3.344655)</f>
        <v>0.52435132708933385</v>
      </c>
    </row>
    <row r="12565" spans="1:4">
      <c r="A12565">
        <v>1.0029699999999999</v>
      </c>
      <c r="B12565">
        <v>3.0916929999999998</v>
      </c>
      <c r="C12565">
        <f>LOG10(1.00297)</f>
        <v>1.2879429612865218E-3</v>
      </c>
      <c r="D12565">
        <f>LOG10(3.091693)</f>
        <v>0.49019636266369665</v>
      </c>
    </row>
    <row r="12566" spans="1:4">
      <c r="A12566">
        <v>1.00492</v>
      </c>
      <c r="B12566">
        <v>3.258448</v>
      </c>
      <c r="C12566">
        <f>LOG10(1.00492)</f>
        <v>2.1314896754590852E-3</v>
      </c>
      <c r="D12566">
        <f>LOG10(3.258448)</f>
        <v>0.51301079469075406</v>
      </c>
    </row>
    <row r="12567" spans="1:4">
      <c r="A12567">
        <v>1.005031</v>
      </c>
      <c r="B12567">
        <v>3.4616400000000001</v>
      </c>
      <c r="C12567">
        <f>LOG10(1.005031)</f>
        <v>2.1794576981026782E-3</v>
      </c>
      <c r="D12567">
        <f>LOG10(3.46164)</f>
        <v>0.53928190058646996</v>
      </c>
    </row>
    <row r="12568" spans="1:4">
      <c r="A12568">
        <v>1.007708</v>
      </c>
      <c r="B12568">
        <v>3.3862040000000002</v>
      </c>
      <c r="C12568">
        <f>LOG10(1.007708)</f>
        <v>3.3347063553766263E-3</v>
      </c>
      <c r="D12568">
        <f>LOG10(3.386204)</f>
        <v>0.52971311839357327</v>
      </c>
    </row>
    <row r="12569" spans="1:4">
      <c r="A12569">
        <v>1.003995</v>
      </c>
      <c r="B12569">
        <v>3.162112</v>
      </c>
      <c r="C12569">
        <f>LOG10(1.003995)</f>
        <v>1.7315499824899724E-3</v>
      </c>
      <c r="D12569">
        <f>LOG10(3.162112)</f>
        <v>0.49997724830351048</v>
      </c>
    </row>
    <row r="12570" spans="1:4">
      <c r="A12570">
        <v>1.0174099999999999</v>
      </c>
      <c r="B12570">
        <v>3.3315899999999998</v>
      </c>
      <c r="C12570">
        <f>LOG10(1.01741)</f>
        <v>7.496001944319374E-3</v>
      </c>
      <c r="D12570">
        <f>LOG10(3.33159)</f>
        <v>0.52265154984951689</v>
      </c>
    </row>
    <row r="12571" spans="1:4">
      <c r="A12571">
        <v>1.008629</v>
      </c>
      <c r="B12571">
        <v>3.2915749999999999</v>
      </c>
      <c r="C12571">
        <f>LOG10(1.008629)</f>
        <v>3.7314507940793074E-3</v>
      </c>
      <c r="D12571">
        <f>LOG10(3.291575)</f>
        <v>0.51740375513371972</v>
      </c>
    </row>
    <row r="12572" spans="1:4">
      <c r="A12572">
        <v>1.00648</v>
      </c>
      <c r="B12572">
        <v>3.2411590000000001</v>
      </c>
      <c r="C12572">
        <f>LOG10(1.00648)</f>
        <v>2.805149342967256E-3</v>
      </c>
      <c r="D12572">
        <f>LOG10(3.241159)</f>
        <v>0.51070033653324332</v>
      </c>
    </row>
    <row r="12573" spans="1:4">
      <c r="A12573">
        <v>1.004475</v>
      </c>
      <c r="B12573">
        <v>3.3854259999999998</v>
      </c>
      <c r="C12573">
        <f>LOG10(1.004475)</f>
        <v>1.9391322269669601E-3</v>
      </c>
      <c r="D12573">
        <f>LOG10(3.385426)</f>
        <v>0.52961332525413485</v>
      </c>
    </row>
    <row r="12574" spans="1:4">
      <c r="A12574">
        <v>1.005755</v>
      </c>
      <c r="B12574">
        <v>3.264141</v>
      </c>
      <c r="C12574">
        <f>LOG10(1.005755)</f>
        <v>2.4922002957591832E-3</v>
      </c>
      <c r="D12574">
        <f>LOG10(3.264141)</f>
        <v>0.51376891055956375</v>
      </c>
    </row>
    <row r="12575" spans="1:4">
      <c r="A12575">
        <v>1.004057</v>
      </c>
      <c r="B12575">
        <v>3.2810809999999999</v>
      </c>
      <c r="C12575">
        <f>LOG10(1.004057)</f>
        <v>1.7583682699512141E-3</v>
      </c>
      <c r="D12575">
        <f>LOG10(3.281081)</f>
        <v>0.51601695194009001</v>
      </c>
    </row>
    <row r="12576" spans="1:4">
      <c r="A12576">
        <v>1.0114890000000001</v>
      </c>
      <c r="B12576">
        <v>3.2839870000000002</v>
      </c>
      <c r="C12576">
        <f>LOG10(1.011489)</f>
        <v>4.9611641554866866E-3</v>
      </c>
      <c r="D12576">
        <f>LOG10(3.283987)</f>
        <v>0.51640142925147159</v>
      </c>
    </row>
    <row r="12577" spans="1:4">
      <c r="A12577">
        <v>1.0095909999999999</v>
      </c>
      <c r="B12577">
        <v>3.364036</v>
      </c>
      <c r="C12577">
        <f>LOG10(1.009591)</f>
        <v>4.1454703987130635E-3</v>
      </c>
      <c r="D12577">
        <f>LOG10(3.364036)</f>
        <v>0.52686063472328593</v>
      </c>
    </row>
    <row r="12578" spans="1:4">
      <c r="A12578">
        <v>1.0084789999999999</v>
      </c>
      <c r="B12578">
        <v>3.1838299999999999</v>
      </c>
      <c r="C12578">
        <f>LOG10(1.008479)</f>
        <v>3.6668591386938634E-3</v>
      </c>
      <c r="D12578">
        <f>LOG10(3.18383)</f>
        <v>0.50294987061306873</v>
      </c>
    </row>
    <row r="12579" spans="1:4">
      <c r="A12579">
        <v>1.0113639999999999</v>
      </c>
      <c r="B12579">
        <v>3.2754500000000002</v>
      </c>
      <c r="C12579">
        <f>LOG10(1.011364)</f>
        <v>4.90749064554101E-3</v>
      </c>
      <c r="D12579">
        <f>LOG10(3.27545)</f>
        <v>0.51527097427938195</v>
      </c>
    </row>
    <row r="12580" spans="1:4">
      <c r="A12580">
        <v>1.0110859999999999</v>
      </c>
      <c r="B12580">
        <v>3.2770959999999998</v>
      </c>
      <c r="C12580">
        <f>LOG10(1.011086)</f>
        <v>4.7880969727881568E-3</v>
      </c>
      <c r="D12580">
        <f>LOG10(3.277096)</f>
        <v>0.51548916389064103</v>
      </c>
    </row>
    <row r="12581" spans="1:4">
      <c r="A12581">
        <v>1.016853</v>
      </c>
      <c r="B12581">
        <v>3.5016919999999998</v>
      </c>
      <c r="C12581">
        <f>LOG10(1.016853)</f>
        <v>7.2581742568813886E-3</v>
      </c>
      <c r="D12581">
        <f>LOG10(3.501692)</f>
        <v>0.54427794397958928</v>
      </c>
    </row>
    <row r="12582" spans="1:4">
      <c r="A12582">
        <v>1.0174920000000001</v>
      </c>
      <c r="B12582">
        <v>3.3713090000000001</v>
      </c>
      <c r="C12582">
        <f>LOG10(1.017492)</f>
        <v>7.5310032834849973E-3</v>
      </c>
      <c r="D12582">
        <f>LOG10(3.371309)</f>
        <v>0.52779855995044511</v>
      </c>
    </row>
    <row r="12583" spans="1:4">
      <c r="A12583">
        <v>1.0133099999999999</v>
      </c>
      <c r="B12583">
        <v>3.2739099999999999</v>
      </c>
      <c r="C12583">
        <f>LOG10(1.01331)</f>
        <v>5.7423285720696752E-3</v>
      </c>
      <c r="D12583">
        <f>LOG10(3.27391)</f>
        <v>0.51506673645631007</v>
      </c>
    </row>
    <row r="12584" spans="1:4">
      <c r="A12584">
        <v>1.014929</v>
      </c>
      <c r="B12584">
        <v>3.3258079999999999</v>
      </c>
      <c r="C12584">
        <f>LOG10(1.014929)</f>
        <v>6.4356619667413325E-3</v>
      </c>
      <c r="D12584">
        <f>LOG10(3.325808)</f>
        <v>0.52189717364255406</v>
      </c>
    </row>
    <row r="12585" spans="1:4">
      <c r="A12585">
        <v>1.0192760000000001</v>
      </c>
      <c r="B12585">
        <v>3.4670260000000002</v>
      </c>
      <c r="C12585">
        <f>LOG10(1.019276)</f>
        <v>8.2917983802775555E-3</v>
      </c>
      <c r="D12585">
        <f>LOG10(3.467026)</f>
        <v>0.5399570985396358</v>
      </c>
    </row>
    <row r="12586" spans="1:4">
      <c r="A12586">
        <v>1.0425390000000001</v>
      </c>
      <c r="B12586">
        <v>3.5892300000000001</v>
      </c>
      <c r="C12586">
        <f>LOG10(1.042539)</f>
        <v>1.8092310329714468E-2</v>
      </c>
      <c r="D12586">
        <f>LOG10(3.58923)</f>
        <v>0.5550012890744872</v>
      </c>
    </row>
    <row r="12587" spans="1:4">
      <c r="A12587">
        <v>1.017528</v>
      </c>
      <c r="B12587">
        <v>3.474653</v>
      </c>
      <c r="C12587">
        <f>LOG10(1.017528)</f>
        <v>7.5463688340448101E-3</v>
      </c>
      <c r="D12587">
        <f>LOG10(3.474653)</f>
        <v>0.54091143980098477</v>
      </c>
    </row>
    <row r="12588" spans="1:4">
      <c r="A12588">
        <v>1.016016</v>
      </c>
      <c r="B12588">
        <v>3.3586309999999999</v>
      </c>
      <c r="C12588">
        <f>LOG10(1.016016)</f>
        <v>6.9005471772279831E-3</v>
      </c>
      <c r="D12588">
        <f>LOG10(3.358631)</f>
        <v>0.52616229218141275</v>
      </c>
    </row>
    <row r="12589" spans="1:4">
      <c r="A12589">
        <v>1.0106550000000001</v>
      </c>
      <c r="B12589">
        <v>3.4311289999999999</v>
      </c>
      <c r="C12589">
        <f>LOG10(1.010655)</f>
        <v>4.6029289175962924E-3</v>
      </c>
      <c r="D12589">
        <f>LOG10(3.431129)</f>
        <v>0.53543704651288759</v>
      </c>
    </row>
    <row r="12590" spans="1:4">
      <c r="A12590">
        <v>1.0120169999999999</v>
      </c>
      <c r="B12590">
        <v>3.2772589999999999</v>
      </c>
      <c r="C12590">
        <f>LOG10(1.012017)</f>
        <v>5.1878079031692529E-3</v>
      </c>
      <c r="D12590">
        <f>LOG10(3.277259)</f>
        <v>0.51551076479586055</v>
      </c>
    </row>
    <row r="12591" spans="1:4">
      <c r="A12591">
        <v>1.0037499999999999</v>
      </c>
      <c r="B12591">
        <v>3.506872</v>
      </c>
      <c r="C12591">
        <f>LOG10(1.00375)</f>
        <v>1.6255582867373216E-3</v>
      </c>
      <c r="D12591">
        <f>LOG10(3.506872)</f>
        <v>0.54491991452473709</v>
      </c>
    </row>
    <row r="12592" spans="1:4">
      <c r="A12592">
        <v>1.0095559999999999</v>
      </c>
      <c r="B12592">
        <v>3.5411589999999999</v>
      </c>
      <c r="C12592">
        <f>LOG10(1.009556)</f>
        <v>4.1304142320564112E-3</v>
      </c>
      <c r="D12592">
        <f>LOG10(3.541159)</f>
        <v>0.54914542725863191</v>
      </c>
    </row>
    <row r="12593" spans="1:4">
      <c r="A12593">
        <v>1.0058990000000001</v>
      </c>
      <c r="B12593">
        <v>3.6677400000000002</v>
      </c>
      <c r="C12593">
        <f>LOG10(1.005899)</f>
        <v>2.5543764010943441E-3</v>
      </c>
      <c r="D12593">
        <f>LOG10(3.66774)</f>
        <v>0.56439854167425552</v>
      </c>
    </row>
    <row r="12594" spans="1:4">
      <c r="A12594">
        <v>1.022383</v>
      </c>
      <c r="B12594">
        <v>3.4466169999999998</v>
      </c>
      <c r="C12594">
        <f>LOG10(1.022383)</f>
        <v>9.6136195041003295E-3</v>
      </c>
      <c r="D12594">
        <f>LOG10(3.446617)</f>
        <v>0.53739302578448511</v>
      </c>
    </row>
    <row r="12595" spans="1:4">
      <c r="A12595">
        <v>1.0129539999999999</v>
      </c>
      <c r="B12595">
        <v>3.7584019999999998</v>
      </c>
      <c r="C12595">
        <f>LOG10(1.012954)</f>
        <v>5.5897237415555986E-3</v>
      </c>
      <c r="D12595">
        <f>LOG10(3.758402)</f>
        <v>0.57500323053951519</v>
      </c>
    </row>
    <row r="12596" spans="1:4">
      <c r="A12596">
        <v>1.0155970000000001</v>
      </c>
      <c r="B12596">
        <v>3.5580259999999999</v>
      </c>
      <c r="C12596">
        <f>LOG10(1.015597)</f>
        <v>6.7214093291265388E-3</v>
      </c>
      <c r="D12596">
        <f>LOG10(3.558026)</f>
        <v>0.55120911733286204</v>
      </c>
    </row>
    <row r="12597" spans="1:4">
      <c r="A12597">
        <v>1.0161439999999999</v>
      </c>
      <c r="B12597">
        <v>3.805774</v>
      </c>
      <c r="C12597">
        <f>LOG10(1.016144)</f>
        <v>6.9552571348662504E-3</v>
      </c>
      <c r="D12597">
        <f>LOG10(3.805774)</f>
        <v>0.5804429948109302</v>
      </c>
    </row>
    <row r="12598" spans="1:4">
      <c r="A12598">
        <v>1.026931</v>
      </c>
      <c r="B12598">
        <v>3.470583</v>
      </c>
      <c r="C12598">
        <f>LOG10(1.026931)</f>
        <v>1.1541264117283416E-2</v>
      </c>
      <c r="D12598">
        <f>LOG10(3.470583)</f>
        <v>0.54040243514119157</v>
      </c>
    </row>
    <row r="12599" spans="1:4">
      <c r="A12599">
        <v>1.0176000000000001</v>
      </c>
      <c r="B12599">
        <v>3.5244260000000001</v>
      </c>
      <c r="C12599">
        <f>LOG10(1.0176)</f>
        <v>7.5770983043386801E-3</v>
      </c>
      <c r="D12599">
        <f>LOG10(3.524426)</f>
        <v>0.5470883964107609</v>
      </c>
    </row>
    <row r="12600" spans="1:4">
      <c r="A12600">
        <v>1.027218</v>
      </c>
      <c r="B12600">
        <v>3.547539</v>
      </c>
      <c r="C12600">
        <f>LOG10(1.027218)</f>
        <v>1.1662620958600425E-2</v>
      </c>
      <c r="D12600">
        <f>LOG10(3.547539)</f>
        <v>0.54992717858805773</v>
      </c>
    </row>
    <row r="12601" spans="1:4">
      <c r="A12601">
        <v>1.0307489999999999</v>
      </c>
      <c r="B12601">
        <v>3.655535</v>
      </c>
      <c r="C12601">
        <f>LOG10(1.030749)</f>
        <v>1.3152922134863354E-2</v>
      </c>
      <c r="D12601">
        <f>LOG10(3.655535)</f>
        <v>0.56295094642235022</v>
      </c>
    </row>
    <row r="12602" spans="1:4">
      <c r="A12602">
        <v>1.0205010000000001</v>
      </c>
      <c r="B12602">
        <v>3.546567</v>
      </c>
      <c r="C12602">
        <f>LOG10(1.020501)</f>
        <v>8.813434622171783E-3</v>
      </c>
      <c r="D12602">
        <f>LOG10(3.546567)</f>
        <v>0.54980816873986782</v>
      </c>
    </row>
    <row r="12603" spans="1:4">
      <c r="A12603">
        <v>1.0188740000000001</v>
      </c>
      <c r="B12603">
        <v>3.8988670000000001</v>
      </c>
      <c r="C12603">
        <f>LOG10(1.018874)</f>
        <v>8.1204798963690362E-3</v>
      </c>
      <c r="D12603">
        <f>LOG10(3.898867)</f>
        <v>0.59093842058135071</v>
      </c>
    </row>
    <row r="12604" spans="1:4">
      <c r="A12604">
        <v>1.0255559999999999</v>
      </c>
      <c r="B12604">
        <v>3.5020690000000001</v>
      </c>
      <c r="C12604">
        <f>LOG10(1.025556)</f>
        <v>1.0959379796506016E-2</v>
      </c>
      <c r="D12604">
        <f>LOG10(3.502069)</f>
        <v>0.54432469857896404</v>
      </c>
    </row>
    <row r="12605" spans="1:4">
      <c r="A12605">
        <v>1.0187900000000001</v>
      </c>
      <c r="B12605">
        <v>3.4696829999999999</v>
      </c>
      <c r="C12605">
        <f>LOG10(1.01879)</f>
        <v>8.0846734665547728E-3</v>
      </c>
      <c r="D12605">
        <f>LOG10(3.469683)</f>
        <v>0.54028979823767698</v>
      </c>
    </row>
    <row r="12606" spans="1:4">
      <c r="A12606">
        <v>1.020086</v>
      </c>
      <c r="B12606">
        <v>3.6670180000000001</v>
      </c>
      <c r="C12606">
        <f>LOG10(1.020086)</f>
        <v>8.6367872040762003E-3</v>
      </c>
      <c r="D12606">
        <f>LOG10(3.667018)</f>
        <v>0.56431304175266384</v>
      </c>
    </row>
    <row r="12607" spans="1:4">
      <c r="A12607">
        <v>1.0127889999999999</v>
      </c>
      <c r="B12607">
        <v>3.4827590000000002</v>
      </c>
      <c r="C12607">
        <f>LOG10(1.012789)</f>
        <v>5.5189757842160018E-3</v>
      </c>
      <c r="D12607">
        <f>LOG10(3.482759)</f>
        <v>0.54192342318308295</v>
      </c>
    </row>
    <row r="12608" spans="1:4">
      <c r="A12608">
        <v>1.0193589999999999</v>
      </c>
      <c r="B12608">
        <v>3.7577530000000001</v>
      </c>
      <c r="C12608">
        <f>LOG10(1.019359)</f>
        <v>8.3271616915302459E-3</v>
      </c>
      <c r="D12608">
        <f>LOG10(3.757753)</f>
        <v>0.57492823019174288</v>
      </c>
    </row>
    <row r="12609" spans="1:4">
      <c r="A12609">
        <v>1.0377209999999999</v>
      </c>
      <c r="B12609">
        <v>3.8828550000000002</v>
      </c>
      <c r="C12609">
        <f>LOG10(1.037721)</f>
        <v>1.6080605489770545E-2</v>
      </c>
      <c r="D12609">
        <f>LOG10(3.882855)</f>
        <v>0.58915117270528616</v>
      </c>
    </row>
    <row r="12610" spans="1:4">
      <c r="A12610">
        <v>1.016338</v>
      </c>
      <c r="B12610">
        <v>3.5341840000000002</v>
      </c>
      <c r="C12610">
        <f>LOG10(1.016338)</f>
        <v>7.0381637778230985E-3</v>
      </c>
      <c r="D12610">
        <f>LOG10(3.534184)</f>
        <v>0.54828915640573528</v>
      </c>
    </row>
    <row r="12611" spans="1:4">
      <c r="A12611">
        <v>1.0156480000000001</v>
      </c>
      <c r="B12611">
        <v>4.1421130000000002</v>
      </c>
      <c r="C12611">
        <f>LOG10(1.015648)</f>
        <v>6.7432176472582567E-3</v>
      </c>
      <c r="D12611">
        <f>LOG10(4.142113)</f>
        <v>0.61722194260355734</v>
      </c>
    </row>
    <row r="12612" spans="1:4">
      <c r="A12612">
        <v>1.016575</v>
      </c>
      <c r="B12612">
        <v>4.1985619999999999</v>
      </c>
      <c r="C12612">
        <f>LOG10(1.016575)</f>
        <v>7.1394251625231768E-3</v>
      </c>
      <c r="D12612">
        <f>LOG10(4.198562)</f>
        <v>0.62310057077873715</v>
      </c>
    </row>
    <row r="12613" spans="1:4">
      <c r="A12613">
        <v>1.017862</v>
      </c>
      <c r="B12613">
        <v>3.224872</v>
      </c>
      <c r="C12613">
        <f>LOG10(1.017862)</f>
        <v>7.6889010841371258E-3</v>
      </c>
      <c r="D12613">
        <f>LOG10(3.224872)</f>
        <v>0.50851248151488715</v>
      </c>
    </row>
    <row r="12614" spans="1:4">
      <c r="A12614">
        <v>1.0159069999999999</v>
      </c>
      <c r="B12614">
        <v>4.0616240000000001</v>
      </c>
      <c r="C12614">
        <f>LOG10(1.015907)</f>
        <v>6.8539527948887694E-3</v>
      </c>
      <c r="D12614">
        <f>LOG10(4.061624)</f>
        <v>0.60869971663565903</v>
      </c>
    </row>
    <row r="12615" spans="1:4">
      <c r="A12615">
        <v>1.026424</v>
      </c>
      <c r="B12615">
        <v>3.8461379999999998</v>
      </c>
      <c r="C12615">
        <f>LOG10(1.026424)</f>
        <v>1.1326798224342729E-2</v>
      </c>
      <c r="D12615">
        <f>LOG10(3.846138)</f>
        <v>0.58502486273223064</v>
      </c>
    </row>
    <row r="12616" spans="1:4">
      <c r="A12616">
        <v>1.024278</v>
      </c>
      <c r="B12616">
        <v>3.4268969999999999</v>
      </c>
      <c r="C12616">
        <f>LOG10(1.024278)</f>
        <v>1.0417844804124079E-2</v>
      </c>
      <c r="D12616">
        <f>LOG10(3.426897)</f>
        <v>0.53490105132106192</v>
      </c>
    </row>
    <row r="12617" spans="1:4">
      <c r="A12617">
        <v>1.0187280000000001</v>
      </c>
      <c r="B12617">
        <v>3.09545</v>
      </c>
      <c r="C12617">
        <f>LOG10(1.018728)</f>
        <v>8.05824301746297E-3</v>
      </c>
      <c r="D12617">
        <f>LOG10(3.09545)</f>
        <v>0.49072379335959393</v>
      </c>
    </row>
    <row r="12618" spans="1:4">
      <c r="A12618">
        <v>1.02555</v>
      </c>
      <c r="B12618">
        <v>3.0423249999999999</v>
      </c>
      <c r="C12618">
        <f>LOG10(1.02555)</f>
        <v>1.0956838955719235E-2</v>
      </c>
      <c r="D12618">
        <f>LOG10(3.042325)</f>
        <v>0.48320560622168729</v>
      </c>
    </row>
    <row r="12619" spans="1:4">
      <c r="A12619">
        <v>1.0217609999999999</v>
      </c>
      <c r="B12619">
        <v>3.474993</v>
      </c>
      <c r="C12619">
        <f>LOG10(1.021761)</f>
        <v>9.3493219046348278E-3</v>
      </c>
      <c r="D12619">
        <f>LOG10(3.474993)</f>
        <v>0.5409539340874463</v>
      </c>
    </row>
    <row r="12620" spans="1:4">
      <c r="A12620">
        <v>1.0204569999999999</v>
      </c>
      <c r="B12620">
        <v>3.7223860000000002</v>
      </c>
      <c r="C12620">
        <f>LOG10(1.020457)</f>
        <v>8.7947091440318398E-3</v>
      </c>
      <c r="D12620">
        <f>LOG10(3.722386)</f>
        <v>0.5708214061343394</v>
      </c>
    </row>
    <row r="12621" spans="1:4">
      <c r="A12621">
        <v>1.0215050000000001</v>
      </c>
      <c r="B12621">
        <v>3.8281160000000001</v>
      </c>
      <c r="C12621">
        <f>LOG10(1.021505)</f>
        <v>9.2404967316530463E-3</v>
      </c>
      <c r="D12621">
        <f>LOG10(3.828116)</f>
        <v>0.58298508934425497</v>
      </c>
    </row>
    <row r="12622" spans="1:4">
      <c r="A12622">
        <v>1.025701</v>
      </c>
      <c r="B12622">
        <v>3.553579</v>
      </c>
      <c r="C12622">
        <f>LOG10(1.025701)</f>
        <v>1.1020778928824283E-2</v>
      </c>
      <c r="D12622">
        <f>LOG10(3.553579)</f>
        <v>0.55066597473347689</v>
      </c>
    </row>
    <row r="12623" spans="1:4">
      <c r="A12623">
        <v>1.027563</v>
      </c>
      <c r="B12623">
        <v>3.5448590000000002</v>
      </c>
      <c r="C12623">
        <f>LOG10(1.027563)</f>
        <v>1.1808458006601741E-2</v>
      </c>
      <c r="D12623">
        <f>LOG10(3.544859)</f>
        <v>0.54959896540349118</v>
      </c>
    </row>
    <row r="12624" spans="1:4">
      <c r="A12624">
        <v>1.0101500000000001</v>
      </c>
      <c r="B12624">
        <v>3.8485480000000001</v>
      </c>
      <c r="C12624">
        <f>LOG10(1.01015)</f>
        <v>4.3858681740543536E-3</v>
      </c>
      <c r="D12624">
        <f>LOG10(3.848548)</f>
        <v>0.58529690755267194</v>
      </c>
    </row>
    <row r="12625" spans="1:4">
      <c r="A12625">
        <v>1.01298</v>
      </c>
      <c r="B12625">
        <v>3.662652</v>
      </c>
      <c r="C12625">
        <f>LOG10(1.01298)</f>
        <v>5.6008708534853457E-3</v>
      </c>
      <c r="D12625">
        <f>LOG10(3.662652)</f>
        <v>0.56379565695027944</v>
      </c>
    </row>
    <row r="12626" spans="1:4">
      <c r="A12626">
        <v>1.0157879999999999</v>
      </c>
      <c r="B12626">
        <v>3.822168</v>
      </c>
      <c r="C12626">
        <f>LOG10(1.015788)</f>
        <v>6.8030779899543887E-3</v>
      </c>
      <c r="D12626">
        <f>LOG10(3.822168)</f>
        <v>0.58230977216678526</v>
      </c>
    </row>
    <row r="12627" spans="1:4">
      <c r="A12627">
        <v>1.0210159999999999</v>
      </c>
      <c r="B12627">
        <v>3.5736599999999998</v>
      </c>
      <c r="C12627">
        <f>LOG10(1.021016)</f>
        <v>9.0325478237022819E-3</v>
      </c>
      <c r="D12627">
        <f>LOG10(3.57366)</f>
        <v>0.55311323111650357</v>
      </c>
    </row>
    <row r="12628" spans="1:4">
      <c r="A12628">
        <v>1.0208470000000001</v>
      </c>
      <c r="B12628">
        <v>3.4877289999999999</v>
      </c>
      <c r="C12628">
        <f>LOG10(1.020847)</f>
        <v>8.9606568421729729E-3</v>
      </c>
      <c r="D12628">
        <f>LOG10(3.487729)</f>
        <v>0.54254273245980134</v>
      </c>
    </row>
    <row r="12629" spans="1:4">
      <c r="A12629">
        <v>1.009906</v>
      </c>
      <c r="B12629">
        <v>3.4845989999999998</v>
      </c>
      <c r="C12629">
        <f>LOG10(1.009906)</f>
        <v>4.2809524151844955E-3</v>
      </c>
      <c r="D12629">
        <f>LOG10(3.484599)</f>
        <v>0.54215280765429252</v>
      </c>
    </row>
    <row r="12630" spans="1:4">
      <c r="A12630">
        <v>1.019385</v>
      </c>
      <c r="B12630">
        <v>3.4313120000000001</v>
      </c>
      <c r="C12630">
        <f>LOG10(1.019385)</f>
        <v>8.3382387630312593E-3</v>
      </c>
      <c r="D12630">
        <f>LOG10(3.431312)</f>
        <v>0.5354602090844004</v>
      </c>
    </row>
    <row r="12631" spans="1:4">
      <c r="A12631">
        <v>1.0132699999999999</v>
      </c>
      <c r="B12631">
        <v>3.4874610000000001</v>
      </c>
      <c r="C12631">
        <f>LOG10(1.01327)</f>
        <v>5.725184635705551E-3</v>
      </c>
      <c r="D12631">
        <f>LOG10(3.487461)</f>
        <v>0.54250935962803415</v>
      </c>
    </row>
    <row r="12632" spans="1:4">
      <c r="A12632">
        <v>1.020853</v>
      </c>
      <c r="B12632">
        <v>3.4074209999999998</v>
      </c>
      <c r="C12632">
        <f>LOG10(1.020853)</f>
        <v>8.9632093884740027E-3</v>
      </c>
      <c r="D12632">
        <f>LOG10(3.407421)</f>
        <v>0.5324257956404479</v>
      </c>
    </row>
    <row r="12633" spans="1:4">
      <c r="A12633">
        <v>1.0174240000000001</v>
      </c>
      <c r="B12633">
        <v>3.4083230000000002</v>
      </c>
      <c r="C12633">
        <f>LOG10(1.017424)</f>
        <v>7.501977982410756E-3</v>
      </c>
      <c r="D12633">
        <f>LOG10(3.408323)</f>
        <v>0.53254074527029427</v>
      </c>
    </row>
    <row r="12634" spans="1:4">
      <c r="A12634">
        <v>1.0259510000000001</v>
      </c>
      <c r="B12634">
        <v>3.4192849999999999</v>
      </c>
      <c r="C12634">
        <f>LOG10(1.025951)</f>
        <v>1.112661912103351E-2</v>
      </c>
      <c r="D12634">
        <f>LOG10(3.419285)</f>
        <v>0.53393530107997389</v>
      </c>
    </row>
    <row r="12635" spans="1:4">
      <c r="A12635">
        <v>1.016581</v>
      </c>
      <c r="B12635">
        <v>3.4193359999999999</v>
      </c>
      <c r="C12635">
        <f>LOG10(1.016581)</f>
        <v>7.1419884354755776E-3</v>
      </c>
      <c r="D12635">
        <f>LOG10(3.419336)</f>
        <v>0.5339417787071381</v>
      </c>
    </row>
    <row r="12636" spans="1:4">
      <c r="A12636">
        <v>1.0145869999999999</v>
      </c>
      <c r="B12636">
        <v>3.577858</v>
      </c>
      <c r="C12636">
        <f>LOG10(1.014587)</f>
        <v>6.2892933604166259E-3</v>
      </c>
      <c r="D12636">
        <f>LOG10(3.577858)</f>
        <v>0.55362310005466142</v>
      </c>
    </row>
    <row r="12637" spans="1:4">
      <c r="A12637">
        <v>1.0151810000000001</v>
      </c>
      <c r="B12637">
        <v>3.343601</v>
      </c>
      <c r="C12637">
        <f>LOG10(1.015181)</f>
        <v>6.5434809617729277E-3</v>
      </c>
      <c r="D12637">
        <f>LOG10(3.343601)</f>
        <v>0.52421444644729043</v>
      </c>
    </row>
    <row r="12638" spans="1:4">
      <c r="A12638">
        <v>1.0154559999999999</v>
      </c>
      <c r="B12638">
        <v>3.2546349999999999</v>
      </c>
      <c r="C12638">
        <f>LOG10(1.015456)</f>
        <v>6.6611100439313174E-3</v>
      </c>
      <c r="D12638">
        <f>LOG10(3.254635)</f>
        <v>0.51250229048508567</v>
      </c>
    </row>
    <row r="12639" spans="1:4">
      <c r="A12639">
        <v>1.0136529999999999</v>
      </c>
      <c r="B12639">
        <v>3.3416990000000002</v>
      </c>
      <c r="C12639">
        <f>LOG10(1.013653)</f>
        <v>5.8893100499897537E-3</v>
      </c>
      <c r="D12639">
        <f>LOG10(3.341699)</f>
        <v>0.52396732870332474</v>
      </c>
    </row>
    <row r="12640" spans="1:4">
      <c r="A12640">
        <v>1.0089870000000001</v>
      </c>
      <c r="B12640">
        <v>3.239134</v>
      </c>
      <c r="C12640">
        <f>LOG10(1.008987)</f>
        <v>3.8855707318207599E-3</v>
      </c>
      <c r="D12640">
        <f>LOG10(3.239134)</f>
        <v>0.51042891474583973</v>
      </c>
    </row>
    <row r="12641" spans="1:4">
      <c r="A12641">
        <v>1.0142180000000001</v>
      </c>
      <c r="B12641">
        <v>3.346562</v>
      </c>
      <c r="C12641">
        <f>LOG10(1.014218)</f>
        <v>6.1313139926712458E-3</v>
      </c>
      <c r="D12641">
        <f>LOG10(3.346562)</f>
        <v>0.52459887536027261</v>
      </c>
    </row>
    <row r="12642" spans="1:4">
      <c r="A12642">
        <v>1.013646</v>
      </c>
      <c r="B12642">
        <v>3.3791709999999999</v>
      </c>
      <c r="C12642">
        <f>LOG10(1.013646)</f>
        <v>5.886310925170694E-3</v>
      </c>
      <c r="D12642">
        <f>LOG10(3.379171)</f>
        <v>0.52881016942429915</v>
      </c>
    </row>
    <row r="12643" spans="1:4">
      <c r="A12643">
        <v>1.01617</v>
      </c>
      <c r="B12643">
        <v>3.5154450000000002</v>
      </c>
      <c r="C12643">
        <f>LOG10(1.01617)</f>
        <v>6.9663692529052306E-3</v>
      </c>
      <c r="D12643">
        <f>LOG10(3.515445)</f>
        <v>0.54598030768074401</v>
      </c>
    </row>
    <row r="12644" spans="1:4">
      <c r="A12644">
        <v>1.012778</v>
      </c>
      <c r="B12644">
        <v>3.4170630000000002</v>
      </c>
      <c r="C12644">
        <f>LOG10(1.012778)</f>
        <v>5.5142588439212837E-3</v>
      </c>
      <c r="D12644">
        <f>LOG10(3.417063)</f>
        <v>0.53365298591030419</v>
      </c>
    </row>
    <row r="12645" spans="1:4">
      <c r="A12645">
        <v>1.021066</v>
      </c>
      <c r="B12645">
        <v>3.420693</v>
      </c>
      <c r="C12645">
        <f>LOG10(1.021066)</f>
        <v>9.0538150638028725E-3</v>
      </c>
      <c r="D12645">
        <f>LOG10(3.420693)</f>
        <v>0.53411409891796602</v>
      </c>
    </row>
    <row r="12646" spans="1:4">
      <c r="A12646">
        <v>1.012276</v>
      </c>
      <c r="B12646">
        <v>3.473573</v>
      </c>
      <c r="C12646">
        <f>LOG10(1.012276)</f>
        <v>5.29894030487862E-3</v>
      </c>
      <c r="D12646">
        <f>LOG10(3.473573)</f>
        <v>0.5407764303628253</v>
      </c>
    </row>
    <row r="12647" spans="1:4">
      <c r="A12647">
        <v>1.0153509999999999</v>
      </c>
      <c r="B12647">
        <v>3.5770810000000002</v>
      </c>
      <c r="C12647">
        <f>LOG10(1.015351)</f>
        <v>6.6162008815732146E-3</v>
      </c>
      <c r="D12647">
        <f>LOG10(3.577081)</f>
        <v>0.55352877449471871</v>
      </c>
    </row>
    <row r="12648" spans="1:4">
      <c r="A12648">
        <v>1.0135479999999999</v>
      </c>
      <c r="B12648">
        <v>3.5033829999999999</v>
      </c>
      <c r="C12648">
        <f>LOG10(1.013548)</f>
        <v>5.8443210028842818E-3</v>
      </c>
      <c r="D12648">
        <f>LOG10(3.503383)</f>
        <v>0.54448761824664949</v>
      </c>
    </row>
    <row r="12649" spans="1:4">
      <c r="A12649">
        <v>1.011565</v>
      </c>
      <c r="B12649">
        <v>3.4768889999999999</v>
      </c>
      <c r="C12649">
        <f>LOG10(1.011565)</f>
        <v>4.9937944072151715E-3</v>
      </c>
      <c r="D12649">
        <f>LOG10(3.476889)</f>
        <v>0.5411908260134326</v>
      </c>
    </row>
    <row r="12650" spans="1:4">
      <c r="A12650">
        <v>1.0182450000000001</v>
      </c>
      <c r="B12650">
        <v>3.5396109999999998</v>
      </c>
      <c r="C12650">
        <f>LOG10(1.018245)</f>
        <v>7.8522861994879106E-3</v>
      </c>
      <c r="D12650">
        <f>LOG10(3.539611)</f>
        <v>0.54895553608332281</v>
      </c>
    </row>
    <row r="12651" spans="1:4">
      <c r="A12651">
        <v>1.0229919999999999</v>
      </c>
      <c r="B12651">
        <v>3.6373540000000002</v>
      </c>
      <c r="C12651">
        <f>LOG10(1.022992)</f>
        <v>9.8722374565977829E-3</v>
      </c>
      <c r="D12651">
        <f>LOG10(3.637354)</f>
        <v>0.56078557016801467</v>
      </c>
    </row>
    <row r="12652" spans="1:4">
      <c r="A12652">
        <v>1.0200689999999999</v>
      </c>
      <c r="B12652">
        <v>3.507206</v>
      </c>
      <c r="C12652">
        <f>LOG10(1.020069)</f>
        <v>8.6295495126335452E-3</v>
      </c>
      <c r="D12652">
        <f>LOG10(3.507206)</f>
        <v>0.54496127544403827</v>
      </c>
    </row>
    <row r="12653" spans="1:4">
      <c r="A12653">
        <v>1.0264709999999999</v>
      </c>
      <c r="B12653">
        <v>3.5255580000000002</v>
      </c>
      <c r="C12653">
        <f>LOG10(1.026471)</f>
        <v>1.1346684132441272E-2</v>
      </c>
      <c r="D12653">
        <f>LOG10(3.525558)</f>
        <v>0.54722786377912358</v>
      </c>
    </row>
    <row r="12654" spans="1:4">
      <c r="A12654">
        <v>1.025442</v>
      </c>
      <c r="B12654">
        <v>3.535139</v>
      </c>
      <c r="C12654">
        <f>LOG10(1.025442)</f>
        <v>1.0911101279425128E-2</v>
      </c>
      <c r="D12654">
        <f>LOG10(3.535139)</f>
        <v>0.54840649472306513</v>
      </c>
    </row>
    <row r="12655" spans="1:4">
      <c r="A12655">
        <v>1.025685</v>
      </c>
      <c r="B12655">
        <v>3.5761850000000002</v>
      </c>
      <c r="C12655">
        <f>LOG10(1.025685)</f>
        <v>1.1014004278211869E-2</v>
      </c>
      <c r="D12655">
        <f>LOG10(3.576185)</f>
        <v>0.55341997723824299</v>
      </c>
    </row>
    <row r="12656" spans="1:4">
      <c r="A12656">
        <v>1.0294270000000001</v>
      </c>
      <c r="B12656">
        <v>3.587993</v>
      </c>
      <c r="C12656">
        <f>LOG10(1.029427)</f>
        <v>1.2595554818789257E-2</v>
      </c>
      <c r="D12656">
        <f>LOG10(3.587993)</f>
        <v>0.55485158708544946</v>
      </c>
    </row>
    <row r="12657" spans="1:4">
      <c r="A12657">
        <v>1.017671</v>
      </c>
      <c r="B12657">
        <v>3.5310959999999998</v>
      </c>
      <c r="C12657">
        <f>LOG10(1.017671)</f>
        <v>7.6073988473401863E-3</v>
      </c>
      <c r="D12657">
        <f>LOG10(3.531096)</f>
        <v>0.54790952489912459</v>
      </c>
    </row>
    <row r="12658" spans="1:4">
      <c r="A12658">
        <v>1.010913</v>
      </c>
      <c r="B12658">
        <v>3.6098759999999999</v>
      </c>
      <c r="C12658">
        <f>LOG10(1.010913)</f>
        <v>4.7137814607106678E-3</v>
      </c>
      <c r="D12658">
        <f>LOG10(3.609876)</f>
        <v>0.55749228405505735</v>
      </c>
    </row>
    <row r="12659" spans="1:4">
      <c r="A12659">
        <v>1.0112399999999999</v>
      </c>
      <c r="B12659">
        <v>3.565547</v>
      </c>
      <c r="C12659">
        <f>LOG10(1.01124)</f>
        <v>4.8542399688653202E-3</v>
      </c>
      <c r="D12659">
        <f>LOG10(3.565547)</f>
        <v>0.55212616556471061</v>
      </c>
    </row>
    <row r="12660" spans="1:4">
      <c r="A12660">
        <v>1.0202739999999999</v>
      </c>
      <c r="B12660">
        <v>3.6330390000000001</v>
      </c>
      <c r="C12660">
        <f>LOG10(1.020274)</f>
        <v>8.7168195148731257E-3</v>
      </c>
      <c r="D12660">
        <f>LOG10(3.633039)</f>
        <v>0.56027005995847123</v>
      </c>
    </row>
    <row r="12661" spans="1:4">
      <c r="A12661">
        <v>1.040154</v>
      </c>
      <c r="B12661">
        <v>3.6915969999999998</v>
      </c>
      <c r="C12661">
        <f>LOG10(1.040154)</f>
        <v>1.7097643528501134E-2</v>
      </c>
      <c r="D12661">
        <f>LOG10(3.691597)</f>
        <v>0.5672142843828325</v>
      </c>
    </row>
    <row r="12662" spans="1:4">
      <c r="A12662">
        <v>1.0348539999999999</v>
      </c>
      <c r="B12662">
        <v>3.631418</v>
      </c>
      <c r="C12662">
        <f>LOG10(1.034854)</f>
        <v>1.487908267509824E-2</v>
      </c>
      <c r="D12662">
        <f>LOG10(3.631418)</f>
        <v>0.56007624192999383</v>
      </c>
    </row>
    <row r="12663" spans="1:4">
      <c r="A12663">
        <v>1.0482290000000001</v>
      </c>
      <c r="B12663">
        <v>3.5595829999999999</v>
      </c>
      <c r="C12663">
        <f>LOG10(1.048229)</f>
        <v>2.0456170598166991E-2</v>
      </c>
      <c r="D12663">
        <f>LOG10(3.559583)</f>
        <v>0.55139912398231683</v>
      </c>
    </row>
    <row r="12664" spans="1:4">
      <c r="A12664">
        <v>1.026945</v>
      </c>
      <c r="B12664">
        <v>3.3907280000000002</v>
      </c>
      <c r="C12664">
        <f>LOG10(1.026945)</f>
        <v>1.1547184750025336E-2</v>
      </c>
      <c r="D12664">
        <f>LOG10(3.390728)</f>
        <v>0.53029295260999554</v>
      </c>
    </row>
    <row r="12665" spans="1:4">
      <c r="A12665">
        <v>1.0261709999999999</v>
      </c>
      <c r="B12665">
        <v>3.381059</v>
      </c>
      <c r="C12665">
        <f>LOG10(1.026171)</f>
        <v>1.1219737158250307E-2</v>
      </c>
      <c r="D12665">
        <f>LOG10(3.381059)</f>
        <v>0.52905274933745339</v>
      </c>
    </row>
    <row r="12666" spans="1:4">
      <c r="A12666">
        <v>1.0438940000000001</v>
      </c>
      <c r="B12666">
        <v>3.467981</v>
      </c>
      <c r="C12666">
        <f>LOG10(1.043894)</f>
        <v>1.8656401393947676E-2</v>
      </c>
      <c r="D12666">
        <f>LOG10(3.467981)</f>
        <v>0.540076709444957</v>
      </c>
    </row>
    <row r="12667" spans="1:4">
      <c r="A12667">
        <v>1.0222720000000001</v>
      </c>
      <c r="B12667">
        <v>3.4102860000000002</v>
      </c>
      <c r="C12667">
        <f>LOG10(1.022272)</f>
        <v>9.5664656443649639E-3</v>
      </c>
      <c r="D12667">
        <f>LOG10(3.410286)</f>
        <v>0.53279080216357799</v>
      </c>
    </row>
    <row r="12668" spans="1:4">
      <c r="A12668">
        <v>1.016189</v>
      </c>
      <c r="B12668">
        <v>3.4428209999999999</v>
      </c>
      <c r="C12668">
        <f>LOG10(1.016189)</f>
        <v>6.9744894670567643E-3</v>
      </c>
      <c r="D12668">
        <f>LOG10(3.442821)</f>
        <v>0.53691444334564631</v>
      </c>
    </row>
    <row r="12669" spans="1:4">
      <c r="A12669">
        <v>1.0198830000000001</v>
      </c>
      <c r="B12669">
        <v>3.4189790000000002</v>
      </c>
      <c r="C12669">
        <f>LOG10(1.019883)</f>
        <v>8.5503527728496981E-3</v>
      </c>
      <c r="D12669">
        <f>LOG10(3.418979)</f>
        <v>0.53389643328792868</v>
      </c>
    </row>
    <row r="12670" spans="1:4">
      <c r="A12670">
        <v>1.018751</v>
      </c>
      <c r="B12670">
        <v>3.4888189999999999</v>
      </c>
      <c r="C12670">
        <f>LOG10(1.018751)</f>
        <v>8.068048049155712E-3</v>
      </c>
      <c r="D12670">
        <f>LOG10(3.488819)</f>
        <v>0.54267843882608058</v>
      </c>
    </row>
    <row r="12671" spans="1:4">
      <c r="A12671">
        <v>1.035255</v>
      </c>
      <c r="B12671">
        <v>3.6400160000000001</v>
      </c>
      <c r="C12671">
        <f>LOG10(1.035255)</f>
        <v>1.5047336703675E-2</v>
      </c>
      <c r="D12671">
        <f>LOG10(3.640016)</f>
        <v>0.56110329263159409</v>
      </c>
    </row>
    <row r="12672" spans="1:4">
      <c r="A12672">
        <v>1.0444850000000001</v>
      </c>
      <c r="B12672">
        <v>3.5494059999999998</v>
      </c>
      <c r="C12672">
        <f>LOG10(1.044485)</f>
        <v>1.890220739530726E-2</v>
      </c>
      <c r="D12672">
        <f>LOG10(3.549406)</f>
        <v>0.55015567910945617</v>
      </c>
    </row>
    <row r="12673" spans="1:4">
      <c r="A12673">
        <v>1.0430950000000001</v>
      </c>
      <c r="B12673">
        <v>3.6190509999999998</v>
      </c>
      <c r="C12673">
        <f>LOG10(1.043095)</f>
        <v>1.8323863648905092E-2</v>
      </c>
      <c r="D12673">
        <f>LOG10(3.619051)</f>
        <v>0.55859470326915905</v>
      </c>
    </row>
    <row r="12674" spans="1:4">
      <c r="A12674">
        <v>1.065339</v>
      </c>
      <c r="B12674">
        <v>3.5949230000000001</v>
      </c>
      <c r="C12674">
        <f>LOG10(1.065339)</f>
        <v>2.748782599317896E-2</v>
      </c>
      <c r="D12674">
        <f>LOG10(3.594923)</f>
        <v>0.55568959262342477</v>
      </c>
    </row>
    <row r="12675" spans="1:4">
      <c r="A12675">
        <v>1.035409</v>
      </c>
      <c r="B12675">
        <v>3.6237460000000001</v>
      </c>
      <c r="C12675">
        <f>LOG10(1.035409)</f>
        <v>1.5111935644243251E-2</v>
      </c>
      <c r="D12675">
        <f>LOG10(3.623746)</f>
        <v>0.55915774897598625</v>
      </c>
    </row>
    <row r="12676" spans="1:4">
      <c r="A12676">
        <v>1.025598</v>
      </c>
      <c r="B12676">
        <v>3.605083</v>
      </c>
      <c r="C12676">
        <f>LOG10(1.025598)</f>
        <v>1.0977165265800401E-2</v>
      </c>
      <c r="D12676">
        <f>LOG10(3.605083)</f>
        <v>0.55691526795337998</v>
      </c>
    </row>
    <row r="12677" spans="1:4">
      <c r="A12677">
        <v>1.028286</v>
      </c>
      <c r="B12677">
        <v>3.4889939999999999</v>
      </c>
      <c r="C12677">
        <f>LOG10(1.028286)</f>
        <v>1.2113922973494611E-2</v>
      </c>
      <c r="D12677">
        <f>LOG10(3.488994)</f>
        <v>0.54270022259539319</v>
      </c>
    </row>
    <row r="12678" spans="1:4">
      <c r="A12678">
        <v>1.028678</v>
      </c>
      <c r="B12678">
        <v>3.4902310000000001</v>
      </c>
      <c r="C12678">
        <f>LOG10(1.028678)</f>
        <v>1.2279451819859451E-2</v>
      </c>
      <c r="D12678">
        <f>LOG10(3.490231)</f>
        <v>0.54285417157389426</v>
      </c>
    </row>
    <row r="12679" spans="1:4">
      <c r="A12679">
        <v>1.0152909999999999</v>
      </c>
      <c r="B12679">
        <v>3.5223629999999999</v>
      </c>
      <c r="C12679">
        <f>LOG10(1.015291)</f>
        <v>6.5905364178994053E-3</v>
      </c>
      <c r="D12679">
        <f>LOG10(3.522363)</f>
        <v>0.54683411051068276</v>
      </c>
    </row>
    <row r="12680" spans="1:4">
      <c r="A12680">
        <v>1.0147729999999999</v>
      </c>
      <c r="B12680">
        <v>3.644028</v>
      </c>
      <c r="C12680">
        <f>LOG10(1.014773)</f>
        <v>6.3689034580436694E-3</v>
      </c>
      <c r="D12680">
        <f>LOG10(3.644028)</f>
        <v>0.56158170534782526</v>
      </c>
    </row>
    <row r="12681" spans="1:4">
      <c r="A12681">
        <v>1.074897</v>
      </c>
      <c r="B12681">
        <v>3.1639819999999999</v>
      </c>
      <c r="C12681">
        <f>LOG10(1.074897)</f>
        <v>3.1366850786727664E-2</v>
      </c>
      <c r="D12681">
        <f>LOG10(3.163982)</f>
        <v>0.50023400411675434</v>
      </c>
    </row>
    <row r="12682" spans="1:4">
      <c r="A12682">
        <v>1.022044</v>
      </c>
      <c r="B12682">
        <v>3.6070519999999999</v>
      </c>
      <c r="C12682">
        <f>LOG10(1.022044)</f>
        <v>9.4695930060012777E-3</v>
      </c>
      <c r="D12682">
        <f>LOG10(3.607052)</f>
        <v>0.55715240324164428</v>
      </c>
    </row>
    <row r="12683" spans="1:4">
      <c r="A12683">
        <v>1.0374620000000001</v>
      </c>
      <c r="B12683">
        <v>3.5484279999999999</v>
      </c>
      <c r="C12683">
        <f>LOG10(1.037462)</f>
        <v>1.5972198403362361E-2</v>
      </c>
      <c r="D12683">
        <f>LOG10(3.548428)</f>
        <v>0.55003599752603538</v>
      </c>
    </row>
    <row r="12684" spans="1:4">
      <c r="A12684">
        <v>1.0138739999999999</v>
      </c>
      <c r="B12684">
        <v>3.4710830000000001</v>
      </c>
      <c r="C12684">
        <f>LOG10(1.013874)</f>
        <v>5.9839860576392087E-3</v>
      </c>
      <c r="D12684">
        <f>LOG10(3.471083)</f>
        <v>0.54046499857807462</v>
      </c>
    </row>
    <row r="12685" spans="1:4">
      <c r="A12685">
        <v>1.0124329999999999</v>
      </c>
      <c r="B12685">
        <v>3.3739129999999999</v>
      </c>
      <c r="C12685">
        <f>LOG10(1.012433)</f>
        <v>5.3662924367607352E-3</v>
      </c>
      <c r="D12685">
        <f>LOG10(3.373913)</f>
        <v>0.52813387964401715</v>
      </c>
    </row>
    <row r="12686" spans="1:4">
      <c r="A12686">
        <v>1.0161789999999999</v>
      </c>
      <c r="B12686">
        <v>3.2519239999999998</v>
      </c>
      <c r="C12686">
        <f>LOG10(1.016179)</f>
        <v>6.9702156890607556E-3</v>
      </c>
      <c r="D12686">
        <f>LOG10(3.251924)</f>
        <v>0.51214038723989208</v>
      </c>
    </row>
    <row r="12687" spans="1:4">
      <c r="A12687">
        <v>1.0136050000000001</v>
      </c>
      <c r="B12687">
        <v>3.1319330000000001</v>
      </c>
      <c r="C12687">
        <f>LOG10(1.013605)</f>
        <v>5.868744206732333E-3</v>
      </c>
      <c r="D12687">
        <f>LOG10(3.131933)</f>
        <v>0.49581246282347846</v>
      </c>
    </row>
    <row r="12688" spans="1:4">
      <c r="A12688">
        <v>1.0145869999999999</v>
      </c>
      <c r="B12688">
        <v>3.1279330000000001</v>
      </c>
      <c r="C12688">
        <f>LOG10(1.014587)</f>
        <v>6.2892933604166259E-3</v>
      </c>
      <c r="D12688">
        <f>LOG10(3.127933)</f>
        <v>0.49525744194474119</v>
      </c>
    </row>
    <row r="12689" spans="1:4">
      <c r="A12689">
        <v>1.017317</v>
      </c>
      <c r="B12689">
        <v>3.0945</v>
      </c>
      <c r="C12689">
        <f>LOG10(1.017317)</f>
        <v>7.4563018893782597E-3</v>
      </c>
      <c r="D12689">
        <f>LOG10(3.0945)</f>
        <v>0.49059048702883279</v>
      </c>
    </row>
    <row r="12690" spans="1:4">
      <c r="A12690">
        <v>1.0144390000000001</v>
      </c>
      <c r="B12690">
        <v>3.0968399999999998</v>
      </c>
      <c r="C12690">
        <f>LOG10(1.014439)</f>
        <v>6.2259372640082085E-3</v>
      </c>
      <c r="D12690">
        <f>LOG10(3.09684)</f>
        <v>0.49091876786498201</v>
      </c>
    </row>
    <row r="12691" spans="1:4">
      <c r="A12691">
        <v>1.0176700000000001</v>
      </c>
      <c r="B12691">
        <v>3.1238809999999999</v>
      </c>
      <c r="C12691">
        <f>LOG10(1.01767)</f>
        <v>7.6069720938066335E-3</v>
      </c>
      <c r="D12691">
        <f>LOG10(3.123881)</f>
        <v>0.4946944816624671</v>
      </c>
    </row>
    <row r="12692" spans="1:4">
      <c r="A12692">
        <v>1.0179100000000001</v>
      </c>
      <c r="B12692">
        <v>3.0666959999999999</v>
      </c>
      <c r="C12692">
        <f>LOG10(1.01791)</f>
        <v>7.7093809169821005E-3</v>
      </c>
      <c r="D12692">
        <f>LOG10(3.066696)</f>
        <v>0.48667072672715667</v>
      </c>
    </row>
    <row r="12693" spans="1:4">
      <c r="A12693">
        <v>1.0220100000000001</v>
      </c>
      <c r="B12693">
        <v>3.002866</v>
      </c>
      <c r="C12693">
        <f>LOG10(1.02201)</f>
        <v>9.4551452346742833E-3</v>
      </c>
      <c r="D12693">
        <f>LOG10(3.002866)</f>
        <v>0.4775359526588499</v>
      </c>
    </row>
    <row r="12694" spans="1:4">
      <c r="A12694">
        <v>1.0201960000000001</v>
      </c>
      <c r="B12694">
        <v>3.1472880000000001</v>
      </c>
      <c r="C12694">
        <f>LOG10(1.020196)</f>
        <v>8.6836164100934747E-3</v>
      </c>
      <c r="D12694">
        <f>LOG10(3.147288)</f>
        <v>0.49793648587092271</v>
      </c>
    </row>
    <row r="12695" spans="1:4">
      <c r="A12695">
        <v>1.0178149999999999</v>
      </c>
      <c r="B12695">
        <v>3.2703519999999999</v>
      </c>
      <c r="C12695">
        <f>LOG10(1.017815)</f>
        <v>7.6688469786448136E-3</v>
      </c>
      <c r="D12695">
        <f>LOG10(3.270352)</f>
        <v>0.51459449988666706</v>
      </c>
    </row>
    <row r="12696" spans="1:4">
      <c r="A12696">
        <v>1.0157050000000001</v>
      </c>
      <c r="B12696">
        <v>3.1899030000000002</v>
      </c>
      <c r="C12696">
        <f>LOG10(1.015705)</f>
        <v>6.7675903539960525E-3</v>
      </c>
      <c r="D12696">
        <f>LOG10(3.189903)</f>
        <v>0.50377747703672981</v>
      </c>
    </row>
    <row r="12697" spans="1:4">
      <c r="A12697">
        <v>1.026073</v>
      </c>
      <c r="B12697">
        <v>3.3328739999999999</v>
      </c>
      <c r="C12697">
        <f>LOG10(1.026073)</f>
        <v>1.1178259771293551E-2</v>
      </c>
      <c r="D12697">
        <f>LOG10(3.332874)</f>
        <v>0.52281889537697823</v>
      </c>
    </row>
    <row r="12698" spans="1:4">
      <c r="A12698">
        <v>1.0158100000000001</v>
      </c>
      <c r="B12698">
        <v>3.1240489999999999</v>
      </c>
      <c r="C12698">
        <f>LOG10(1.01581)</f>
        <v>6.812483865134741E-3</v>
      </c>
      <c r="D12698">
        <f>LOG10(3.124049)</f>
        <v>0.49471783706913053</v>
      </c>
    </row>
    <row r="12699" spans="1:4">
      <c r="A12699">
        <v>1.0229200000000001</v>
      </c>
      <c r="B12699">
        <v>3.188415</v>
      </c>
      <c r="C12699">
        <f>LOG10(1.02292)</f>
        <v>9.8416699613097375E-3</v>
      </c>
      <c r="D12699">
        <f>LOG10(3.188415)</f>
        <v>0.50357484361494187</v>
      </c>
    </row>
    <row r="12700" spans="1:4">
      <c r="A12700">
        <v>1.0216149999999999</v>
      </c>
      <c r="B12700">
        <v>3.14784</v>
      </c>
      <c r="C12700">
        <f>LOG10(1.021615)</f>
        <v>9.2872608894660411E-3</v>
      </c>
      <c r="D12700">
        <f>LOG10(3.14784)</f>
        <v>0.49801264970893366</v>
      </c>
    </row>
    <row r="12701" spans="1:4">
      <c r="A12701">
        <v>1.020993</v>
      </c>
      <c r="B12701">
        <v>3.24397</v>
      </c>
      <c r="C12701">
        <f>LOG10(1.020993)</f>
        <v>9.0227645435265839E-3</v>
      </c>
      <c r="D12701">
        <f>LOG10(3.24397)</f>
        <v>0.51107682923372333</v>
      </c>
    </row>
    <row r="12702" spans="1:4">
      <c r="A12702">
        <v>1.0178130000000001</v>
      </c>
      <c r="B12702">
        <v>3.1154120000000001</v>
      </c>
      <c r="C12702">
        <f>LOG10(1.017813)</f>
        <v>7.6679935919123313E-3</v>
      </c>
      <c r="D12702">
        <f>LOG10(3.115412)</f>
        <v>0.49351548839316628</v>
      </c>
    </row>
    <row r="12703" spans="1:4">
      <c r="A12703">
        <v>1.023576</v>
      </c>
      <c r="B12703">
        <v>3.390479</v>
      </c>
      <c r="C12703">
        <f>LOG10(1.023576)</f>
        <v>1.0120094341212117E-2</v>
      </c>
      <c r="D12703">
        <f>LOG10(3.390479)</f>
        <v>0.53026105878164242</v>
      </c>
    </row>
    <row r="12704" spans="1:4">
      <c r="A12704">
        <v>1.028143</v>
      </c>
      <c r="B12704">
        <v>3.3698760000000001</v>
      </c>
      <c r="C12704">
        <f>LOG10(1.028143)</f>
        <v>1.2053523017053354E-2</v>
      </c>
      <c r="D12704">
        <f>LOG10(3.369876)</f>
        <v>0.52761392060233603</v>
      </c>
    </row>
    <row r="12705" spans="1:4">
      <c r="A12705">
        <v>1.025207</v>
      </c>
      <c r="B12705">
        <v>3.2591039999999998</v>
      </c>
      <c r="C12705">
        <f>LOG10(1.025207)</f>
        <v>1.0811562837015893E-2</v>
      </c>
      <c r="D12705">
        <f>LOG10(3.259104)</f>
        <v>0.51309821928854493</v>
      </c>
    </row>
    <row r="12706" spans="1:4">
      <c r="A12706">
        <v>1.0136529999999999</v>
      </c>
      <c r="B12706">
        <v>3.2079149999999998</v>
      </c>
      <c r="C12706">
        <f>LOG10(1.013653)</f>
        <v>5.8893100499897537E-3</v>
      </c>
      <c r="D12706">
        <f>LOG10(3.207915)</f>
        <v>0.50622285228044706</v>
      </c>
    </row>
    <row r="12707" spans="1:4">
      <c r="A12707">
        <v>1.01376</v>
      </c>
      <c r="B12707">
        <v>3.4549370000000001</v>
      </c>
      <c r="C12707">
        <f>LOG10(1.01376)</f>
        <v>5.935151237361865E-3</v>
      </c>
      <c r="D12707">
        <f>LOG10(3.454937)</f>
        <v>0.53844013252011158</v>
      </c>
    </row>
    <row r="12708" spans="1:4">
      <c r="A12708">
        <v>1.012869</v>
      </c>
      <c r="B12708">
        <v>3.3236859999999999</v>
      </c>
      <c r="C12708">
        <f>LOG10(1.012869)</f>
        <v>5.5532792634512516E-3</v>
      </c>
      <c r="D12708">
        <f>LOG10(3.323686)</f>
        <v>0.52161998776288176</v>
      </c>
    </row>
    <row r="12709" spans="1:4">
      <c r="A12709">
        <v>1.012502</v>
      </c>
      <c r="B12709">
        <v>3.227519</v>
      </c>
      <c r="C12709">
        <f>LOG10(1.012502)</f>
        <v>5.3958897515021609E-3</v>
      </c>
      <c r="D12709">
        <f>LOG10(3.227519)</f>
        <v>0.50886880758318853</v>
      </c>
    </row>
    <row r="12710" spans="1:4">
      <c r="A12710">
        <v>1.0127619999999999</v>
      </c>
      <c r="B12710">
        <v>3.2108059999999998</v>
      </c>
      <c r="C12710">
        <f>LOG10(1.012762)</f>
        <v>5.5073977484004812E-3</v>
      </c>
      <c r="D12710">
        <f>LOG10(3.210806)</f>
        <v>0.50661406586710489</v>
      </c>
    </row>
    <row r="12711" spans="1:4">
      <c r="A12711">
        <v>1.0202020000000001</v>
      </c>
      <c r="B12711">
        <v>3.2897919999999998</v>
      </c>
      <c r="C12711">
        <f>LOG10(1.020202)</f>
        <v>8.6861705852018661E-3</v>
      </c>
      <c r="D12711">
        <f>LOG10(3.289792)</f>
        <v>0.51716844016642549</v>
      </c>
    </row>
    <row r="12712" spans="1:4">
      <c r="A12712">
        <v>1.032</v>
      </c>
      <c r="B12712">
        <v>3.2514349999999999</v>
      </c>
      <c r="C12712">
        <f>LOG10(1.032)</f>
        <v>1.3679697291192561E-2</v>
      </c>
      <c r="D12712">
        <f>LOG10(3.251435)</f>
        <v>0.5120750763745221</v>
      </c>
    </row>
    <row r="12713" spans="1:4">
      <c r="A12713">
        <v>1.0220070000000001</v>
      </c>
      <c r="B12713">
        <v>3.351226</v>
      </c>
      <c r="C12713">
        <f>LOG10(1.022007)</f>
        <v>9.4538704082460304E-3</v>
      </c>
      <c r="D12713">
        <f>LOG10(3.351226)</f>
        <v>0.52520371677687006</v>
      </c>
    </row>
    <row r="12714" spans="1:4">
      <c r="A12714">
        <v>1.0240720000000001</v>
      </c>
      <c r="B12714">
        <v>3.2887439999999999</v>
      </c>
      <c r="C12714">
        <f>LOG10(1.024072)</f>
        <v>1.0330491897078256E-2</v>
      </c>
      <c r="D12714">
        <f>LOG10(3.288744)</f>
        <v>0.51703006876558955</v>
      </c>
    </row>
    <row r="12715" spans="1:4">
      <c r="A12715">
        <v>1.021366</v>
      </c>
      <c r="B12715">
        <v>3.3007499999999999</v>
      </c>
      <c r="C12715">
        <f>LOG10(1.021366)</f>
        <v>9.1813966386195076E-3</v>
      </c>
      <c r="D12715">
        <f>LOG10(3.30075)</f>
        <v>0.51861263195464513</v>
      </c>
    </row>
    <row r="12716" spans="1:4">
      <c r="A12716">
        <v>1.032197</v>
      </c>
      <c r="B12716">
        <v>3.5255380000000001</v>
      </c>
      <c r="C12716">
        <f>LOG10(1.032197)</f>
        <v>1.376259249275975E-2</v>
      </c>
      <c r="D12716">
        <f>LOG10(3.525538)</f>
        <v>0.5472254000799659</v>
      </c>
    </row>
    <row r="12717" spans="1:4">
      <c r="A12717">
        <v>1.0218449999999999</v>
      </c>
      <c r="B12717">
        <v>3.2725629999999999</v>
      </c>
      <c r="C12717">
        <f>LOG10(1.021845)</f>
        <v>9.3850242234775061E-3</v>
      </c>
      <c r="D12717">
        <f>LOG10(3.272563)</f>
        <v>0.51488801589170086</v>
      </c>
    </row>
    <row r="12718" spans="1:4">
      <c r="A12718">
        <v>1.022745</v>
      </c>
      <c r="B12718">
        <v>3.2655159999999999</v>
      </c>
      <c r="C12718">
        <f>LOG10(1.022745)</f>
        <v>9.7673649949359832E-3</v>
      </c>
      <c r="D12718">
        <f>LOG10(3.265516)</f>
        <v>0.51395181600817874</v>
      </c>
    </row>
    <row r="12719" spans="1:4">
      <c r="A12719">
        <v>1.033126</v>
      </c>
      <c r="B12719">
        <v>3.408029</v>
      </c>
      <c r="C12719">
        <f>LOG10(1.033126)</f>
        <v>1.4153291285053705E-2</v>
      </c>
      <c r="D12719">
        <f>LOG10(3.408029)</f>
        <v>0.53250328165991767</v>
      </c>
    </row>
    <row r="12720" spans="1:4">
      <c r="A12720">
        <v>1.0234270000000001</v>
      </c>
      <c r="B12720">
        <v>3.3631829999999998</v>
      </c>
      <c r="C12720">
        <f>LOG10(1.023427)</f>
        <v>1.0056870322568422E-2</v>
      </c>
      <c r="D12720">
        <f>LOG10(3.363183)</f>
        <v>0.52675049911002614</v>
      </c>
    </row>
    <row r="12721" spans="1:4">
      <c r="A12721">
        <v>1.0257229999999999</v>
      </c>
      <c r="B12721">
        <v>3.5248279999999999</v>
      </c>
      <c r="C12721">
        <f>LOG10(1.025723)</f>
        <v>1.1030093900865387E-2</v>
      </c>
      <c r="D12721">
        <f>LOG10(3.524828)</f>
        <v>0.54713792970376307</v>
      </c>
    </row>
    <row r="12722" spans="1:4">
      <c r="A12722">
        <v>1.029879</v>
      </c>
      <c r="B12722">
        <v>3.741117</v>
      </c>
      <c r="C12722">
        <f>LOG10(1.029879)</f>
        <v>1.2786202647691411E-2</v>
      </c>
      <c r="D12722">
        <f>LOG10(3.741117)</f>
        <v>0.57300129057185323</v>
      </c>
    </row>
    <row r="12723" spans="1:4">
      <c r="A12723">
        <v>1.0220210000000001</v>
      </c>
      <c r="B12723">
        <v>3.5717620000000001</v>
      </c>
      <c r="C12723">
        <f>LOG10(1.022021)</f>
        <v>9.4598195662289174E-3</v>
      </c>
      <c r="D12723">
        <f>LOG10(3.571762)</f>
        <v>0.55288251249805431</v>
      </c>
    </row>
    <row r="12724" spans="1:4">
      <c r="A12724">
        <v>1.0260210000000001</v>
      </c>
      <c r="B12724">
        <v>3.5089359999999998</v>
      </c>
      <c r="C12724">
        <f>LOG10(1.026021)</f>
        <v>1.1156249753171792E-2</v>
      </c>
      <c r="D12724">
        <f>LOG10(3.508936)</f>
        <v>0.54517544712668642</v>
      </c>
    </row>
    <row r="12725" spans="1:4">
      <c r="A12725">
        <v>1.0201849999999999</v>
      </c>
      <c r="B12725">
        <v>3.6272530000000001</v>
      </c>
      <c r="C12725">
        <f>LOG10(1.020185)</f>
        <v>8.6789337167131001E-3</v>
      </c>
      <c r="D12725">
        <f>LOG10(3.627253)</f>
        <v>0.55957784856965487</v>
      </c>
    </row>
    <row r="12726" spans="1:4">
      <c r="A12726">
        <v>1.0177080000000001</v>
      </c>
      <c r="B12726">
        <v>3.4120339999999998</v>
      </c>
      <c r="C12726">
        <f>LOG10(1.017708)</f>
        <v>7.6231884332917154E-3</v>
      </c>
      <c r="D12726">
        <f>LOG10(3.412034)</f>
        <v>0.53301335014461049</v>
      </c>
    </row>
    <row r="12727" spans="1:4">
      <c r="A12727">
        <v>1.03067</v>
      </c>
      <c r="B12727">
        <v>3.4777339999999999</v>
      </c>
      <c r="C12727">
        <f>LOG10(1.03067)</f>
        <v>1.311963509900395E-2</v>
      </c>
      <c r="D12727">
        <f>LOG10(3.477734)</f>
        <v>0.54129636123482816</v>
      </c>
    </row>
    <row r="12728" spans="1:4">
      <c r="A12728">
        <v>1.0199819999999999</v>
      </c>
      <c r="B12728">
        <v>3.5741510000000001</v>
      </c>
      <c r="C12728">
        <f>LOG10(1.019982)</f>
        <v>8.5925076740241517E-3</v>
      </c>
      <c r="D12728">
        <f>LOG10(3.574151)</f>
        <v>0.55317289654161061</v>
      </c>
    </row>
    <row r="12729" spans="1:4">
      <c r="A12729">
        <v>1.0260210000000001</v>
      </c>
      <c r="B12729">
        <v>3.6956760000000002</v>
      </c>
      <c r="C12729">
        <f>LOG10(1.026021)</f>
        <v>1.1156249753171792E-2</v>
      </c>
      <c r="D12729">
        <f>LOG10(3.695676)</f>
        <v>0.56769388960974587</v>
      </c>
    </row>
    <row r="12730" spans="1:4">
      <c r="A12730">
        <v>1.0248649999999999</v>
      </c>
      <c r="B12730">
        <v>3.357119</v>
      </c>
      <c r="C12730">
        <f>LOG10(1.024865)</f>
        <v>1.0666661863597599E-2</v>
      </c>
      <c r="D12730">
        <f>LOG10(3.357119)</f>
        <v>0.52596673598359933</v>
      </c>
    </row>
    <row r="12731" spans="1:4">
      <c r="A12731">
        <v>1.0220260000000001</v>
      </c>
      <c r="B12731">
        <v>3.5778029999999998</v>
      </c>
      <c r="C12731">
        <f>LOG10(1.022026)</f>
        <v>9.4619442457588247E-3</v>
      </c>
      <c r="D12731">
        <f>LOG10(3.577803)</f>
        <v>0.55361642388693766</v>
      </c>
    </row>
    <row r="12732" spans="1:4">
      <c r="A12732">
        <v>1.021136</v>
      </c>
      <c r="B12732">
        <v>3.613699</v>
      </c>
      <c r="C12732">
        <f>LOG10(1.021136)</f>
        <v>9.0835874504180455E-3</v>
      </c>
      <c r="D12732">
        <f>LOG10(3.613699)</f>
        <v>0.55795197554004383</v>
      </c>
    </row>
    <row r="12733" spans="1:4">
      <c r="A12733">
        <v>1.022273</v>
      </c>
      <c r="B12733">
        <v>3.4171779999999998</v>
      </c>
      <c r="C12733">
        <f>LOG10(1.022273)</f>
        <v>9.5668904767671533E-3</v>
      </c>
      <c r="D12733">
        <f>LOG10(3.417178)</f>
        <v>0.53366760168561067</v>
      </c>
    </row>
    <row r="12734" spans="1:4">
      <c r="A12734">
        <v>1.021801</v>
      </c>
      <c r="B12734">
        <v>3.4729359999999998</v>
      </c>
      <c r="C12734">
        <f>LOG10(1.021801)</f>
        <v>9.3663233748895753E-3</v>
      </c>
      <c r="D12734">
        <f>LOG10(3.472936)</f>
        <v>0.54069678011383027</v>
      </c>
    </row>
    <row r="12735" spans="1:4">
      <c r="A12735">
        <v>1.0222039999999999</v>
      </c>
      <c r="B12735">
        <v>3.4792640000000001</v>
      </c>
      <c r="C12735">
        <f>LOG10(1.022204)</f>
        <v>9.5375760660276407E-3</v>
      </c>
      <c r="D12735">
        <f>LOG10(3.479264)</f>
        <v>0.54148738344527725</v>
      </c>
    </row>
    <row r="12736" spans="1:4">
      <c r="A12736">
        <v>1.026211</v>
      </c>
      <c r="B12736">
        <v>3.3799429999999999</v>
      </c>
      <c r="C12736">
        <f>LOG10(1.026211)</f>
        <v>1.1236665565611457E-2</v>
      </c>
      <c r="D12736">
        <f>LOG10(3.379943)</f>
        <v>0.52890937631487311</v>
      </c>
    </row>
    <row r="12737" spans="1:4">
      <c r="A12737">
        <v>1.0363640000000001</v>
      </c>
      <c r="B12737">
        <v>1.9105430000000001</v>
      </c>
      <c r="C12737">
        <f>LOG10(1.036364)</f>
        <v>1.5512318562249584E-2</v>
      </c>
      <c r="D12737">
        <f>LOG10(1.910543)</f>
        <v>0.2811568166659183</v>
      </c>
    </row>
    <row r="12738" spans="1:4">
      <c r="A12738">
        <v>1.0341149999999999</v>
      </c>
      <c r="B12738">
        <v>3.5351680000000001</v>
      </c>
      <c r="C12738">
        <f>LOG10(1.034115)</f>
        <v>1.4568837682761347E-2</v>
      </c>
      <c r="D12738">
        <f>LOG10(3.535168)</f>
        <v>0.5484100573802384</v>
      </c>
    </row>
    <row r="12739" spans="1:4">
      <c r="A12739">
        <v>1.0017529999999999</v>
      </c>
      <c r="B12739">
        <v>3.7486570000000001</v>
      </c>
      <c r="C12739">
        <f>LOG10(1.001753)</f>
        <v>7.6065171017263911E-4</v>
      </c>
      <c r="D12739">
        <f>LOG10(3.748657)</f>
        <v>0.57387570453942205</v>
      </c>
    </row>
    <row r="12740" spans="1:4">
      <c r="A12740">
        <v>1.0048710000000001</v>
      </c>
      <c r="B12740">
        <v>3.5839639999999999</v>
      </c>
      <c r="C12740">
        <f>LOG10(1.004871)</f>
        <v>2.110312916664304E-3</v>
      </c>
      <c r="D12740">
        <f>LOG10(3.583964)</f>
        <v>0.55436363863521287</v>
      </c>
    </row>
    <row r="12741" spans="1:4">
      <c r="A12741">
        <v>1.0023010000000001</v>
      </c>
      <c r="B12741">
        <v>3.8546420000000001</v>
      </c>
      <c r="C12741">
        <f>LOG10(1.002301)</f>
        <v>9.9816365547437968E-4</v>
      </c>
      <c r="D12741">
        <f>LOG10(3.854642)</f>
        <v>0.58598404914591662</v>
      </c>
    </row>
    <row r="12742" spans="1:4">
      <c r="A12742">
        <v>1.0292699999999999</v>
      </c>
      <c r="B12742">
        <v>3.723633</v>
      </c>
      <c r="C12742">
        <f>LOG10(1.02927)</f>
        <v>1.2529314635031204E-2</v>
      </c>
      <c r="D12742">
        <f>LOG10(3.723633)</f>
        <v>0.57096687050234496</v>
      </c>
    </row>
    <row r="12743" spans="1:4">
      <c r="A12743">
        <v>1.0024930000000001</v>
      </c>
      <c r="B12743">
        <v>3.6147109999999998</v>
      </c>
      <c r="C12743">
        <f>LOG10(1.002493)</f>
        <v>1.0813488014597978E-3</v>
      </c>
      <c r="D12743">
        <f>LOG10(3.614711)</f>
        <v>0.55807358071145974</v>
      </c>
    </row>
    <row r="12744" spans="1:4">
      <c r="A12744">
        <v>1.038797</v>
      </c>
      <c r="B12744">
        <v>3.6116060000000001</v>
      </c>
      <c r="C12744">
        <f>LOG10(1.038797)</f>
        <v>1.653068673573347E-2</v>
      </c>
      <c r="D12744">
        <f>LOG10(3.611606)</f>
        <v>0.55770036584992044</v>
      </c>
    </row>
    <row r="12745" spans="1:4">
      <c r="A12745">
        <v>1.0051190000000001</v>
      </c>
      <c r="B12745">
        <v>3.5584380000000002</v>
      </c>
      <c r="C12745">
        <f>LOG10(1.005119)</f>
        <v>2.2174826359749157E-3</v>
      </c>
      <c r="D12745">
        <f>LOG10(3.558438)</f>
        <v>0.55125940335320711</v>
      </c>
    </row>
    <row r="12746" spans="1:4">
      <c r="A12746">
        <v>1.005495</v>
      </c>
      <c r="B12746">
        <v>3.7094309999999999</v>
      </c>
      <c r="C12746">
        <f>LOG10(1.005495)</f>
        <v>2.379915332752283E-3</v>
      </c>
      <c r="D12746">
        <f>LOG10(3.709431)</f>
        <v>0.56930729707813099</v>
      </c>
    </row>
    <row r="12747" spans="1:4">
      <c r="A12747">
        <v>1.003827</v>
      </c>
      <c r="B12747">
        <v>3.5908220000000002</v>
      </c>
      <c r="C12747">
        <f>LOG10(1.003827)</f>
        <v>1.6588727500161835E-3</v>
      </c>
      <c r="D12747">
        <f>LOG10(3.590822)</f>
        <v>0.55519387732496794</v>
      </c>
    </row>
    <row r="12748" spans="1:4">
      <c r="A12748">
        <v>1.011395</v>
      </c>
      <c r="B12748">
        <v>3.7086350000000001</v>
      </c>
      <c r="C12748">
        <f>LOG10(1.011395)</f>
        <v>4.920802294570978E-3</v>
      </c>
      <c r="D12748">
        <f>LOG10(3.708635)</f>
        <v>0.56921409262054823</v>
      </c>
    </row>
    <row r="12749" spans="1:4">
      <c r="A12749">
        <v>1.0106919999999999</v>
      </c>
      <c r="B12749">
        <v>3.770295</v>
      </c>
      <c r="C12749">
        <f>LOG10(1.010692)</f>
        <v>4.618828113362429E-3</v>
      </c>
      <c r="D12749">
        <f>LOG10(3.770295)</f>
        <v>0.57637533213149383</v>
      </c>
    </row>
    <row r="12750" spans="1:4">
      <c r="A12750">
        <v>1.007474</v>
      </c>
      <c r="B12750">
        <v>3.4972569999999998</v>
      </c>
      <c r="C12750">
        <f>LOG10(1.007474)</f>
        <v>3.2338470689973874E-3</v>
      </c>
      <c r="D12750">
        <f>LOG10(3.497257)</f>
        <v>0.5437275481172853</v>
      </c>
    </row>
    <row r="12751" spans="1:4">
      <c r="A12751">
        <v>1.0013049999999999</v>
      </c>
      <c r="B12751">
        <v>3.8028379999999999</v>
      </c>
      <c r="C12751">
        <f>LOG10(1.001305)</f>
        <v>5.6638481312135363E-4</v>
      </c>
      <c r="D12751">
        <f>LOG10(3.802838)</f>
        <v>0.58010782496335334</v>
      </c>
    </row>
    <row r="12752" spans="1:4">
      <c r="A12752">
        <v>1.0062279999999999</v>
      </c>
      <c r="B12752">
        <v>3.544816</v>
      </c>
      <c r="C12752">
        <f>LOG10(1.006228)</f>
        <v>2.6963981381113522E-3</v>
      </c>
      <c r="D12752">
        <f>LOG10(3.544816)</f>
        <v>0.54959369727407137</v>
      </c>
    </row>
    <row r="12753" spans="1:4">
      <c r="A12753">
        <v>1.0027509999999999</v>
      </c>
      <c r="B12753">
        <v>4.0689219999999997</v>
      </c>
      <c r="C12753">
        <f>LOG10(1.002751)</f>
        <v>1.1931037569158577E-3</v>
      </c>
      <c r="D12753">
        <f>LOG10(4.068922)</f>
        <v>0.60947936463965213</v>
      </c>
    </row>
    <row r="12754" spans="1:4">
      <c r="A12754">
        <v>1.0041519999999999</v>
      </c>
      <c r="B12754">
        <v>3.6250770000000001</v>
      </c>
      <c r="C12754">
        <f>LOG10(1.004152)</f>
        <v>1.7994575946296378E-3</v>
      </c>
      <c r="D12754">
        <f>LOG10(3.625077)</f>
        <v>0.55931723582286041</v>
      </c>
    </row>
    <row r="12755" spans="1:4">
      <c r="A12755">
        <v>1.002219</v>
      </c>
      <c r="B12755">
        <v>3.769288</v>
      </c>
      <c r="C12755">
        <f>LOG10(1.002219)</f>
        <v>9.6263180990936552E-4</v>
      </c>
      <c r="D12755">
        <f>LOG10(3.769288)</f>
        <v>0.57625932185721818</v>
      </c>
    </row>
    <row r="12756" spans="1:4">
      <c r="A12756">
        <v>1.005009</v>
      </c>
      <c r="B12756">
        <v>4.1247389999999999</v>
      </c>
      <c r="C12756">
        <f>LOG10(1.005009)</f>
        <v>2.1699509434090019E-3</v>
      </c>
      <c r="D12756">
        <f>LOG10(4.124739)</f>
        <v>0.61539647302026212</v>
      </c>
    </row>
    <row r="12757" spans="1:4">
      <c r="A12757">
        <v>1.0038929999999999</v>
      </c>
      <c r="B12757">
        <v>4.1511699999999996</v>
      </c>
      <c r="C12757">
        <f>LOG10(1.003893)</f>
        <v>1.6874259704013925E-3</v>
      </c>
      <c r="D12757">
        <f>LOG10(4.15117)</f>
        <v>0.61817051910488585</v>
      </c>
    </row>
    <row r="12758" spans="1:4">
      <c r="A12758">
        <v>1.003979</v>
      </c>
      <c r="B12758">
        <v>4.2201310000000003</v>
      </c>
      <c r="C12758">
        <f>LOG10(1.003979)</f>
        <v>1.7246288652737075E-3</v>
      </c>
      <c r="D12758">
        <f>LOG10(4.220131)</f>
        <v>0.62532593240577328</v>
      </c>
    </row>
    <row r="12759" spans="1:4">
      <c r="A12759">
        <v>1.0015499999999999</v>
      </c>
      <c r="B12759">
        <v>3.414568</v>
      </c>
      <c r="C12759">
        <f>LOG10(1.00155)</f>
        <v>6.7263528916383793E-4</v>
      </c>
      <c r="D12759">
        <f>LOG10(3.414568)</f>
        <v>0.53333576597248133</v>
      </c>
    </row>
    <row r="12760" spans="1:4">
      <c r="A12760">
        <v>1.0053270000000001</v>
      </c>
      <c r="B12760">
        <v>3.854854</v>
      </c>
      <c r="C12760">
        <f>LOG10(1.005327)</f>
        <v>2.3073465294176404E-3</v>
      </c>
      <c r="D12760">
        <f>LOG10(3.854854)</f>
        <v>0.5860079340873412</v>
      </c>
    </row>
    <row r="12761" spans="1:4">
      <c r="A12761">
        <v>1.0033559999999999</v>
      </c>
      <c r="B12761">
        <v>3.8904359999999998</v>
      </c>
      <c r="C12761">
        <f>LOG10(1.003356)</f>
        <v>1.4550520672672988E-3</v>
      </c>
      <c r="D12761">
        <f>LOG10(3.890436)</f>
        <v>0.58999827530601112</v>
      </c>
    </row>
    <row r="12762" spans="1:4">
      <c r="A12762">
        <v>1.004688</v>
      </c>
      <c r="B12762">
        <v>3.2935639999999999</v>
      </c>
      <c r="C12762">
        <f>LOG10(1.004688)</f>
        <v>2.0312150743934309E-3</v>
      </c>
      <c r="D12762">
        <f>LOG10(3.293564)</f>
        <v>0.51766610699926852</v>
      </c>
    </row>
    <row r="12763" spans="1:4">
      <c r="A12763">
        <v>1.0052179999999999</v>
      </c>
      <c r="B12763">
        <v>3.060365</v>
      </c>
      <c r="C12763">
        <f>LOG10(1.005218)</f>
        <v>2.2602567119065753E-3</v>
      </c>
      <c r="D12763">
        <f>LOG10(3.060365)</f>
        <v>0.48577322649222726</v>
      </c>
    </row>
    <row r="12764" spans="1:4">
      <c r="A12764">
        <v>1.0032799999999999</v>
      </c>
      <c r="B12764">
        <v>3.2286069999999998</v>
      </c>
      <c r="C12764">
        <f>LOG10(1.00328)</f>
        <v>1.4221548396281913E-3</v>
      </c>
      <c r="D12764">
        <f>LOG10(3.228607)</f>
        <v>0.50901518403271373</v>
      </c>
    </row>
    <row r="12765" spans="1:4">
      <c r="A12765">
        <v>1.0042770000000001</v>
      </c>
      <c r="B12765">
        <v>3.6401089999999998</v>
      </c>
      <c r="C12765">
        <f>LOG10(1.004277)</f>
        <v>1.8535165733717955E-3</v>
      </c>
      <c r="D12765">
        <f>LOG10(3.640109)</f>
        <v>0.56111438842646544</v>
      </c>
    </row>
    <row r="12766" spans="1:4">
      <c r="A12766">
        <v>1.003015</v>
      </c>
      <c r="B12766">
        <v>4.1247090000000002</v>
      </c>
      <c r="C12766">
        <f>LOG10(1.003015)</f>
        <v>1.3074279042835594E-3</v>
      </c>
      <c r="D12766">
        <f>LOG10(4.124709)</f>
        <v>0.61539331430359234</v>
      </c>
    </row>
    <row r="12767" spans="1:4">
      <c r="A12767">
        <v>1.003806</v>
      </c>
      <c r="B12767">
        <v>3.6021890000000001</v>
      </c>
      <c r="C12767">
        <f>LOG10(1.003806)</f>
        <v>1.6497872407420064E-3</v>
      </c>
      <c r="D12767">
        <f>LOG10(3.602189)</f>
        <v>0.55656649568609862</v>
      </c>
    </row>
    <row r="12768" spans="1:4">
      <c r="A12768">
        <v>1.004999</v>
      </c>
      <c r="B12768">
        <v>3.5583450000000001</v>
      </c>
      <c r="C12768">
        <f>LOG10(1.004999)</f>
        <v>2.1656296224798347E-3</v>
      </c>
      <c r="D12768">
        <f>LOG10(3.558345)</f>
        <v>0.55124805289139889</v>
      </c>
    </row>
    <row r="12769" spans="1:4">
      <c r="A12769">
        <v>1.00502</v>
      </c>
      <c r="B12769">
        <v>3.7684929999999999</v>
      </c>
      <c r="C12769">
        <f>LOG10(1.00502)</f>
        <v>2.1747043467688302E-3</v>
      </c>
      <c r="D12769">
        <f>LOG10(3.768493)</f>
        <v>0.57616771290376267</v>
      </c>
    </row>
    <row r="12770" spans="1:4">
      <c r="A12770">
        <v>1.0021960000000001</v>
      </c>
      <c r="B12770">
        <v>3.8679290000000002</v>
      </c>
      <c r="C12770">
        <f>LOG10(1.002196)</f>
        <v>9.5266503847314806E-4</v>
      </c>
      <c r="D12770">
        <f>LOG10(3.867929)</f>
        <v>0.58747849354146631</v>
      </c>
    </row>
    <row r="12771" spans="1:4">
      <c r="A12771">
        <v>1.0041059999999999</v>
      </c>
      <c r="B12771">
        <v>3.7365240000000002</v>
      </c>
      <c r="C12771">
        <f>LOG10(1.004106)</f>
        <v>1.7795621965572394E-3</v>
      </c>
      <c r="D12771">
        <f>LOG10(3.736524)</f>
        <v>0.57246777611021038</v>
      </c>
    </row>
    <row r="12772" spans="1:4">
      <c r="A12772">
        <v>1.001147</v>
      </c>
      <c r="B12772">
        <v>3.6942270000000001</v>
      </c>
      <c r="C12772">
        <f>LOG10(1.001147)</f>
        <v>4.9785030814139715E-4</v>
      </c>
      <c r="D12772">
        <f>LOG10(3.694227)</f>
        <v>0.56752357811517207</v>
      </c>
    </row>
    <row r="12773" spans="1:4">
      <c r="A12773">
        <v>1.0045869999999999</v>
      </c>
      <c r="B12773">
        <v>3.569623</v>
      </c>
      <c r="C12773">
        <f>LOG10(1.004587)</f>
        <v>1.987553810794144E-3</v>
      </c>
      <c r="D12773">
        <f>LOG10(3.569623)</f>
        <v>0.55262235121993497</v>
      </c>
    </row>
    <row r="12774" spans="1:4">
      <c r="A12774">
        <v>1.001887</v>
      </c>
      <c r="B12774">
        <v>3.398571</v>
      </c>
      <c r="C12774">
        <f>LOG10(1.001887)</f>
        <v>8.1874144751251402E-4</v>
      </c>
      <c r="D12774">
        <f>LOG10(3.398571)</f>
        <v>0.53129634725699315</v>
      </c>
    </row>
    <row r="12775" spans="1:4">
      <c r="A12775">
        <v>1.004559</v>
      </c>
      <c r="B12775">
        <v>3.5765039999999999</v>
      </c>
      <c r="C12775">
        <f>LOG10(1.004559)</f>
        <v>1.9754489209613071E-3</v>
      </c>
      <c r="D12775">
        <f>LOG10(3.576504)</f>
        <v>0.55345871510027478</v>
      </c>
    </row>
    <row r="12776" spans="1:4">
      <c r="A12776">
        <v>1.003315</v>
      </c>
      <c r="B12776">
        <v>3.4568080000000001</v>
      </c>
      <c r="C12776">
        <f>LOG10(1.003315)</f>
        <v>1.4373051882218622E-3</v>
      </c>
      <c r="D12776">
        <f>LOG10(3.456808)</f>
        <v>0.53867525838065433</v>
      </c>
    </row>
    <row r="12777" spans="1:4">
      <c r="A12777">
        <v>1.0051319999999999</v>
      </c>
      <c r="B12777">
        <v>3.523873</v>
      </c>
      <c r="C12777">
        <f>LOG10(1.005132)</f>
        <v>2.2230996741106931E-3</v>
      </c>
      <c r="D12777">
        <f>LOG10(3.523873)</f>
        <v>0.54702024809611505</v>
      </c>
    </row>
    <row r="12778" spans="1:4">
      <c r="A12778">
        <v>1.0029079999999999</v>
      </c>
      <c r="B12778">
        <v>3.4125399999999999</v>
      </c>
      <c r="C12778">
        <f>LOG10(1.002908)</f>
        <v>1.2610956077719218E-3</v>
      </c>
      <c r="D12778">
        <f>LOG10(3.41254)</f>
        <v>0.53307775065026719</v>
      </c>
    </row>
    <row r="12779" spans="1:4">
      <c r="A12779">
        <v>1.005914</v>
      </c>
      <c r="B12779">
        <v>3.4697629999999999</v>
      </c>
      <c r="C12779">
        <f>LOG10(1.005914)</f>
        <v>2.5608525668499244E-3</v>
      </c>
      <c r="D12779">
        <f>LOG10(3.469763)</f>
        <v>0.54029981158991103</v>
      </c>
    </row>
    <row r="12780" spans="1:4">
      <c r="A12780">
        <v>1.0028980000000001</v>
      </c>
      <c r="B12780">
        <v>3.5848209999999998</v>
      </c>
      <c r="C12780">
        <f>LOG10(1.002898)</f>
        <v>1.2567652340279001E-3</v>
      </c>
      <c r="D12780">
        <f>LOG10(3.584821)</f>
        <v>0.55446747502387961</v>
      </c>
    </row>
    <row r="12781" spans="1:4">
      <c r="A12781">
        <v>1.005973</v>
      </c>
      <c r="B12781">
        <v>3.536527</v>
      </c>
      <c r="C12781">
        <f>LOG10(1.005973)</f>
        <v>2.5863245485662442E-3</v>
      </c>
      <c r="D12781">
        <f>LOG10(3.536527)</f>
        <v>0.54857697809957706</v>
      </c>
    </row>
    <row r="12782" spans="1:4">
      <c r="A12782">
        <v>1.001595</v>
      </c>
      <c r="B12782">
        <v>3.4551229999999999</v>
      </c>
      <c r="C12782">
        <f>LOG10(1.001595)</f>
        <v>6.9214785733934746E-4</v>
      </c>
      <c r="D12782">
        <f>LOG10(3.455123)</f>
        <v>0.53846351256996738</v>
      </c>
    </row>
    <row r="12783" spans="1:4">
      <c r="A12783">
        <v>1.0052080000000001</v>
      </c>
      <c r="B12783">
        <v>3.2931530000000002</v>
      </c>
      <c r="C12783">
        <f>LOG10(1.005208)</f>
        <v>2.2559362894498422E-3</v>
      </c>
      <c r="D12783">
        <f>LOG10(3.293153)</f>
        <v>0.51761190851699168</v>
      </c>
    </row>
    <row r="12784" spans="1:4">
      <c r="A12784">
        <v>1.0031220000000001</v>
      </c>
      <c r="B12784">
        <v>3.3513470000000001</v>
      </c>
      <c r="C12784">
        <f>LOG10(1.003122)</f>
        <v>1.3537552584051843E-3</v>
      </c>
      <c r="D12784">
        <f>LOG10(3.351347)</f>
        <v>0.52521939721252253</v>
      </c>
    </row>
    <row r="12785" spans="1:4">
      <c r="A12785">
        <v>1.0057769999999999</v>
      </c>
      <c r="B12785">
        <v>3.2736480000000001</v>
      </c>
      <c r="C12785">
        <f>LOG10(1.005777)</f>
        <v>2.5016999990721189E-3</v>
      </c>
      <c r="D12785">
        <f>LOG10(3.273648)</f>
        <v>0.51503197993966088</v>
      </c>
    </row>
    <row r="12786" spans="1:4">
      <c r="A12786">
        <v>1.0029239999999999</v>
      </c>
      <c r="B12786">
        <v>3.3815460000000002</v>
      </c>
      <c r="C12786">
        <f>LOG10(1.002924)</f>
        <v>1.268024115952673E-3</v>
      </c>
      <c r="D12786">
        <f>LOG10(3.381546)</f>
        <v>0.52911529961594894</v>
      </c>
    </row>
    <row r="12787" spans="1:4">
      <c r="A12787">
        <v>1.007139</v>
      </c>
      <c r="B12787">
        <v>3.3860809999999999</v>
      </c>
      <c r="C12787">
        <f>LOG10(1.007139)</f>
        <v>3.0894137184943049E-3</v>
      </c>
      <c r="D12787">
        <f>LOG10(3.386081)</f>
        <v>0.52969734285510128</v>
      </c>
    </row>
    <row r="12788" spans="1:4">
      <c r="A12788">
        <v>1.003325</v>
      </c>
      <c r="B12788">
        <v>3.4654189999999998</v>
      </c>
      <c r="C12788">
        <f>LOG10(1.003325)</f>
        <v>1.4416337621754333E-3</v>
      </c>
      <c r="D12788">
        <f>LOG10(3.465419)</f>
        <v>0.53975575219071581</v>
      </c>
    </row>
    <row r="12789" spans="1:4">
      <c r="A12789">
        <v>1.0072460000000001</v>
      </c>
      <c r="B12789">
        <v>3.4743179999999998</v>
      </c>
      <c r="C12789">
        <f>LOG10(1.007246)</f>
        <v>3.1355513829500938E-3</v>
      </c>
      <c r="D12789">
        <f>LOG10(3.474318)</f>
        <v>0.54086956636344985</v>
      </c>
    </row>
    <row r="12790" spans="1:4">
      <c r="A12790">
        <v>1.007406</v>
      </c>
      <c r="B12790">
        <v>3.3728570000000002</v>
      </c>
      <c r="C12790">
        <f>LOG10(1.007406)</f>
        <v>3.2045331398496322E-3</v>
      </c>
      <c r="D12790">
        <f>LOG10(3.372857)</f>
        <v>0.52799792866995554</v>
      </c>
    </row>
    <row r="12791" spans="1:4">
      <c r="A12791">
        <v>1.0084439999999999</v>
      </c>
      <c r="B12791">
        <v>3.4096329999999999</v>
      </c>
      <c r="C12791">
        <f>LOG10(1.008444)</f>
        <v>3.6517863700575369E-3</v>
      </c>
      <c r="D12791">
        <f>LOG10(3.409633)</f>
        <v>0.53270763569267132</v>
      </c>
    </row>
    <row r="12792" spans="1:4">
      <c r="A12792">
        <v>1.007636</v>
      </c>
      <c r="B12792">
        <v>3.5297230000000002</v>
      </c>
      <c r="C12792">
        <f>LOG10(1.007636)</f>
        <v>3.3036752235099391E-3</v>
      </c>
      <c r="D12792">
        <f>LOG10(3.529723)</f>
        <v>0.54774062485192931</v>
      </c>
    </row>
    <row r="12793" spans="1:4">
      <c r="A12793">
        <v>1.015962</v>
      </c>
      <c r="B12793">
        <v>3.4740679999999999</v>
      </c>
      <c r="C12793">
        <f>LOG10(1.015962)</f>
        <v>6.8774643465789355E-3</v>
      </c>
      <c r="D12793">
        <f>LOG10(3.474068)</f>
        <v>0.54083831489857082</v>
      </c>
    </row>
    <row r="12794" spans="1:4">
      <c r="A12794">
        <v>1.01393</v>
      </c>
      <c r="B12794">
        <v>3.423686</v>
      </c>
      <c r="C12794">
        <f>LOG10(1.01393)</f>
        <v>6.0079730810327801E-3</v>
      </c>
      <c r="D12794">
        <f>LOG10(3.423686)</f>
        <v>0.53449392693952669</v>
      </c>
    </row>
    <row r="12795" spans="1:4">
      <c r="A12795">
        <v>1.012089</v>
      </c>
      <c r="B12795">
        <v>3.524165</v>
      </c>
      <c r="C12795">
        <f>LOG10(1.012089)</f>
        <v>5.2187047067064722E-3</v>
      </c>
      <c r="D12795">
        <f>LOG10(3.524165)</f>
        <v>0.54705623371049117</v>
      </c>
    </row>
    <row r="12796" spans="1:4">
      <c r="A12796">
        <v>1.0201039999999999</v>
      </c>
      <c r="B12796">
        <v>3.5696020000000002</v>
      </c>
      <c r="C12796">
        <f>LOG10(1.020104)</f>
        <v>8.6444505106058837E-3</v>
      </c>
      <c r="D12796">
        <f>LOG10(3.569602)</f>
        <v>0.55261979626918889</v>
      </c>
    </row>
    <row r="12797" spans="1:4">
      <c r="A12797">
        <v>1.0115909999999999</v>
      </c>
      <c r="B12797">
        <v>3.5443259999999999</v>
      </c>
      <c r="C12797">
        <f>LOG10(1.011591)</f>
        <v>5.0049568252689891E-3</v>
      </c>
      <c r="D12797">
        <f>LOG10(3.544326)</f>
        <v>0.54953366058797548</v>
      </c>
    </row>
    <row r="12798" spans="1:4">
      <c r="A12798">
        <v>1.0137119999999999</v>
      </c>
      <c r="B12798">
        <v>3.4739439999999999</v>
      </c>
      <c r="C12798">
        <f>LOG10(1.013712)</f>
        <v>5.9145875648324575E-3</v>
      </c>
      <c r="D12798">
        <f>LOG10(3.473944)</f>
        <v>0.54082281333761728</v>
      </c>
    </row>
    <row r="12799" spans="1:4">
      <c r="A12799">
        <v>1.0173730000000001</v>
      </c>
      <c r="B12799">
        <v>3.5263680000000002</v>
      </c>
      <c r="C12799">
        <f>LOG10(1.017373)</f>
        <v>7.4802077335046355E-3</v>
      </c>
      <c r="D12799">
        <f>LOG10(3.526368)</f>
        <v>0.54732763185153066</v>
      </c>
    </row>
    <row r="12800" spans="1:4">
      <c r="A12800">
        <v>1.021377</v>
      </c>
      <c r="B12800">
        <v>3.540289</v>
      </c>
      <c r="C12800">
        <f>LOG10(1.021377)</f>
        <v>9.1860739174558313E-3</v>
      </c>
      <c r="D12800">
        <f>LOG10(3.540289)</f>
        <v>0.54903871569309992</v>
      </c>
    </row>
    <row r="12801" spans="1:4">
      <c r="A12801">
        <v>1.0262039999999999</v>
      </c>
      <c r="B12801">
        <v>3.5762930000000002</v>
      </c>
      <c r="C12801">
        <f>LOG10(1.026204)</f>
        <v>1.1233703141956033E-2</v>
      </c>
      <c r="D12801">
        <f>LOG10(3.576293)</f>
        <v>0.55343309263798257</v>
      </c>
    </row>
    <row r="12802" spans="1:4">
      <c r="A12802">
        <v>1.0245390000000001</v>
      </c>
      <c r="B12802">
        <v>3.5468890000000002</v>
      </c>
      <c r="C12802">
        <f>LOG10(1.024539)</f>
        <v>1.0528494862562625E-2</v>
      </c>
      <c r="D12802">
        <f>LOG10(3.546889)</f>
        <v>0.5498475974254815</v>
      </c>
    </row>
    <row r="12803" spans="1:4">
      <c r="A12803">
        <v>1.011843</v>
      </c>
      <c r="B12803">
        <v>3.4849679999999998</v>
      </c>
      <c r="C12803">
        <f>LOG10(1.011843)</f>
        <v>5.1131315520013777E-3</v>
      </c>
      <c r="D12803">
        <f>LOG10(3.484968)</f>
        <v>0.54219879463281562</v>
      </c>
    </row>
    <row r="12804" spans="1:4">
      <c r="A12804">
        <v>1.005371</v>
      </c>
      <c r="B12804">
        <v>3.5517850000000002</v>
      </c>
      <c r="C12804">
        <f>LOG10(1.005371)</f>
        <v>2.3263538166450252E-3</v>
      </c>
      <c r="D12804">
        <f>LOG10(3.551785)</f>
        <v>0.55044666877896409</v>
      </c>
    </row>
    <row r="12805" spans="1:4">
      <c r="A12805">
        <v>1.436785</v>
      </c>
      <c r="B12805">
        <v>3.570176</v>
      </c>
      <c r="C12805">
        <f>LOG10(1.436785)</f>
        <v>0.15739178532320575</v>
      </c>
      <c r="D12805">
        <f>LOG10(3.570176)</f>
        <v>0.55268962618074902</v>
      </c>
    </row>
    <row r="12806" spans="1:4">
      <c r="A12806">
        <v>1.0217339999999999</v>
      </c>
      <c r="B12806">
        <v>3.6010849999999999</v>
      </c>
      <c r="C12806">
        <f>LOG10(1.021734)</f>
        <v>9.3378455359507152E-3</v>
      </c>
      <c r="D12806">
        <f>LOG10(3.601085)</f>
        <v>0.55643337257797432</v>
      </c>
    </row>
    <row r="12807" spans="1:4">
      <c r="A12807">
        <v>1.0166109999999999</v>
      </c>
      <c r="B12807">
        <v>3.6563629999999998</v>
      </c>
      <c r="C12807">
        <f>LOG10(1.016611)</f>
        <v>7.1548045733101076E-3</v>
      </c>
      <c r="D12807">
        <f>LOG10(3.656363)</f>
        <v>0.56304930551667909</v>
      </c>
    </row>
    <row r="12808" spans="1:4">
      <c r="A12808">
        <v>1.009388</v>
      </c>
      <c r="B12808">
        <v>3.50712</v>
      </c>
      <c r="C12808">
        <f>LOG10(1.009388)</f>
        <v>4.0581373654091715E-3</v>
      </c>
      <c r="D12808">
        <f>LOG10(3.50712)</f>
        <v>0.54495062600303834</v>
      </c>
    </row>
    <row r="12809" spans="1:4">
      <c r="A12809">
        <v>1.0774900000000001</v>
      </c>
      <c r="B12809">
        <v>3.4213209999999998</v>
      </c>
      <c r="C12809">
        <f>LOG10(1.07749)</f>
        <v>3.2413248238827672E-2</v>
      </c>
      <c r="D12809">
        <f>LOG10(3.421321)</f>
        <v>0.53419382308555785</v>
      </c>
    </row>
    <row r="12810" spans="1:4">
      <c r="A12810">
        <v>1.0089680000000001</v>
      </c>
      <c r="B12810">
        <v>3.3572799999999998</v>
      </c>
      <c r="C12810">
        <f>LOG10(1.008968)</f>
        <v>3.8773925562356733E-3</v>
      </c>
      <c r="D12810">
        <f>LOG10(3.35728)</f>
        <v>0.52598756328671303</v>
      </c>
    </row>
    <row r="12811" spans="1:4">
      <c r="A12811">
        <v>1.014667</v>
      </c>
      <c r="B12811">
        <v>3.331836</v>
      </c>
      <c r="C12811">
        <f>LOG10(1.014667)</f>
        <v>6.3235360511495692E-3</v>
      </c>
      <c r="D12811">
        <f>LOG10(3.331836)</f>
        <v>0.52268361636983152</v>
      </c>
    </row>
    <row r="12812" spans="1:4">
      <c r="A12812">
        <v>1.0210399999999999</v>
      </c>
      <c r="B12812">
        <v>3.386104</v>
      </c>
      <c r="C12812">
        <f>LOG10(1.02104)</f>
        <v>9.0427562289234591E-3</v>
      </c>
      <c r="D12812">
        <f>LOG10(3.386104)</f>
        <v>0.52970029279609787</v>
      </c>
    </row>
    <row r="12813" spans="1:4">
      <c r="A12813">
        <v>1.02532</v>
      </c>
      <c r="B12813">
        <v>3.4648690000000002</v>
      </c>
      <c r="C12813">
        <f>LOG10(1.02532)</f>
        <v>1.0859428850489267E-2</v>
      </c>
      <c r="D12813">
        <f>LOG10(3.464869)</f>
        <v>0.53968681942326135</v>
      </c>
    </row>
    <row r="12814" spans="1:4">
      <c r="A12814">
        <v>1.0198179999999999</v>
      </c>
      <c r="B12814">
        <v>3.3321710000000002</v>
      </c>
      <c r="C12814">
        <f>LOG10(1.019818)</f>
        <v>8.5226730871179601E-3</v>
      </c>
      <c r="D12814">
        <f>LOG10(3.332171)</f>
        <v>0.52272728038505845</v>
      </c>
    </row>
    <row r="12815" spans="1:4">
      <c r="A12815">
        <v>1.011474</v>
      </c>
      <c r="B12815">
        <v>3.4480529999999998</v>
      </c>
      <c r="C12815">
        <f>LOG10(1.011474)</f>
        <v>4.9547236845253187E-3</v>
      </c>
      <c r="D12815">
        <f>LOG10(3.448053)</f>
        <v>0.53757393274160736</v>
      </c>
    </row>
    <row r="12816" spans="1:4">
      <c r="A12816">
        <v>1.0165470000000001</v>
      </c>
      <c r="B12816">
        <v>3.5319370000000001</v>
      </c>
      <c r="C12816">
        <f>LOG10(1.016547)</f>
        <v>7.1274630220377324E-3</v>
      </c>
      <c r="D12816">
        <f>LOG10(3.531937)</f>
        <v>0.54801294836069048</v>
      </c>
    </row>
    <row r="12817" spans="1:4">
      <c r="A12817">
        <v>1.032465</v>
      </c>
      <c r="B12817">
        <v>3.5380549999999999</v>
      </c>
      <c r="C12817">
        <f>LOG10(1.032465)</f>
        <v>1.3875338232065972E-2</v>
      </c>
      <c r="D12817">
        <f>LOG10(3.538055)</f>
        <v>0.54876457984867466</v>
      </c>
    </row>
    <row r="12818" spans="1:4">
      <c r="A12818">
        <v>1.0289630000000001</v>
      </c>
      <c r="B12818">
        <v>3.6035729999999999</v>
      </c>
      <c r="C12818">
        <f>LOG10(1.028963)</f>
        <v>1.239975845073819E-2</v>
      </c>
      <c r="D12818">
        <f>LOG10(3.603573)</f>
        <v>0.55673332427975608</v>
      </c>
    </row>
    <row r="12819" spans="1:4">
      <c r="A12819">
        <v>1.060481</v>
      </c>
      <c r="B12819">
        <v>3.4889510000000001</v>
      </c>
      <c r="C12819">
        <f>LOG10(1.060481)</f>
        <v>2.5502891929360328E-2</v>
      </c>
      <c r="D12819">
        <f>LOG10(3.488951)</f>
        <v>0.54269487011333095</v>
      </c>
    </row>
    <row r="12820" spans="1:4">
      <c r="A12820">
        <v>1.032861</v>
      </c>
      <c r="B12820">
        <v>3.5529799999999998</v>
      </c>
      <c r="C12820">
        <f>LOG10(1.032861)</f>
        <v>1.4041879123858583E-2</v>
      </c>
      <c r="D12820">
        <f>LOG10(3.55298)</f>
        <v>0.5505927628188847</v>
      </c>
    </row>
    <row r="12821" spans="1:4">
      <c r="A12821">
        <v>1.024292</v>
      </c>
      <c r="B12821">
        <v>3.6251289999999998</v>
      </c>
      <c r="C12821">
        <f>LOG10(1.024292)</f>
        <v>1.042378077189352E-2</v>
      </c>
      <c r="D12821">
        <f>LOG10(3.625129)</f>
        <v>0.55932346552531553</v>
      </c>
    </row>
    <row r="12822" spans="1:4">
      <c r="A12822">
        <v>1.022831</v>
      </c>
      <c r="B12822">
        <v>3.4712170000000002</v>
      </c>
      <c r="C12822">
        <f>LOG10(1.022831)</f>
        <v>9.8038821670827989E-3</v>
      </c>
      <c r="D12822">
        <f>LOG10(3.471217)</f>
        <v>0.54048176404789949</v>
      </c>
    </row>
    <row r="12823" spans="1:4">
      <c r="A12823">
        <v>1.0175240000000001</v>
      </c>
      <c r="B12823">
        <v>3.4410959999999999</v>
      </c>
      <c r="C12823">
        <f>LOG10(1.017524)</f>
        <v>7.5446615774955239E-3</v>
      </c>
      <c r="D12823">
        <f>LOG10(3.441096)</f>
        <v>0.53669678877573679</v>
      </c>
    </row>
    <row r="12824" spans="1:4">
      <c r="A12824">
        <v>1.0146850000000001</v>
      </c>
      <c r="B12824">
        <v>3.4890119999999998</v>
      </c>
      <c r="C12824">
        <f>LOG10(1.014685)</f>
        <v>6.3312402844954803E-3</v>
      </c>
      <c r="D12824">
        <f>LOG10(3.489012)</f>
        <v>0.54270246314969317</v>
      </c>
    </row>
    <row r="12825" spans="1:4">
      <c r="A12825">
        <v>1.012664</v>
      </c>
      <c r="B12825">
        <v>3.5251260000000002</v>
      </c>
      <c r="C12825">
        <f>LOG10(1.012664)</f>
        <v>5.4653711729939231E-3</v>
      </c>
      <c r="D12825">
        <f>LOG10(3.525126)</f>
        <v>0.54717464476763</v>
      </c>
    </row>
    <row r="12826" spans="1:4">
      <c r="A12826">
        <v>1.046208</v>
      </c>
      <c r="B12826">
        <v>3.5913900000000001</v>
      </c>
      <c r="C12826">
        <f>LOG10(1.046208)</f>
        <v>1.9618036607658446E-2</v>
      </c>
      <c r="D12826">
        <f>LOG10(3.59139)</f>
        <v>0.55526256905008975</v>
      </c>
    </row>
    <row r="12827" spans="1:4">
      <c r="A12827">
        <v>1.030219</v>
      </c>
      <c r="B12827">
        <v>3.6149450000000001</v>
      </c>
      <c r="C12827">
        <f>LOG10(1.030219)</f>
        <v>1.2929555172850686E-2</v>
      </c>
      <c r="D12827">
        <f>LOG10(3.614945)</f>
        <v>0.55810169405704657</v>
      </c>
    </row>
    <row r="12828" spans="1:4">
      <c r="A12828">
        <v>1.020132</v>
      </c>
      <c r="B12828">
        <v>3.4909780000000001</v>
      </c>
      <c r="C12828">
        <f>LOG10(1.020132)</f>
        <v>8.6563709408836696E-3</v>
      </c>
      <c r="D12828">
        <f>LOG10(3.490978)</f>
        <v>0.542947111916812</v>
      </c>
    </row>
    <row r="12829" spans="1:4">
      <c r="A12829">
        <v>1.009031</v>
      </c>
      <c r="B12829">
        <v>3.4912260000000002</v>
      </c>
      <c r="C12829">
        <f>LOG10(1.009031)</f>
        <v>3.9045090735072485E-3</v>
      </c>
      <c r="D12829">
        <f>LOG10(3.491226)</f>
        <v>0.54297796321578784</v>
      </c>
    </row>
    <row r="12830" spans="1:4">
      <c r="A12830">
        <v>1.0104960000000001</v>
      </c>
      <c r="B12830">
        <v>3.3994149999999999</v>
      </c>
      <c r="C12830">
        <f>LOG10(1.010496)</f>
        <v>4.5345987208271496E-3</v>
      </c>
      <c r="D12830">
        <f>LOG10(3.399415)</f>
        <v>0.53140418641541731</v>
      </c>
    </row>
    <row r="12831" spans="1:4">
      <c r="A12831">
        <v>1.0093639999999999</v>
      </c>
      <c r="B12831">
        <v>3.263045</v>
      </c>
      <c r="C12831">
        <f>LOG10(1.009364)</f>
        <v>4.0478111167504159E-3</v>
      </c>
      <c r="D12831">
        <f>LOG10(3.263045)</f>
        <v>0.51362306309738348</v>
      </c>
    </row>
    <row r="12832" spans="1:4">
      <c r="A12832">
        <v>1.015468</v>
      </c>
      <c r="B12832">
        <v>3.173546</v>
      </c>
      <c r="C12832">
        <f>LOG10(1.015468)</f>
        <v>6.6662422239468699E-3</v>
      </c>
      <c r="D12832">
        <f>LOG10(3.173546)</f>
        <v>0.50154479771894689</v>
      </c>
    </row>
    <row r="12833" spans="1:4">
      <c r="A12833">
        <v>1.019676</v>
      </c>
      <c r="B12833">
        <v>3.1028289999999998</v>
      </c>
      <c r="C12833">
        <f>LOG10(1.019676)</f>
        <v>8.462197482355353E-3</v>
      </c>
      <c r="D12833">
        <f>LOG10(3.102829)</f>
        <v>0.49175784184173604</v>
      </c>
    </row>
    <row r="12834" spans="1:4">
      <c r="A12834">
        <v>1.011638</v>
      </c>
      <c r="B12834">
        <v>3.1322420000000002</v>
      </c>
      <c r="C12834">
        <f>LOG10(1.011638)</f>
        <v>5.0251343144738008E-3</v>
      </c>
      <c r="D12834">
        <f>LOG10(3.132242)</f>
        <v>0.49585530868746436</v>
      </c>
    </row>
    <row r="12835" spans="1:4">
      <c r="A12835">
        <v>1.0039659999999999</v>
      </c>
      <c r="B12835">
        <v>3.0152359999999998</v>
      </c>
      <c r="C12835">
        <f>LOG10(1.003966)</f>
        <v>1.7190053763187422E-3</v>
      </c>
      <c r="D12835">
        <f>LOG10(3.015236)</f>
        <v>0.47932130967238379</v>
      </c>
    </row>
    <row r="12836" spans="1:4">
      <c r="A12836">
        <v>1.0030220000000001</v>
      </c>
      <c r="B12836">
        <v>3.1922109999999999</v>
      </c>
      <c r="C12836">
        <f>LOG10(1.003022)</f>
        <v>1.3104588168473597E-3</v>
      </c>
      <c r="D12836">
        <f>LOG10(3.192211)</f>
        <v>0.5040915897924495</v>
      </c>
    </row>
    <row r="12837" spans="1:4">
      <c r="A12837">
        <v>1.0031350000000001</v>
      </c>
      <c r="B12837">
        <v>3.0653959999999998</v>
      </c>
      <c r="C12837">
        <f>LOG10(1.003135)</f>
        <v>1.3593834787825726E-3</v>
      </c>
      <c r="D12837">
        <f>LOG10(3.065396)</f>
        <v>0.4864865863604001</v>
      </c>
    </row>
    <row r="12838" spans="1:4">
      <c r="A12838">
        <v>1.0090840000000001</v>
      </c>
      <c r="B12838">
        <v>3.0466989999999998</v>
      </c>
      <c r="C12838">
        <f>LOG10(1.009084)</f>
        <v>3.927320070448651E-3</v>
      </c>
      <c r="D12838">
        <f>LOG10(3.046699)</f>
        <v>0.48382955002305389</v>
      </c>
    </row>
    <row r="12839" spans="1:4">
      <c r="A12839">
        <v>1.026985</v>
      </c>
      <c r="B12839">
        <v>3.0618189999999998</v>
      </c>
      <c r="C12839">
        <f>LOG10(1.026985)</f>
        <v>1.1564100398833566E-2</v>
      </c>
      <c r="D12839">
        <f>LOG10(3.061819)</f>
        <v>0.48597951372193476</v>
      </c>
    </row>
    <row r="12840" spans="1:4">
      <c r="A12840">
        <v>1.0017160000000001</v>
      </c>
      <c r="B12840">
        <v>3.136946</v>
      </c>
      <c r="C12840">
        <f>LOG10(1.001716)</f>
        <v>7.4461063758087063E-4</v>
      </c>
      <c r="D12840">
        <f>LOG10(3.136946)</f>
        <v>0.49650704273221286</v>
      </c>
    </row>
    <row r="12841" spans="1:4">
      <c r="A12841">
        <v>1.0070859999999999</v>
      </c>
      <c r="B12841">
        <v>3.179748</v>
      </c>
      <c r="C12841">
        <f>LOG10(1.007086)</f>
        <v>3.0665586674982945E-3</v>
      </c>
      <c r="D12841">
        <f>LOG10(3.179748)</f>
        <v>0.50239270283158421</v>
      </c>
    </row>
    <row r="12842" spans="1:4">
      <c r="A12842">
        <v>1.006691</v>
      </c>
      <c r="B12842">
        <v>3.2544059999999999</v>
      </c>
      <c r="C12842">
        <f>LOG10(1.006691)</f>
        <v>2.8961859573602838E-3</v>
      </c>
      <c r="D12842">
        <f>LOG10(3.254406)</f>
        <v>0.51247173193232898</v>
      </c>
    </row>
    <row r="12843" spans="1:4">
      <c r="A12843">
        <v>1.005806</v>
      </c>
      <c r="B12843">
        <v>3.2162250000000001</v>
      </c>
      <c r="C12843">
        <f>LOG10(1.005806)</f>
        <v>2.5142220177768815E-3</v>
      </c>
      <c r="D12843">
        <f>LOG10(3.216225)</f>
        <v>0.50734642342229108</v>
      </c>
    </row>
    <row r="12844" spans="1:4">
      <c r="A12844">
        <v>1.0026409999999999</v>
      </c>
      <c r="B12844">
        <v>3.1728200000000002</v>
      </c>
      <c r="C12844">
        <f>LOG10(1.002641)</f>
        <v>1.1454598119342351E-3</v>
      </c>
      <c r="D12844">
        <f>LOG10(3.17282)</f>
        <v>0.50144543446279777</v>
      </c>
    </row>
    <row r="12845" spans="1:4">
      <c r="A12845">
        <v>1.010891</v>
      </c>
      <c r="B12845">
        <v>3.144717</v>
      </c>
      <c r="C12845">
        <f>LOG10(1.010891)</f>
        <v>4.7043300216965652E-3</v>
      </c>
      <c r="D12845">
        <f>LOG10(3.144717)</f>
        <v>0.49758156842406243</v>
      </c>
    </row>
    <row r="12846" spans="1:4">
      <c r="A12846">
        <v>1.0067459999999999</v>
      </c>
      <c r="B12846">
        <v>3.274419</v>
      </c>
      <c r="C12846">
        <f>LOG10(1.006746)</f>
        <v>2.9199127454451195E-3</v>
      </c>
      <c r="D12846">
        <f>LOG10(3.274419)</f>
        <v>0.51513425166262727</v>
      </c>
    </row>
    <row r="12847" spans="1:4">
      <c r="A12847">
        <v>1.005798</v>
      </c>
      <c r="B12847">
        <v>3.1831999999999998</v>
      </c>
      <c r="C12847">
        <f>LOG10(1.005798)</f>
        <v>2.5107677038510318E-3</v>
      </c>
      <c r="D12847">
        <f>LOG10(3.1832)</f>
        <v>0.50286392613833186</v>
      </c>
    </row>
    <row r="12848" spans="1:4">
      <c r="A12848">
        <v>1.003379</v>
      </c>
      <c r="B12848">
        <v>3.3258519999999998</v>
      </c>
      <c r="C12848">
        <f>LOG10(1.003379)</f>
        <v>1.4650073160512771E-3</v>
      </c>
      <c r="D12848">
        <f>LOG10(3.325852)</f>
        <v>0.52190291926310706</v>
      </c>
    </row>
    <row r="12849" spans="1:4">
      <c r="A12849">
        <v>1.0098910000000001</v>
      </c>
      <c r="B12849">
        <v>3.3252640000000002</v>
      </c>
      <c r="C12849">
        <f>LOG10(1.009891)</f>
        <v>4.2745018488863831E-3</v>
      </c>
      <c r="D12849">
        <f>LOG10(3.325264)</f>
        <v>0.52182613059906202</v>
      </c>
    </row>
    <row r="12850" spans="1:4">
      <c r="A12850">
        <v>1.004928</v>
      </c>
      <c r="B12850">
        <v>3.358479</v>
      </c>
      <c r="C12850">
        <f>LOG10(1.004928)</f>
        <v>2.1349470074117976E-3</v>
      </c>
      <c r="D12850">
        <f>LOG10(3.358479)</f>
        <v>0.52614263707340936</v>
      </c>
    </row>
    <row r="12851" spans="1:4">
      <c r="A12851">
        <v>1.0034369999999999</v>
      </c>
      <c r="B12851">
        <v>3.1487470000000002</v>
      </c>
      <c r="C12851">
        <f>LOG10(1.003437)</f>
        <v>1.4901108431881495E-3</v>
      </c>
      <c r="D12851">
        <f>LOG10(3.148747)</f>
        <v>0.49813776672798243</v>
      </c>
    </row>
    <row r="12852" spans="1:4">
      <c r="A12852">
        <v>1.00231</v>
      </c>
      <c r="B12852">
        <v>3.5065430000000002</v>
      </c>
      <c r="C12852">
        <f>LOG10(1.00231)</f>
        <v>1.0020633151461298E-3</v>
      </c>
      <c r="D12852">
        <f>LOG10(3.506543)</f>
        <v>0.54487916892943122</v>
      </c>
    </row>
    <row r="12853" spans="1:4">
      <c r="A12853">
        <v>1.0046139999999999</v>
      </c>
      <c r="B12853">
        <v>3.3023699999999998</v>
      </c>
      <c r="C12853">
        <f>LOG10(1.004614)</f>
        <v>1.999226063607171E-3</v>
      </c>
      <c r="D12853">
        <f>LOG10(3.30237)</f>
        <v>0.51882573033080648</v>
      </c>
    </row>
    <row r="12854" spans="1:4">
      <c r="A12854">
        <v>1.003171</v>
      </c>
      <c r="B12854">
        <v>3.2507229999999998</v>
      </c>
      <c r="C12854">
        <f>LOG10(1.003171)</f>
        <v>1.3749689391761143E-3</v>
      </c>
      <c r="D12854">
        <f>LOG10(3.250723)</f>
        <v>0.51197996405262802</v>
      </c>
    </row>
    <row r="12855" spans="1:4">
      <c r="A12855">
        <v>1.001447</v>
      </c>
      <c r="B12855">
        <v>3.2378520000000002</v>
      </c>
      <c r="C12855">
        <f>LOG10(1.001447)</f>
        <v>6.2796988859114785E-4</v>
      </c>
      <c r="D12855">
        <f>LOG10(3.237852)</f>
        <v>0.51025699356735621</v>
      </c>
    </row>
    <row r="12856" spans="1:4">
      <c r="A12856">
        <v>1.00142</v>
      </c>
      <c r="B12856">
        <v>3.3478059999999998</v>
      </c>
      <c r="C12856">
        <f>LOG10(1.00142)</f>
        <v>6.1626072266840026E-4</v>
      </c>
      <c r="D12856">
        <f>LOG10(3.347806)</f>
        <v>0.52476028338018021</v>
      </c>
    </row>
    <row r="12857" spans="1:4">
      <c r="A12857">
        <v>1.0128600000000001</v>
      </c>
      <c r="B12857">
        <v>3.2375829999999999</v>
      </c>
      <c r="C12857">
        <f>LOG10(1.01286)</f>
        <v>5.5494202572987771E-3</v>
      </c>
      <c r="D12857">
        <f>LOG10(3.237583)</f>
        <v>0.51022091098272704</v>
      </c>
    </row>
    <row r="12858" spans="1:4">
      <c r="A12858">
        <v>1.0093700000000001</v>
      </c>
      <c r="B12858">
        <v>3.3023380000000002</v>
      </c>
      <c r="C12858">
        <f>LOG10(1.00937)</f>
        <v>4.0503927019335086E-3</v>
      </c>
      <c r="D12858">
        <f>LOG10(3.302338)</f>
        <v>0.51882152199232401</v>
      </c>
    </row>
    <row r="12859" spans="1:4">
      <c r="A12859">
        <v>1.001946</v>
      </c>
      <c r="B12859">
        <v>3.2412139999999998</v>
      </c>
      <c r="C12859">
        <f>LOG10(1.001946)</f>
        <v>8.4431580868902915E-4</v>
      </c>
      <c r="D12859">
        <f>LOG10(3.241214)</f>
        <v>0.51070770611734628</v>
      </c>
    </row>
    <row r="12860" spans="1:4">
      <c r="A12860">
        <v>1.003806</v>
      </c>
      <c r="B12860">
        <v>3.2938519999999998</v>
      </c>
      <c r="C12860">
        <f>LOG10(1.003806)</f>
        <v>1.6497872407420064E-3</v>
      </c>
      <c r="D12860">
        <f>LOG10(3.293852)</f>
        <v>0.51770408146782121</v>
      </c>
    </row>
    <row r="12861" spans="1:4">
      <c r="A12861">
        <v>1.02328</v>
      </c>
      <c r="B12861">
        <v>3.5488089999999999</v>
      </c>
      <c r="C12861">
        <f>LOG10(1.02328)</f>
        <v>9.994485927587015E-3</v>
      </c>
      <c r="D12861">
        <f>LOG10(3.548809)</f>
        <v>0.55008262586823786</v>
      </c>
    </row>
    <row r="12862" spans="1:4">
      <c r="A12862">
        <v>1.0082880000000001</v>
      </c>
      <c r="B12862">
        <v>3.2959450000000001</v>
      </c>
      <c r="C12862">
        <f>LOG10(1.008288)</f>
        <v>3.5845985242634929E-3</v>
      </c>
      <c r="D12862">
        <f>LOG10(3.295945)</f>
        <v>0.51797995593897384</v>
      </c>
    </row>
    <row r="12863" spans="1:4">
      <c r="A12863">
        <v>1.0065329999999999</v>
      </c>
      <c r="B12863">
        <v>3.246324</v>
      </c>
      <c r="C12863">
        <f>LOG10(1.006533)</f>
        <v>2.8280181545905585E-3</v>
      </c>
      <c r="D12863">
        <f>LOG10(3.246324)</f>
        <v>0.51139186249885082</v>
      </c>
    </row>
    <row r="12864" spans="1:4">
      <c r="A12864">
        <v>1.0075989999999999</v>
      </c>
      <c r="B12864">
        <v>3.3876110000000001</v>
      </c>
      <c r="C12864">
        <f>LOG10(1.007599)</f>
        <v>3.2877278071220201E-3</v>
      </c>
      <c r="D12864">
        <f>LOG10(3.387611)</f>
        <v>0.52989353440576892</v>
      </c>
    </row>
    <row r="12865" spans="1:4">
      <c r="A12865">
        <v>1.0181480000000001</v>
      </c>
      <c r="B12865">
        <v>3.2304710000000001</v>
      </c>
      <c r="C12865">
        <f>LOG10(1.018148)</f>
        <v>7.8109124913908175E-3</v>
      </c>
      <c r="D12865">
        <f>LOG10(3.230471)</f>
        <v>0.50926584672381014</v>
      </c>
    </row>
    <row r="12866" spans="1:4">
      <c r="A12866">
        <v>1.0046850000000001</v>
      </c>
      <c r="B12866">
        <v>3.5728409999999999</v>
      </c>
      <c r="C12866">
        <f>LOG10(1.004685)</f>
        <v>2.0299182684288841E-3</v>
      </c>
      <c r="D12866">
        <f>LOG10(3.572841)</f>
        <v>0.55301368948564511</v>
      </c>
    </row>
    <row r="12867" spans="1:4">
      <c r="A12867">
        <v>1.0031190000000001</v>
      </c>
      <c r="B12867">
        <v>3.5603479999999998</v>
      </c>
      <c r="C12867">
        <f>LOG10(1.003119)</f>
        <v>1.352456427959889E-3</v>
      </c>
      <c r="D12867">
        <f>LOG10(3.560348)</f>
        <v>0.55149244940357001</v>
      </c>
    </row>
    <row r="12868" spans="1:4">
      <c r="A12868">
        <v>1.0139389999999999</v>
      </c>
      <c r="B12868">
        <v>3.7720959999999999</v>
      </c>
      <c r="C12868">
        <f>LOG10(1.013939)</f>
        <v>6.0118280147953874E-3</v>
      </c>
      <c r="D12868">
        <f>LOG10(3.772096)</f>
        <v>0.57658273701855778</v>
      </c>
    </row>
    <row r="12869" spans="1:4">
      <c r="A12869">
        <v>1.0149969999999999</v>
      </c>
      <c r="B12869">
        <v>3.4872890000000001</v>
      </c>
      <c r="C12869">
        <f>LOG10(1.014997)</f>
        <v>6.4647586183241481E-3</v>
      </c>
      <c r="D12869">
        <f>LOG10(3.487289)</f>
        <v>0.54248793989230093</v>
      </c>
    </row>
    <row r="12870" spans="1:4">
      <c r="A12870">
        <v>1.0118240000000001</v>
      </c>
      <c r="B12870">
        <v>3.4476</v>
      </c>
      <c r="C12870">
        <f>LOG10(1.011824)</f>
        <v>5.1049764601246994E-3</v>
      </c>
      <c r="D12870">
        <f>LOG10(3.4476)</f>
        <v>0.53751687203957232</v>
      </c>
    </row>
    <row r="12871" spans="1:4">
      <c r="A12871">
        <v>1.010089</v>
      </c>
      <c r="B12871">
        <v>3.4523950000000001</v>
      </c>
      <c r="C12871">
        <f>LOG10(1.010089)</f>
        <v>4.3596416103614567E-3</v>
      </c>
      <c r="D12871">
        <f>LOG10(3.452395)</f>
        <v>0.5381204789627505</v>
      </c>
    </row>
    <row r="12872" spans="1:4">
      <c r="A12872">
        <v>1.0153099999999999</v>
      </c>
      <c r="B12872">
        <v>3.4203399999999999</v>
      </c>
      <c r="C12872">
        <f>LOG10(1.01531)</f>
        <v>6.5986636621550706E-3</v>
      </c>
      <c r="D12872">
        <f>LOG10(3.42034)</f>
        <v>0.53406927938493698</v>
      </c>
    </row>
    <row r="12873" spans="1:4">
      <c r="A12873">
        <v>1.0155339999999999</v>
      </c>
      <c r="B12873">
        <v>3.6166990000000001</v>
      </c>
      <c r="C12873">
        <f>LOG10(1.015534)</f>
        <v>6.6944681299929108E-3</v>
      </c>
      <c r="D12873">
        <f>LOG10(3.616699)</f>
        <v>0.55831236608022583</v>
      </c>
    </row>
    <row r="12874" spans="1:4">
      <c r="A12874">
        <v>1.012529</v>
      </c>
      <c r="B12874">
        <v>3.7079569999999999</v>
      </c>
      <c r="C12874">
        <f>LOG10(1.012529)</f>
        <v>5.4074707603974153E-3</v>
      </c>
      <c r="D12874">
        <f>LOG10(3.707957)</f>
        <v>0.56913468912644993</v>
      </c>
    </row>
    <row r="12875" spans="1:4">
      <c r="A12875">
        <v>1.0126299999999999</v>
      </c>
      <c r="B12875">
        <v>3.6445439999999998</v>
      </c>
      <c r="C12875">
        <f>LOG10(1.01263)</f>
        <v>5.4507895740891349E-3</v>
      </c>
      <c r="D12875">
        <f>LOG10(3.644544)</f>
        <v>0.56164319776445681</v>
      </c>
    </row>
    <row r="12876" spans="1:4">
      <c r="A12876">
        <v>1.0082599999999999</v>
      </c>
      <c r="B12876">
        <v>3.325971</v>
      </c>
      <c r="C12876">
        <f>LOG10(1.00826)</f>
        <v>3.5725380669928176E-3</v>
      </c>
      <c r="D12876">
        <f>LOG10(3.325971)</f>
        <v>0.5219184581742754</v>
      </c>
    </row>
    <row r="12877" spans="1:4">
      <c r="A12877">
        <v>1.0056719999999999</v>
      </c>
      <c r="B12877">
        <v>3.670207</v>
      </c>
      <c r="C12877">
        <f>LOG10(1.005672)</f>
        <v>2.4563586350690829E-3</v>
      </c>
      <c r="D12877">
        <f>LOG10(3.670207)</f>
        <v>0.56469055919011435</v>
      </c>
    </row>
    <row r="12878" spans="1:4">
      <c r="A12878">
        <v>1.001452</v>
      </c>
      <c r="B12878">
        <v>3.7150530000000002</v>
      </c>
      <c r="C12878">
        <f>LOG10(1.001452)</f>
        <v>6.3013821800719425E-4</v>
      </c>
      <c r="D12878">
        <f>LOG10(3.715053)</f>
        <v>0.56996501390907117</v>
      </c>
    </row>
    <row r="12879" spans="1:4">
      <c r="A12879">
        <v>1.0012970000000001</v>
      </c>
      <c r="B12879">
        <v>3.4278379999999999</v>
      </c>
      <c r="C12879">
        <f>LOG10(1.001297)</f>
        <v>5.629149715301123E-4</v>
      </c>
      <c r="D12879">
        <f>LOG10(3.427838)</f>
        <v>0.53502028893127973</v>
      </c>
    </row>
    <row r="12880" spans="1:4">
      <c r="A12880">
        <v>1.009306</v>
      </c>
      <c r="B12880">
        <v>3.6511740000000001</v>
      </c>
      <c r="C12880">
        <f>LOG10(1.009306)</f>
        <v>4.0228550021231884E-3</v>
      </c>
      <c r="D12880">
        <f>LOG10(3.651174)</f>
        <v>0.56243253013932204</v>
      </c>
    </row>
    <row r="12881" spans="1:4">
      <c r="A12881">
        <v>1.008194</v>
      </c>
      <c r="B12881">
        <v>3.3648859999999998</v>
      </c>
      <c r="C12881">
        <f>LOG10(1.008194)</f>
        <v>3.5441085210514704E-3</v>
      </c>
      <c r="D12881">
        <f>LOG10(3.364886)</f>
        <v>0.52697035521390279</v>
      </c>
    </row>
    <row r="12882" spans="1:4">
      <c r="A12882">
        <v>1.0050520000000001</v>
      </c>
      <c r="B12882">
        <v>3.4326460000000001</v>
      </c>
      <c r="C12882">
        <f>LOG10(1.005052)</f>
        <v>2.1885321334571598E-3</v>
      </c>
      <c r="D12882">
        <f>LOG10(3.432646)</f>
        <v>0.53562901805617824</v>
      </c>
    </row>
    <row r="12883" spans="1:4">
      <c r="A12883">
        <v>1.0220590000000001</v>
      </c>
      <c r="B12883">
        <v>3.5435310000000002</v>
      </c>
      <c r="C12883">
        <f>LOG10(1.022059)</f>
        <v>9.4759668699687088E-3</v>
      </c>
      <c r="D12883">
        <f>LOG10(3.543531)</f>
        <v>0.54943623646822792</v>
      </c>
    </row>
    <row r="12884" spans="1:4">
      <c r="A12884">
        <v>1.031377</v>
      </c>
      <c r="B12884">
        <v>3.4818310000000001</v>
      </c>
      <c r="C12884">
        <f>LOG10(1.031377)</f>
        <v>1.3417442288400921E-2</v>
      </c>
      <c r="D12884">
        <f>LOG10(3.481831)</f>
        <v>0.54180768764614784</v>
      </c>
    </row>
    <row r="12885" spans="1:4">
      <c r="A12885">
        <v>1.02121</v>
      </c>
      <c r="B12885">
        <v>3.4217930000000001</v>
      </c>
      <c r="C12885">
        <f>LOG10(1.02121)</f>
        <v>9.1150588971512288E-3</v>
      </c>
      <c r="D12885">
        <f>LOG10(3.421793)</f>
        <v>0.53425373352860572</v>
      </c>
    </row>
    <row r="12886" spans="1:4">
      <c r="A12886">
        <v>1.0282720000000001</v>
      </c>
      <c r="B12886">
        <v>3.4492820000000002</v>
      </c>
      <c r="C12886">
        <f>LOG10(1.028272)</f>
        <v>1.2108010061972813E-2</v>
      </c>
      <c r="D12886">
        <f>LOG10(3.449282)</f>
        <v>0.53772870206161516</v>
      </c>
    </row>
    <row r="12887" spans="1:4">
      <c r="A12887">
        <v>1.026197</v>
      </c>
      <c r="B12887">
        <v>3.8755630000000001</v>
      </c>
      <c r="C12887">
        <f>LOG10(1.026197)</f>
        <v>1.1230740698093185E-2</v>
      </c>
      <c r="D12887">
        <f>LOG10(3.875563)</f>
        <v>0.58833480104432234</v>
      </c>
    </row>
    <row r="12888" spans="1:4">
      <c r="A12888">
        <v>1.0225280000000001</v>
      </c>
      <c r="B12888">
        <v>3.5655019999999999</v>
      </c>
      <c r="C12888">
        <f>LOG10(1.022528)</f>
        <v>9.6752091771780697E-3</v>
      </c>
      <c r="D12888">
        <f>LOG10(3.565502)</f>
        <v>0.55212068439309447</v>
      </c>
    </row>
    <row r="12889" spans="1:4">
      <c r="A12889">
        <v>1.012113</v>
      </c>
      <c r="B12889">
        <v>3.5782289999999999</v>
      </c>
      <c r="C12889">
        <f>LOG10(1.012113)</f>
        <v>5.2290031527767525E-3</v>
      </c>
      <c r="D12889">
        <f>LOG10(3.578229)</f>
        <v>0.55366813115976965</v>
      </c>
    </row>
    <row r="12890" spans="1:4">
      <c r="A12890">
        <v>1.019417</v>
      </c>
      <c r="B12890">
        <v>3.4790839999999998</v>
      </c>
      <c r="C12890">
        <f>LOG10(1.019417)</f>
        <v>8.3518716939603634E-3</v>
      </c>
      <c r="D12890">
        <f>LOG10(3.479084)</f>
        <v>0.54146491460446611</v>
      </c>
    </row>
    <row r="12891" spans="1:4">
      <c r="A12891">
        <v>1.0351440000000001</v>
      </c>
      <c r="B12891">
        <v>3.7154929999999999</v>
      </c>
      <c r="C12891">
        <f>LOG10(1.035144)</f>
        <v>1.5000769170037826E-2</v>
      </c>
      <c r="D12891">
        <f>LOG10(3.715493)</f>
        <v>0.57001644743017732</v>
      </c>
    </row>
    <row r="12892" spans="1:4">
      <c r="A12892">
        <v>1.026</v>
      </c>
      <c r="B12892">
        <v>3.8081290000000001</v>
      </c>
      <c r="C12892">
        <f>LOG10(1.026)</f>
        <v>1.1147360775797479E-2</v>
      </c>
      <c r="D12892">
        <f>LOG10(3.808129)</f>
        <v>0.58071165164501326</v>
      </c>
    </row>
    <row r="12893" spans="1:4">
      <c r="A12893">
        <v>1.017425</v>
      </c>
      <c r="B12893">
        <v>3.8931079999999998</v>
      </c>
      <c r="C12893">
        <f>LOG10(1.017425)</f>
        <v>7.5024048391277584E-3</v>
      </c>
      <c r="D12893">
        <f>LOG10(3.893108)</f>
        <v>0.590296451792514</v>
      </c>
    </row>
    <row r="12894" spans="1:4">
      <c r="A12894">
        <v>1.0303279999999999</v>
      </c>
      <c r="B12894">
        <v>3.5658159999999999</v>
      </c>
      <c r="C12894">
        <f>LOG10(1.030328)</f>
        <v>1.2975502291330945E-2</v>
      </c>
      <c r="D12894">
        <f>LOG10(3.565816)</f>
        <v>0.55215892934792776</v>
      </c>
    </row>
    <row r="12895" spans="1:4">
      <c r="A12895">
        <v>1.02417</v>
      </c>
      <c r="B12895">
        <v>3.7733759999999998</v>
      </c>
      <c r="C12895">
        <f>LOG10(1.02417)</f>
        <v>1.0372050325485608E-2</v>
      </c>
      <c r="D12895">
        <f>LOG10(3.773376)</f>
        <v>0.57673008285515182</v>
      </c>
    </row>
    <row r="12896" spans="1:4">
      <c r="A12896">
        <v>1.025855</v>
      </c>
      <c r="B12896">
        <v>3.54942</v>
      </c>
      <c r="C12896">
        <f>LOG10(1.025855)</f>
        <v>1.1085979537863194E-2</v>
      </c>
      <c r="D12896">
        <f>LOG10(3.54942)</f>
        <v>0.55015739210333625</v>
      </c>
    </row>
    <row r="12897" spans="1:4">
      <c r="A12897">
        <v>1.0248740000000001</v>
      </c>
      <c r="B12897">
        <v>3.7636280000000002</v>
      </c>
      <c r="C12897">
        <f>LOG10(1.024874)</f>
        <v>1.0670475666561995E-2</v>
      </c>
      <c r="D12897">
        <f>LOG10(3.763628)</f>
        <v>0.57560669086275296</v>
      </c>
    </row>
    <row r="12898" spans="1:4">
      <c r="A12898">
        <v>1.031952</v>
      </c>
      <c r="B12898">
        <v>3.579501</v>
      </c>
      <c r="C12898">
        <f>LOG10(1.031952)</f>
        <v>1.3659497078072165E-2</v>
      </c>
      <c r="D12898">
        <f>LOG10(3.579501)</f>
        <v>0.553822488082089</v>
      </c>
    </row>
    <row r="12899" spans="1:4">
      <c r="A12899">
        <v>1.028025</v>
      </c>
      <c r="B12899">
        <v>3.7087870000000001</v>
      </c>
      <c r="C12899">
        <f>LOG10(1.028025)</f>
        <v>1.2003676167067486E-2</v>
      </c>
      <c r="D12899">
        <f>LOG10(3.708787)</f>
        <v>0.56923189200185842</v>
      </c>
    </row>
    <row r="12900" spans="1:4">
      <c r="A12900">
        <v>1.0174529999999999</v>
      </c>
      <c r="B12900">
        <v>3.7918080000000001</v>
      </c>
      <c r="C12900">
        <f>LOG10(1.017453)</f>
        <v>7.5143566568721364E-3</v>
      </c>
      <c r="D12900">
        <f>LOG10(3.791808)</f>
        <v>0.57884633851529088</v>
      </c>
    </row>
    <row r="12901" spans="1:4">
      <c r="A12901">
        <v>1.023331</v>
      </c>
      <c r="B12901">
        <v>3.4948190000000001</v>
      </c>
      <c r="C12901">
        <f>LOG10(1.023331)</f>
        <v>1.0016130508390755E-2</v>
      </c>
      <c r="D12901">
        <f>LOG10(3.494819)</f>
        <v>0.54342468813985112</v>
      </c>
    </row>
    <row r="12902" spans="1:4">
      <c r="A12902">
        <v>1.0243709999999999</v>
      </c>
      <c r="B12902">
        <v>3.585035</v>
      </c>
      <c r="C12902">
        <f>LOG10(1.024371)</f>
        <v>1.0457275069479152E-2</v>
      </c>
      <c r="D12902">
        <f>LOG10(3.585035)</f>
        <v>0.5544933999571432</v>
      </c>
    </row>
    <row r="12903" spans="1:4">
      <c r="A12903">
        <v>1.0302469999999999</v>
      </c>
      <c r="B12903">
        <v>3.8337629999999998</v>
      </c>
      <c r="C12903">
        <f>LOG10(1.030247)</f>
        <v>1.2941358566349053E-2</v>
      </c>
      <c r="D12903">
        <f>LOG10(3.833763)</f>
        <v>0.58362526165273754</v>
      </c>
    </row>
    <row r="12904" spans="1:4">
      <c r="A12904">
        <v>1.023077</v>
      </c>
      <c r="B12904">
        <v>3.7641900000000001</v>
      </c>
      <c r="C12904">
        <f>LOG10(1.023077)</f>
        <v>9.9083213139682449E-3</v>
      </c>
      <c r="D12904">
        <f>LOG10(3.76419)</f>
        <v>0.57567153661202131</v>
      </c>
    </row>
    <row r="12905" spans="1:4">
      <c r="A12905">
        <v>1.0350379999999999</v>
      </c>
      <c r="B12905">
        <v>3.7893840000000001</v>
      </c>
      <c r="C12905">
        <f>LOG10(1.035038)</f>
        <v>1.4956294611644364E-2</v>
      </c>
      <c r="D12905">
        <f>LOG10(3.789384)</f>
        <v>0.57856861705407259</v>
      </c>
    </row>
    <row r="12906" spans="1:4">
      <c r="A12906">
        <v>1.023002</v>
      </c>
      <c r="B12906">
        <v>3.4993129999999999</v>
      </c>
      <c r="C12906">
        <f>LOG10(1.023002)</f>
        <v>9.8764827719008547E-3</v>
      </c>
      <c r="D12906">
        <f>LOG10(3.499313)</f>
        <v>0.54398279018032336</v>
      </c>
    </row>
    <row r="12907" spans="1:4">
      <c r="A12907">
        <v>1.025333</v>
      </c>
      <c r="B12907">
        <v>3.171602</v>
      </c>
      <c r="C12907">
        <f>LOG10(1.025333)</f>
        <v>1.0864935221645026E-2</v>
      </c>
      <c r="D12907">
        <f>LOG10(3.171602)</f>
        <v>0.50127868304384837</v>
      </c>
    </row>
    <row r="12908" spans="1:4">
      <c r="A12908">
        <v>1.0195160000000001</v>
      </c>
      <c r="B12908">
        <v>2.9629240000000001</v>
      </c>
      <c r="C12908">
        <f>LOG10(1.019516)</f>
        <v>8.3940458642172977E-3</v>
      </c>
      <c r="D12908">
        <f>LOG10(2.962924)</f>
        <v>0.47172051182296931</v>
      </c>
    </row>
    <row r="12909" spans="1:4">
      <c r="A12909">
        <v>1.0274129999999999</v>
      </c>
      <c r="B12909">
        <v>3.3472430000000002</v>
      </c>
      <c r="C12909">
        <f>LOG10(1.027413)</f>
        <v>1.1745056611742407E-2</v>
      </c>
      <c r="D12909">
        <f>LOG10(3.347243)</f>
        <v>0.52468724200471373</v>
      </c>
    </row>
    <row r="12910" spans="1:4">
      <c r="A12910">
        <v>1.0277540000000001</v>
      </c>
      <c r="B12910">
        <v>3.9211749999999999</v>
      </c>
      <c r="C12910">
        <f>LOG10(1.027754)</f>
        <v>1.1889175721953998E-2</v>
      </c>
      <c r="D12910">
        <f>LOG10(3.921175)</f>
        <v>0.59341622506948832</v>
      </c>
    </row>
    <row r="12911" spans="1:4">
      <c r="A12911">
        <v>1.0206409999999999</v>
      </c>
      <c r="B12911">
        <v>3.8077749999999999</v>
      </c>
      <c r="C12911">
        <f>LOG10(1.020641)</f>
        <v>8.8730103180927108E-3</v>
      </c>
      <c r="D12911">
        <f>LOG10(3.807775)</f>
        <v>0.58067127817215836</v>
      </c>
    </row>
    <row r="12912" spans="1:4">
      <c r="A12912">
        <v>1.025495</v>
      </c>
      <c r="B12912">
        <v>3.527177</v>
      </c>
      <c r="C12912">
        <f>LOG10(1.025495)</f>
        <v>1.0933547222470703E-2</v>
      </c>
      <c r="D12912">
        <f>LOG10(3.527177)</f>
        <v>0.54742725388198499</v>
      </c>
    </row>
    <row r="12913" spans="1:4">
      <c r="A12913">
        <v>1.0273220000000001</v>
      </c>
      <c r="B12913">
        <v>4.0396340000000004</v>
      </c>
      <c r="C12913">
        <f>LOG10(1.027322)</f>
        <v>1.1706588587516446E-2</v>
      </c>
      <c r="D12913">
        <f>LOG10(4.039634)</f>
        <v>0.60634201882821515</v>
      </c>
    </row>
    <row r="12914" spans="1:4">
      <c r="A12914">
        <v>1.027309</v>
      </c>
      <c r="B12914">
        <v>3.7878470000000002</v>
      </c>
      <c r="C12914">
        <f>LOG10(1.027309)</f>
        <v>1.1701092877323389E-2</v>
      </c>
      <c r="D12914">
        <f>LOG10(3.787847)</f>
        <v>0.57839242851558403</v>
      </c>
    </row>
    <row r="12915" spans="1:4">
      <c r="A12915">
        <v>1.0265310000000001</v>
      </c>
      <c r="B12915">
        <v>3.7230750000000001</v>
      </c>
      <c r="C12915">
        <f>LOG10(1.026531)</f>
        <v>1.1372069075000206E-2</v>
      </c>
      <c r="D12915">
        <f>LOG10(3.723075)</f>
        <v>0.57090178501185562</v>
      </c>
    </row>
    <row r="12916" spans="1:4">
      <c r="A12916">
        <v>1.042001</v>
      </c>
      <c r="B12916">
        <v>3.725365</v>
      </c>
      <c r="C12916">
        <f>LOG10(1.042001)</f>
        <v>1.7868135752635697E-2</v>
      </c>
      <c r="D12916">
        <f>LOG10(3.725365)</f>
        <v>0.57116883002930741</v>
      </c>
    </row>
    <row r="12917" spans="1:4">
      <c r="A12917">
        <v>1.035566</v>
      </c>
      <c r="B12917">
        <v>3.7833999999999999</v>
      </c>
      <c r="C12917">
        <f>LOG10(1.035566)</f>
        <v>1.5177783115882856E-2</v>
      </c>
      <c r="D12917">
        <f>LOG10(3.7834)</f>
        <v>0.57788225950825556</v>
      </c>
    </row>
    <row r="12918" spans="1:4">
      <c r="A12918">
        <v>1.024459</v>
      </c>
      <c r="B12918">
        <v>3.710369</v>
      </c>
      <c r="C12918">
        <f>LOG10(1.024459)</f>
        <v>1.0494582131979239E-2</v>
      </c>
      <c r="D12918">
        <f>LOG10(3.710369)</f>
        <v>0.56941710279424074</v>
      </c>
    </row>
    <row r="12919" spans="1:4">
      <c r="A12919">
        <v>1.023342</v>
      </c>
      <c r="B12919">
        <v>3.53681</v>
      </c>
      <c r="C12919">
        <f>LOG10(1.023342)</f>
        <v>1.0020798805965379E-2</v>
      </c>
      <c r="D12919">
        <f>LOG10(3.53681)</f>
        <v>0.54861172982664574</v>
      </c>
    </row>
    <row r="12920" spans="1:4">
      <c r="A12920">
        <v>1.0349250000000001</v>
      </c>
      <c r="B12920">
        <v>3.549544</v>
      </c>
      <c r="C12920">
        <f>LOG10(1.034925)</f>
        <v>1.490887803801118E-2</v>
      </c>
      <c r="D12920">
        <f>LOG10(3.549544)</f>
        <v>0.55017256403990655</v>
      </c>
    </row>
    <row r="12921" spans="1:4">
      <c r="A12921">
        <v>1.0198179999999999</v>
      </c>
      <c r="B12921">
        <v>3.667065</v>
      </c>
      <c r="C12921">
        <f>LOG10(1.019818)</f>
        <v>8.5226730871179601E-3</v>
      </c>
      <c r="D12921">
        <f>LOG10(3.667065)</f>
        <v>0.56431860804926826</v>
      </c>
    </row>
    <row r="12922" spans="1:4">
      <c r="A12922">
        <v>1.023717</v>
      </c>
      <c r="B12922">
        <v>3.5047869999999999</v>
      </c>
      <c r="C12922">
        <f>LOG10(1.023717)</f>
        <v>1.0179915306794624E-2</v>
      </c>
      <c r="D12922">
        <f>LOG10(3.504787)</f>
        <v>0.54466162928255457</v>
      </c>
    </row>
    <row r="12923" spans="1:4">
      <c r="A12923">
        <v>1.0224880000000001</v>
      </c>
      <c r="B12923">
        <v>3.5450879999999998</v>
      </c>
      <c r="C12923">
        <f>LOG10(1.022488)</f>
        <v>9.6582197949156689E-3</v>
      </c>
      <c r="D12923">
        <f>LOG10(3.545088)</f>
        <v>0.54962702017918696</v>
      </c>
    </row>
    <row r="12924" spans="1:4">
      <c r="A12924">
        <v>1.0249999999999999</v>
      </c>
      <c r="B12924">
        <v>3.7313100000000001</v>
      </c>
      <c r="C12924">
        <f>LOG10(1.025)</f>
        <v>1.0723865391773066E-2</v>
      </c>
      <c r="D12924">
        <f>LOG10(3.73131)</f>
        <v>0.57186133204715484</v>
      </c>
    </row>
    <row r="12925" spans="1:4">
      <c r="A12925">
        <v>1.0176099999999999</v>
      </c>
      <c r="B12925">
        <v>4.1863929999999998</v>
      </c>
      <c r="C12925">
        <f>LOG10(1.01761)</f>
        <v>7.581366114362215E-3</v>
      </c>
      <c r="D12925">
        <f>LOG10(4.186393)</f>
        <v>0.62183999555543956</v>
      </c>
    </row>
    <row r="12926" spans="1:4">
      <c r="A12926">
        <v>1.008516</v>
      </c>
      <c r="B12926">
        <v>3.9352109999999998</v>
      </c>
      <c r="C12926">
        <f>LOG10(1.008516)</f>
        <v>3.6827926396021463E-3</v>
      </c>
      <c r="D12926">
        <f>LOG10(3.935211)</f>
        <v>0.59496802352581846</v>
      </c>
    </row>
    <row r="12927" spans="1:4">
      <c r="A12927">
        <v>1.031326</v>
      </c>
      <c r="B12927">
        <v>3.7125379999999999</v>
      </c>
      <c r="C12927">
        <f>LOG10(1.031326)</f>
        <v>1.3395966565932307E-2</v>
      </c>
      <c r="D12927">
        <f>LOG10(3.712538)</f>
        <v>0.56967090760630634</v>
      </c>
    </row>
    <row r="12928" spans="1:4">
      <c r="A12928">
        <v>1.017169</v>
      </c>
      <c r="B12928">
        <v>3.7460650000000002</v>
      </c>
      <c r="C12928">
        <f>LOG10(1.017169)</f>
        <v>7.3931158232808988E-3</v>
      </c>
      <c r="D12928">
        <f>LOG10(3.746065)</f>
        <v>0.5735753087830554</v>
      </c>
    </row>
    <row r="12929" spans="1:4">
      <c r="A12929">
        <v>1.01562</v>
      </c>
      <c r="B12929">
        <v>3.6979600000000001</v>
      </c>
      <c r="C12929">
        <f>LOG10(1.01562)</f>
        <v>6.7312445885637645E-3</v>
      </c>
      <c r="D12929">
        <f>LOG10(3.69796)</f>
        <v>0.56796220918301654</v>
      </c>
    </row>
    <row r="12930" spans="1:4">
      <c r="A12930">
        <v>1.01735</v>
      </c>
      <c r="B12930">
        <v>3.4193579999999999</v>
      </c>
      <c r="C12930">
        <f>LOG10(1.01735)</f>
        <v>7.4703894210520344E-3</v>
      </c>
      <c r="D12930">
        <f>LOG10(3.419358)</f>
        <v>0.5339445729478518</v>
      </c>
    </row>
    <row r="12931" spans="1:4">
      <c r="A12931">
        <v>1.015884</v>
      </c>
      <c r="B12931">
        <v>3.442428</v>
      </c>
      <c r="C12931">
        <f>LOG10(1.015884)</f>
        <v>6.8441203140045138E-3</v>
      </c>
      <c r="D12931">
        <f>LOG10(3.442428)</f>
        <v>0.5368648655506898</v>
      </c>
    </row>
    <row r="12932" spans="1:4">
      <c r="A12932">
        <v>1.0121370000000001</v>
      </c>
      <c r="B12932">
        <v>3.3624489999999998</v>
      </c>
      <c r="C12932">
        <f>LOG10(1.012137)</f>
        <v>5.2393013546452741E-3</v>
      </c>
      <c r="D12932">
        <f>LOG10(3.362449)</f>
        <v>0.52665570589178812</v>
      </c>
    </row>
    <row r="12933" spans="1:4">
      <c r="A12933">
        <v>1.01797</v>
      </c>
      <c r="B12933">
        <v>3.4456020000000001</v>
      </c>
      <c r="C12933">
        <f>LOG10(1.01797)</f>
        <v>7.7349793500152038E-3</v>
      </c>
      <c r="D12933">
        <f>LOG10(3.445602)</f>
        <v>0.53726511084088913</v>
      </c>
    </row>
    <row r="12934" spans="1:4">
      <c r="A12934">
        <v>1.0188079999999999</v>
      </c>
      <c r="B12934">
        <v>3.731903</v>
      </c>
      <c r="C12934">
        <f>LOG10(1.018808)</f>
        <v>8.0923465214698207E-3</v>
      </c>
      <c r="D12934">
        <f>LOG10(3.731903)</f>
        <v>0.5719303469950896</v>
      </c>
    </row>
    <row r="12935" spans="1:4">
      <c r="A12935">
        <v>1.0216510000000001</v>
      </c>
      <c r="B12935">
        <v>3.5934979999999999</v>
      </c>
      <c r="C12935">
        <f>LOG10(1.021651)</f>
        <v>9.3025644293381858E-3</v>
      </c>
      <c r="D12935">
        <f>LOG10(3.593498)</f>
        <v>0.55551740748156431</v>
      </c>
    </row>
    <row r="12936" spans="1:4">
      <c r="A12936">
        <v>1.021444</v>
      </c>
      <c r="B12936">
        <v>3.313434</v>
      </c>
      <c r="C12936">
        <f>LOG10(1.021444)</f>
        <v>9.214561709874225E-3</v>
      </c>
      <c r="D12936">
        <f>LOG10(3.313434)</f>
        <v>0.52027832433973853</v>
      </c>
    </row>
    <row r="12937" spans="1:4">
      <c r="A12937">
        <v>1.0271399999999999</v>
      </c>
      <c r="B12937">
        <v>3.3836940000000002</v>
      </c>
      <c r="C12937">
        <f>LOG10(1.02714)</f>
        <v>1.1629642315535543E-2</v>
      </c>
      <c r="D12937">
        <f>LOG10(3.383694)</f>
        <v>0.52939108128178058</v>
      </c>
    </row>
    <row r="12938" spans="1:4">
      <c r="A12938">
        <v>1.0139940000000001</v>
      </c>
      <c r="B12938">
        <v>3.2511060000000001</v>
      </c>
      <c r="C12938">
        <f>LOG10(1.013994)</f>
        <v>6.0353851998804922E-3</v>
      </c>
      <c r="D12938">
        <f>LOG10(3.251106)</f>
        <v>0.51203112958982122</v>
      </c>
    </row>
    <row r="12939" spans="1:4">
      <c r="A12939">
        <v>1.022572</v>
      </c>
      <c r="B12939">
        <v>3.2834699999999999</v>
      </c>
      <c r="C12939">
        <f>LOG10(1.022572)</f>
        <v>9.6938967300670854E-3</v>
      </c>
      <c r="D12939">
        <f>LOG10(3.28347)</f>
        <v>0.51633305263397467</v>
      </c>
    </row>
    <row r="12940" spans="1:4">
      <c r="A12940">
        <v>1.0190399999999999</v>
      </c>
      <c r="B12940">
        <v>3.2833679999999998</v>
      </c>
      <c r="C12940">
        <f>LOG10(1.01904)</f>
        <v>8.1912315415859967E-3</v>
      </c>
      <c r="D12940">
        <f>LOG10(3.283368)</f>
        <v>0.51631956119801792</v>
      </c>
    </row>
    <row r="12941" spans="1:4">
      <c r="A12941">
        <v>1.0290220000000001</v>
      </c>
      <c r="B12941">
        <v>3.4049520000000002</v>
      </c>
      <c r="C12941">
        <f>LOG10(1.029022)</f>
        <v>1.2424659870757603E-2</v>
      </c>
      <c r="D12941">
        <f>LOG10(3.404952)</f>
        <v>0.53211099399269068</v>
      </c>
    </row>
    <row r="12942" spans="1:4">
      <c r="A12942">
        <v>1.022143</v>
      </c>
      <c r="B12942">
        <v>3.2236199999999999</v>
      </c>
      <c r="C12942">
        <f>LOG10(1.022143)</f>
        <v>9.5116587795748969E-3</v>
      </c>
      <c r="D12942">
        <f>LOG10(3.22362)</f>
        <v>0.50834384156056134</v>
      </c>
    </row>
    <row r="12943" spans="1:4">
      <c r="A12943">
        <v>1.018375</v>
      </c>
      <c r="B12943">
        <v>3.4818799999999999</v>
      </c>
      <c r="C12943">
        <f>LOG10(1.018375)</f>
        <v>7.9077293186992376E-3</v>
      </c>
      <c r="D12943">
        <f>LOG10(3.48188)</f>
        <v>0.54181379945337638</v>
      </c>
    </row>
    <row r="12944" spans="1:4">
      <c r="A12944">
        <v>1.021048</v>
      </c>
      <c r="B12944">
        <v>3.3493140000000001</v>
      </c>
      <c r="C12944">
        <f>LOG10(1.021048)</f>
        <v>9.0461589773410071E-3</v>
      </c>
      <c r="D12944">
        <f>LOG10(3.349314)</f>
        <v>0.52495586479122813</v>
      </c>
    </row>
    <row r="12945" spans="1:4">
      <c r="A12945">
        <v>1.0233859999999999</v>
      </c>
      <c r="B12945">
        <v>3.344881</v>
      </c>
      <c r="C12945">
        <f>LOG10(1.023386)</f>
        <v>1.0039471494477637E-2</v>
      </c>
      <c r="D12945">
        <f>LOG10(3.344881)</f>
        <v>0.52438067159183677</v>
      </c>
    </row>
    <row r="12946" spans="1:4">
      <c r="A12946">
        <v>1.0250220000000001</v>
      </c>
      <c r="B12946">
        <v>3.3501289999999999</v>
      </c>
      <c r="C12946">
        <f>LOG10(1.025022)</f>
        <v>1.0733186734277997E-2</v>
      </c>
      <c r="D12946">
        <f>LOG10(3.350129)</f>
        <v>0.52506153029341907</v>
      </c>
    </row>
    <row r="12947" spans="1:4">
      <c r="A12947">
        <v>1.0224420000000001</v>
      </c>
      <c r="B12947">
        <v>3.2771439999999998</v>
      </c>
      <c r="C12947">
        <f>LOG10(1.022442)</f>
        <v>9.6386811836469063E-3</v>
      </c>
      <c r="D12947">
        <f>LOG10(3.277144)</f>
        <v>0.51549552500501339</v>
      </c>
    </row>
    <row r="12948" spans="1:4">
      <c r="A12948">
        <v>1.024942</v>
      </c>
      <c r="B12948">
        <v>3.2157740000000001</v>
      </c>
      <c r="C12948">
        <f>LOG10(1.024942)</f>
        <v>1.0699289984315623E-2</v>
      </c>
      <c r="D12948">
        <f>LOG10(3.215774)</f>
        <v>0.50728551955347534</v>
      </c>
    </row>
    <row r="12949" spans="1:4">
      <c r="A12949">
        <v>1.0268459999999999</v>
      </c>
      <c r="B12949">
        <v>3.1469879999999999</v>
      </c>
      <c r="C12949">
        <f>LOG10(1.026846)</f>
        <v>1.1505315685703061E-2</v>
      </c>
      <c r="D12949">
        <f>LOG10(3.146988)</f>
        <v>0.49789508687772011</v>
      </c>
    </row>
    <row r="12950" spans="1:4">
      <c r="A12950">
        <v>1.0235430000000001</v>
      </c>
      <c r="B12950">
        <v>3.1953860000000001</v>
      </c>
      <c r="C12950">
        <f>LOG10(1.023543)</f>
        <v>1.0106092499693351E-2</v>
      </c>
      <c r="D12950">
        <f>LOG10(3.195386)</f>
        <v>0.50452332807950839</v>
      </c>
    </row>
    <row r="12951" spans="1:4">
      <c r="A12951">
        <v>1.0165770000000001</v>
      </c>
      <c r="B12951">
        <v>3.1183839999999998</v>
      </c>
      <c r="C12951">
        <f>LOG10(1.016577)</f>
        <v>7.1402795885216579E-3</v>
      </c>
      <c r="D12951">
        <f>LOG10(3.118384)</f>
        <v>0.49392959347392562</v>
      </c>
    </row>
    <row r="12952" spans="1:4">
      <c r="A12952">
        <v>1.0250980000000001</v>
      </c>
      <c r="B12952">
        <v>3.0911</v>
      </c>
      <c r="C12952">
        <f>LOG10(1.025098)</f>
        <v>1.0765386196397045E-2</v>
      </c>
      <c r="D12952">
        <f>LOG10(3.0911)</f>
        <v>0.49011305512661485</v>
      </c>
    </row>
    <row r="12953" spans="1:4">
      <c r="A12953">
        <v>1.032816</v>
      </c>
      <c r="B12953">
        <v>3.1739630000000001</v>
      </c>
      <c r="C12953">
        <f>LOG10(1.032816)</f>
        <v>1.4022957238502092E-2</v>
      </c>
      <c r="D12953">
        <f>LOG10(3.173963)</f>
        <v>0.50160185972522808</v>
      </c>
    </row>
    <row r="12954" spans="1:4">
      <c r="A12954">
        <v>1.0235510000000001</v>
      </c>
      <c r="B12954">
        <v>3.1841249999999999</v>
      </c>
      <c r="C12954">
        <f>LOG10(1.023551)</f>
        <v>1.0109486926969526E-2</v>
      </c>
      <c r="D12954">
        <f>LOG10(3.184125)</f>
        <v>0.50299010860854865</v>
      </c>
    </row>
    <row r="12955" spans="1:4">
      <c r="A12955">
        <v>1.017822</v>
      </c>
      <c r="B12955">
        <v>3.357507</v>
      </c>
      <c r="C12955">
        <f>LOG10(1.017822)</f>
        <v>7.6718338190032613E-3</v>
      </c>
      <c r="D12955">
        <f>LOG10(3.357507)</f>
        <v>0.52601692679368051</v>
      </c>
    </row>
    <row r="12956" spans="1:4">
      <c r="A12956">
        <v>1.024802</v>
      </c>
      <c r="B12956">
        <v>3.3875229999999998</v>
      </c>
      <c r="C12956">
        <f>LOG10(1.024802)</f>
        <v>1.0639964305049319E-2</v>
      </c>
      <c r="D12956">
        <f>LOG10(3.387523)</f>
        <v>0.52988225258775323</v>
      </c>
    </row>
    <row r="12957" spans="1:4">
      <c r="A12957">
        <v>1.0215430000000001</v>
      </c>
      <c r="B12957">
        <v>3.3610859999999998</v>
      </c>
      <c r="C12957">
        <f>LOG10(1.021543)</f>
        <v>9.2566521918421539E-3</v>
      </c>
      <c r="D12957">
        <f>LOG10(3.361086)</f>
        <v>0.52647962489066502</v>
      </c>
    </row>
    <row r="12958" spans="1:4">
      <c r="A12958">
        <v>1.032063</v>
      </c>
      <c r="B12958">
        <v>3.4078499999999998</v>
      </c>
      <c r="C12958">
        <f>LOG10(1.032063)</f>
        <v>1.3706208645127367E-2</v>
      </c>
      <c r="D12958">
        <f>LOG10(3.40785)</f>
        <v>0.53248047059995651</v>
      </c>
    </row>
    <row r="12959" spans="1:4">
      <c r="A12959">
        <v>1.0158780000000001</v>
      </c>
      <c r="B12959">
        <v>3.1558619999999999</v>
      </c>
      <c r="C12959">
        <f>LOG10(1.015878)</f>
        <v>6.8415552823803318E-3</v>
      </c>
      <c r="D12959">
        <f>LOG10(3.155862)</f>
        <v>0.49911800405929169</v>
      </c>
    </row>
    <row r="12960" spans="1:4">
      <c r="A12960">
        <v>1.0266960000000001</v>
      </c>
      <c r="B12960">
        <v>3.143411</v>
      </c>
      <c r="C12960">
        <f>LOG10(1.026696)</f>
        <v>1.1441870017290834E-2</v>
      </c>
      <c r="D12960">
        <f>LOG10(3.143411)</f>
        <v>0.49740116859711198</v>
      </c>
    </row>
    <row r="12961" spans="1:4">
      <c r="A12961">
        <v>1.0316129999999999</v>
      </c>
      <c r="B12961">
        <v>3.1865290000000002</v>
      </c>
      <c r="C12961">
        <f>LOG10(1.031613)</f>
        <v>1.3516806316511795E-2</v>
      </c>
      <c r="D12961">
        <f>LOG10(3.186529)</f>
        <v>0.50331787526611682</v>
      </c>
    </row>
    <row r="12962" spans="1:4">
      <c r="A12962">
        <v>1.0182979999999999</v>
      </c>
      <c r="B12962">
        <v>3.1305510000000001</v>
      </c>
      <c r="C12962">
        <f>LOG10(1.018298)</f>
        <v>7.8748907873075723E-3</v>
      </c>
      <c r="D12962">
        <f>LOG10(3.130551)</f>
        <v>0.49562078329703707</v>
      </c>
    </row>
    <row r="12963" spans="1:4">
      <c r="A12963">
        <v>1.0180089999999999</v>
      </c>
      <c r="B12963">
        <v>3.1984379999999999</v>
      </c>
      <c r="C12963">
        <f>LOG10(1.018009)</f>
        <v>7.7516175224091773E-3</v>
      </c>
      <c r="D12963">
        <f>LOG10(3.198438)</f>
        <v>0.50493793657027619</v>
      </c>
    </row>
    <row r="12964" spans="1:4">
      <c r="A12964">
        <v>1.0272950000000001</v>
      </c>
      <c r="B12964">
        <v>3.3491059999999999</v>
      </c>
      <c r="C12964">
        <f>LOG10(1.027295)</f>
        <v>1.169517434241669E-2</v>
      </c>
      <c r="D12964">
        <f>LOG10(3.349106)</f>
        <v>0.52492889328085257</v>
      </c>
    </row>
    <row r="12965" spans="1:4">
      <c r="A12965">
        <v>1.03163</v>
      </c>
      <c r="B12965">
        <v>3.419143</v>
      </c>
      <c r="C12965">
        <f>LOG10(1.03163)</f>
        <v>1.3523963017096834E-2</v>
      </c>
      <c r="D12965">
        <f>LOG10(3.419143)</f>
        <v>0.53391726482472956</v>
      </c>
    </row>
    <row r="12966" spans="1:4">
      <c r="A12966">
        <v>1.022551</v>
      </c>
      <c r="B12966">
        <v>3.1702490000000001</v>
      </c>
      <c r="C12966">
        <f>LOG10(1.022551)</f>
        <v>9.6849777710408449E-3</v>
      </c>
      <c r="D12966">
        <f>LOG10(3.170249)</f>
        <v>0.50109337423008715</v>
      </c>
    </row>
    <row r="12967" spans="1:4">
      <c r="A12967">
        <v>1.0269200000000001</v>
      </c>
      <c r="B12967">
        <v>3.1546020000000001</v>
      </c>
      <c r="C12967">
        <f>LOG10(1.02692)</f>
        <v>1.1536612134933212E-2</v>
      </c>
      <c r="D12967">
        <f>LOG10(3.154602)</f>
        <v>0.49894457432275569</v>
      </c>
    </row>
    <row r="12968" spans="1:4">
      <c r="A12968">
        <v>1.0260800000000001</v>
      </c>
      <c r="B12968">
        <v>3.080057</v>
      </c>
      <c r="C12968">
        <f>LOG10(1.02608)</f>
        <v>1.1181222573163951E-2</v>
      </c>
      <c r="D12968">
        <f>LOG10(3.080057)</f>
        <v>0.48855875369408364</v>
      </c>
    </row>
    <row r="12969" spans="1:4">
      <c r="A12969">
        <v>1.0255320000000001</v>
      </c>
      <c r="B12969">
        <v>3.2073130000000001</v>
      </c>
      <c r="C12969">
        <f>LOG10(1.025532)</f>
        <v>1.0949216344166509E-2</v>
      </c>
      <c r="D12969">
        <f>LOG10(3.207313)</f>
        <v>0.50614134456821203</v>
      </c>
    </row>
    <row r="12970" spans="1:4">
      <c r="A12970">
        <v>1.0147200000000001</v>
      </c>
      <c r="B12970">
        <v>3.2265199999999998</v>
      </c>
      <c r="C12970">
        <f>LOG10(1.01472)</f>
        <v>6.3462203469947095E-3</v>
      </c>
      <c r="D12970">
        <f>LOG10(3.22652)</f>
        <v>0.50873436148179796</v>
      </c>
    </row>
    <row r="12971" spans="1:4">
      <c r="A12971">
        <v>1.035747</v>
      </c>
      <c r="B12971">
        <v>3.3170169999999999</v>
      </c>
      <c r="C12971">
        <f>LOG10(1.035747)</f>
        <v>1.5253684055455546E-2</v>
      </c>
      <c r="D12971">
        <f>LOG10(3.317017)</f>
        <v>0.52074769732209703</v>
      </c>
    </row>
    <row r="12972" spans="1:4">
      <c r="A12972">
        <v>1.018786</v>
      </c>
      <c r="B12972">
        <v>3.1537470000000001</v>
      </c>
      <c r="C12972">
        <f>LOG10(1.018786)</f>
        <v>8.0829683248298343E-3</v>
      </c>
      <c r="D12972">
        <f>LOG10(3.153747)</f>
        <v>0.49882685040345415</v>
      </c>
    </row>
    <row r="12973" spans="1:4">
      <c r="A12973">
        <v>1.021266</v>
      </c>
      <c r="B12973">
        <v>3.0483750000000001</v>
      </c>
      <c r="C12973">
        <f>LOG10(1.021266)</f>
        <v>9.1388736112459849E-3</v>
      </c>
      <c r="D12973">
        <f>LOG10(3.048375)</f>
        <v>0.48406839128076962</v>
      </c>
    </row>
    <row r="12974" spans="1:4">
      <c r="A12974">
        <v>1.02732</v>
      </c>
      <c r="B12974">
        <v>3.073359</v>
      </c>
      <c r="C12974">
        <f>LOG10(1.02732)</f>
        <v>1.1705743098167127E-2</v>
      </c>
      <c r="D12974">
        <f>LOG10(3.073359)</f>
        <v>0.48761329329009151</v>
      </c>
    </row>
    <row r="12975" spans="1:4">
      <c r="A12975">
        <v>1.0359100000000001</v>
      </c>
      <c r="B12975">
        <v>3.1034000000000002</v>
      </c>
      <c r="C12975">
        <f>LOG10(1.03591)</f>
        <v>1.532202548523506E-2</v>
      </c>
      <c r="D12975">
        <f>LOG10(3.1034)</f>
        <v>0.49183775579588329</v>
      </c>
    </row>
    <row r="12976" spans="1:4">
      <c r="A12976">
        <v>1.044286</v>
      </c>
      <c r="B12976">
        <v>3.24038</v>
      </c>
      <c r="C12976">
        <f>LOG10(1.044286)</f>
        <v>1.8819455765607063E-2</v>
      </c>
      <c r="D12976">
        <f>LOG10(3.24038)</f>
        <v>0.51059594299244027</v>
      </c>
    </row>
    <row r="12977" spans="1:4">
      <c r="A12977">
        <v>1.046691</v>
      </c>
      <c r="B12977">
        <v>3.2166540000000001</v>
      </c>
      <c r="C12977">
        <f>LOG10(1.046691)</f>
        <v>1.981848989134128E-2</v>
      </c>
      <c r="D12977">
        <f>LOG10(3.216654)</f>
        <v>0.50740434844560101</v>
      </c>
    </row>
    <row r="12978" spans="1:4">
      <c r="A12978">
        <v>1.027099</v>
      </c>
      <c r="B12978">
        <v>3.1918120000000001</v>
      </c>
      <c r="C12978">
        <f>LOG10(1.027099)</f>
        <v>1.1612306383581784E-2</v>
      </c>
      <c r="D12978">
        <f>LOG10(3.191812)</f>
        <v>0.50403730317772233</v>
      </c>
    </row>
    <row r="12979" spans="1:4">
      <c r="A12979">
        <v>1.035142</v>
      </c>
      <c r="B12979">
        <v>3.0445829999999998</v>
      </c>
      <c r="C12979">
        <f>LOG10(1.035142)</f>
        <v>1.4999930069581337E-2</v>
      </c>
      <c r="D12979">
        <f>LOG10(3.044583)</f>
        <v>0.48352781808528694</v>
      </c>
    </row>
    <row r="12980" spans="1:4">
      <c r="A12980">
        <v>1.035817</v>
      </c>
      <c r="B12980">
        <v>3.2872089999999998</v>
      </c>
      <c r="C12980">
        <f>LOG10(1.035817)</f>
        <v>1.52830344532659E-2</v>
      </c>
      <c r="D12980">
        <f>LOG10(3.287209)</f>
        <v>0.51682731730376208</v>
      </c>
    </row>
    <row r="12981" spans="1:4">
      <c r="A12981">
        <v>1.03189</v>
      </c>
      <c r="B12981">
        <v>3.3658440000000001</v>
      </c>
      <c r="C12981">
        <f>LOG10(1.03189)</f>
        <v>1.3633403745456485E-2</v>
      </c>
      <c r="D12981">
        <f>LOG10(3.365844)</f>
        <v>0.52709398344337355</v>
      </c>
    </row>
    <row r="12982" spans="1:4">
      <c r="A12982">
        <v>1.043288</v>
      </c>
      <c r="B12982">
        <v>3.2950970000000002</v>
      </c>
      <c r="C12982">
        <f>LOG10(1.043288)</f>
        <v>1.8404212113445263E-2</v>
      </c>
      <c r="D12982">
        <f>LOG10(3.295097)</f>
        <v>0.5178682037387341</v>
      </c>
    </row>
    <row r="12983" spans="1:4">
      <c r="A12983">
        <v>1.0252349999999999</v>
      </c>
      <c r="B12983">
        <v>3.0744509999999998</v>
      </c>
      <c r="C12983">
        <f>LOG10(1.025235)</f>
        <v>1.0823423933788209E-2</v>
      </c>
      <c r="D12983">
        <f>LOG10(3.074451)</f>
        <v>0.48776757573513319</v>
      </c>
    </row>
    <row r="12984" spans="1:4">
      <c r="A12984">
        <v>1.033369</v>
      </c>
      <c r="B12984">
        <v>3.192304</v>
      </c>
      <c r="C12984">
        <f>LOG10(1.033369)</f>
        <v>1.4255429020290334E-2</v>
      </c>
      <c r="D12984">
        <f>LOG10(3.192304)</f>
        <v>0.50410424208845628</v>
      </c>
    </row>
    <row r="12985" spans="1:4">
      <c r="A12985">
        <v>1.031984</v>
      </c>
      <c r="B12985">
        <v>3.2380249999999999</v>
      </c>
      <c r="C12985">
        <f>LOG10(1.031984)</f>
        <v>1.367296399121485E-2</v>
      </c>
      <c r="D12985">
        <f>LOG10(3.238025)</f>
        <v>0.51028019751189913</v>
      </c>
    </row>
    <row r="12986" spans="1:4">
      <c r="A12986">
        <v>1.0352110000000001</v>
      </c>
      <c r="B12986">
        <v>3.2093099999999999</v>
      </c>
      <c r="C12986">
        <f>LOG10(1.035211)</f>
        <v>1.5028878098504386E-2</v>
      </c>
      <c r="D12986">
        <f>LOG10(3.20931)</f>
        <v>0.50641166935069104</v>
      </c>
    </row>
    <row r="12987" spans="1:4">
      <c r="A12987">
        <v>1.0325409999999999</v>
      </c>
      <c r="B12987">
        <v>3.3526400000000001</v>
      </c>
      <c r="C12987">
        <f>LOG10(1.032541)</f>
        <v>1.3907305578058703E-2</v>
      </c>
      <c r="D12987">
        <f>LOG10(3.35264)</f>
        <v>0.52538692223071359</v>
      </c>
    </row>
    <row r="12988" spans="1:4">
      <c r="A12988">
        <v>1.0228280000000001</v>
      </c>
      <c r="B12988">
        <v>3.2692389999999998</v>
      </c>
      <c r="C12988">
        <f>LOG10(1.022828)</f>
        <v>9.8026083639262615E-3</v>
      </c>
      <c r="D12988">
        <f>LOG10(3.269239)</f>
        <v>0.51444667114232334</v>
      </c>
    </row>
    <row r="12989" spans="1:4">
      <c r="A12989">
        <v>1.023474</v>
      </c>
      <c r="B12989">
        <v>3.388252</v>
      </c>
      <c r="C12989">
        <f>LOG10(1.023474)</f>
        <v>1.0076814463152652E-2</v>
      </c>
      <c r="D12989">
        <f>LOG10(3.388252)</f>
        <v>0.5299757033527297</v>
      </c>
    </row>
    <row r="12990" spans="1:4">
      <c r="A12990">
        <v>1.0192399999999999</v>
      </c>
      <c r="B12990">
        <v>3.030761</v>
      </c>
      <c r="C12990">
        <f>LOG10(1.01924)</f>
        <v>8.2764591812227468E-3</v>
      </c>
      <c r="D12990">
        <f>LOG10(3.030761)</f>
        <v>0.48155169008795912</v>
      </c>
    </row>
    <row r="12991" spans="1:4">
      <c r="A12991">
        <v>1.0110220000000001</v>
      </c>
      <c r="B12991">
        <v>3.1163500000000002</v>
      </c>
      <c r="C12991">
        <f>LOG10(1.011022)</f>
        <v>4.7606060110284287E-3</v>
      </c>
      <c r="D12991">
        <f>LOG10(3.11635)</f>
        <v>0.49364622773369365</v>
      </c>
    </row>
    <row r="12992" spans="1:4">
      <c r="A12992">
        <v>1.01413</v>
      </c>
      <c r="B12992">
        <v>3.1459579999999998</v>
      </c>
      <c r="C12992">
        <f>LOG10(1.01413)</f>
        <v>6.0936302082008264E-3</v>
      </c>
      <c r="D12992">
        <f>LOG10(3.145958)</f>
        <v>0.49775292029299018</v>
      </c>
    </row>
    <row r="12993" spans="1:4">
      <c r="A12993">
        <v>1.019342</v>
      </c>
      <c r="B12993">
        <v>3.2628550000000001</v>
      </c>
      <c r="C12993">
        <f>LOG10(1.019342)</f>
        <v>8.3199188381716631E-3</v>
      </c>
      <c r="D12993">
        <f>LOG10(3.262855)</f>
        <v>0.51359777433979148</v>
      </c>
    </row>
    <row r="12994" spans="1:4">
      <c r="A12994">
        <v>1.011841</v>
      </c>
      <c r="B12994">
        <v>3.1677569999999999</v>
      </c>
      <c r="C12994">
        <f>LOG10(1.011841)</f>
        <v>5.1122731284887818E-3</v>
      </c>
      <c r="D12994">
        <f>LOG10(3.167757)</f>
        <v>0.50075185927895804</v>
      </c>
    </row>
    <row r="12995" spans="1:4">
      <c r="A12995">
        <v>1.0249159999999999</v>
      </c>
      <c r="B12995">
        <v>3.324112</v>
      </c>
      <c r="C12995">
        <f>LOG10(1.024916)</f>
        <v>1.0688272970912622E-2</v>
      </c>
      <c r="D12995">
        <f>LOG10(3.324112)</f>
        <v>0.52167564813329137</v>
      </c>
    </row>
    <row r="12996" spans="1:4">
      <c r="A12996">
        <v>1.027163</v>
      </c>
      <c r="B12996">
        <v>3.2358630000000002</v>
      </c>
      <c r="C12996">
        <f>LOG10(1.027163)</f>
        <v>1.1639367047558268E-2</v>
      </c>
      <c r="D12996">
        <f>LOG10(3.235863)</f>
        <v>0.509990126165351</v>
      </c>
    </row>
    <row r="12997" spans="1:4">
      <c r="A12997">
        <v>1.0366489999999999</v>
      </c>
      <c r="B12997">
        <v>3.3825460000000001</v>
      </c>
      <c r="C12997">
        <f>LOG10(1.036649)</f>
        <v>1.5631733084128789E-2</v>
      </c>
      <c r="D12997">
        <f>LOG10(3.382546)</f>
        <v>0.52924371137766568</v>
      </c>
    </row>
    <row r="12998" spans="1:4">
      <c r="A12998">
        <v>1.0275860000000001</v>
      </c>
      <c r="B12998">
        <v>3.4111880000000001</v>
      </c>
      <c r="C12998">
        <f>LOG10(1.027586)</f>
        <v>1.1818178735448395E-2</v>
      </c>
      <c r="D12998">
        <f>LOG10(3.411188)</f>
        <v>0.53290565523637712</v>
      </c>
    </row>
    <row r="12999" spans="1:4">
      <c r="A12999">
        <v>1.040897</v>
      </c>
      <c r="B12999">
        <v>3.3974570000000002</v>
      </c>
      <c r="C12999">
        <f>LOG10(1.040897)</f>
        <v>1.7407756845056022E-2</v>
      </c>
      <c r="D12999">
        <f>LOG10(3.397457)</f>
        <v>0.53115396878027898</v>
      </c>
    </row>
    <row r="13000" spans="1:4">
      <c r="A13000">
        <v>1.0404409999999999</v>
      </c>
      <c r="B13000">
        <v>3.2260689999999999</v>
      </c>
      <c r="C13000">
        <f>LOG10(1.040441)</f>
        <v>1.7217457828830378E-2</v>
      </c>
      <c r="D13000">
        <f>LOG10(3.226069)</f>
        <v>0.50867365195523206</v>
      </c>
    </row>
    <row r="13001" spans="1:4">
      <c r="A13001">
        <v>1.045957</v>
      </c>
      <c r="B13001">
        <v>3.439654</v>
      </c>
      <c r="C13001">
        <f>LOG10(1.045957)</f>
        <v>1.951383075823385E-2</v>
      </c>
      <c r="D13001">
        <f>LOG10(3.439654)</f>
        <v>0.53651475842960517</v>
      </c>
    </row>
    <row r="13002" spans="1:4">
      <c r="A13002">
        <v>1.0369360000000001</v>
      </c>
      <c r="B13002">
        <v>3.2936450000000002</v>
      </c>
      <c r="C13002">
        <f>LOG10(1.036936)</f>
        <v>1.5751952430914391E-2</v>
      </c>
      <c r="D13002">
        <f>LOG10(3.293645)</f>
        <v>0.51767678765416691</v>
      </c>
    </row>
    <row r="13003" spans="1:4">
      <c r="A13003">
        <v>1.0301610000000001</v>
      </c>
      <c r="B13003">
        <v>3.4569320000000001</v>
      </c>
      <c r="C13003">
        <f>LOG10(1.030161)</f>
        <v>1.2905104265778209E-2</v>
      </c>
      <c r="D13003">
        <f>LOG10(3.456932)</f>
        <v>0.53869083678417018</v>
      </c>
    </row>
    <row r="13004" spans="1:4">
      <c r="A13004">
        <v>1.0459830000000001</v>
      </c>
      <c r="B13004">
        <v>3.3531550000000001</v>
      </c>
      <c r="C13004">
        <f>LOG10(1.045983)</f>
        <v>1.9524626150577894E-2</v>
      </c>
      <c r="D13004">
        <f>LOG10(3.353155)</f>
        <v>0.52545362920837091</v>
      </c>
    </row>
    <row r="13005" spans="1:4">
      <c r="A13005">
        <v>1.035714</v>
      </c>
      <c r="B13005">
        <v>3.2817859999999999</v>
      </c>
      <c r="C13005">
        <f>LOG10(1.035714)</f>
        <v>1.5239846751346034E-2</v>
      </c>
      <c r="D13005">
        <f>LOG10(3.281786)</f>
        <v>0.51611025799395938</v>
      </c>
    </row>
    <row r="13006" spans="1:4">
      <c r="A13006">
        <v>1.0279830000000001</v>
      </c>
      <c r="B13006">
        <v>3.3751099999999998</v>
      </c>
      <c r="C13006">
        <f>LOG10(1.027983)</f>
        <v>1.1985932687234314E-2</v>
      </c>
      <c r="D13006">
        <f>LOG10(3.37511)</f>
        <v>0.52828793171949207</v>
      </c>
    </row>
    <row r="13007" spans="1:4">
      <c r="A13007">
        <v>1.044227</v>
      </c>
      <c r="B13007">
        <v>3.428102</v>
      </c>
      <c r="C13007">
        <f>LOG10(1.044227)</f>
        <v>1.8794918332094204E-2</v>
      </c>
      <c r="D13007">
        <f>LOG10(3.428102)</f>
        <v>0.53505373547348378</v>
      </c>
    </row>
    <row r="13008" spans="1:4">
      <c r="A13008">
        <v>1.0424469999999999</v>
      </c>
      <c r="B13008">
        <v>3.315976</v>
      </c>
      <c r="C13008">
        <f>LOG10(1.042447)</f>
        <v>1.8053983844681841E-2</v>
      </c>
      <c r="D13008">
        <f>LOG10(3.315976)</f>
        <v>0.520611378601612</v>
      </c>
    </row>
    <row r="13009" spans="1:4">
      <c r="A13009">
        <v>1.0408390000000001</v>
      </c>
      <c r="B13009">
        <v>3.2800769999999999</v>
      </c>
      <c r="C13009">
        <f>LOG10(1.040839)</f>
        <v>1.7383556773618664E-2</v>
      </c>
      <c r="D13009">
        <f>LOG10(3.280077)</f>
        <v>0.51588403891978651</v>
      </c>
    </row>
    <row r="13010" spans="1:4">
      <c r="A13010">
        <v>1.0095259999999999</v>
      </c>
      <c r="B13010">
        <v>3.1856960000000001</v>
      </c>
      <c r="C13010">
        <f>LOG10(1.009526)</f>
        <v>4.1175085308931651E-3</v>
      </c>
      <c r="D13010">
        <f>LOG10(3.185696)</f>
        <v>0.50320433021537359</v>
      </c>
    </row>
    <row r="13011" spans="1:4">
      <c r="A13011">
        <v>1.011525</v>
      </c>
      <c r="B13011">
        <v>3.3701159999999999</v>
      </c>
      <c r="C13011">
        <f>LOG10(1.011525)</f>
        <v>4.9766208961223267E-3</v>
      </c>
      <c r="D13011">
        <f>LOG10(3.370116)</f>
        <v>0.52764484962293445</v>
      </c>
    </row>
    <row r="13012" spans="1:4">
      <c r="A13012">
        <v>1.0193719999999999</v>
      </c>
      <c r="B13012">
        <v>3.6560220000000001</v>
      </c>
      <c r="C13012">
        <f>LOG10(1.019372)</f>
        <v>8.3327002625970866E-3</v>
      </c>
      <c r="D13012">
        <f>LOG10(3.656022)</f>
        <v>0.56300880042335155</v>
      </c>
    </row>
    <row r="13013" spans="1:4">
      <c r="A13013">
        <v>1.0348200000000001</v>
      </c>
      <c r="B13013">
        <v>3.4531429999999999</v>
      </c>
      <c r="C13013">
        <f>LOG10(1.03482)</f>
        <v>1.4864813749280954E-2</v>
      </c>
      <c r="D13013">
        <f>LOG10(3.453143)</f>
        <v>0.53821456352900265</v>
      </c>
    </row>
    <row r="13014" spans="1:4">
      <c r="A13014">
        <v>1.0296860000000001</v>
      </c>
      <c r="B13014">
        <v>3.364217</v>
      </c>
      <c r="C13014">
        <f>LOG10(1.029686)</f>
        <v>1.270480795002212E-2</v>
      </c>
      <c r="D13014">
        <f>LOG10(3.364217)</f>
        <v>0.52688400105663979</v>
      </c>
    </row>
    <row r="13015" spans="1:4">
      <c r="A13015">
        <v>1.0367550000000001</v>
      </c>
      <c r="B13015">
        <v>3.6111680000000002</v>
      </c>
      <c r="C13015">
        <f>LOG10(1.036755)</f>
        <v>1.5676138530555942E-2</v>
      </c>
      <c r="D13015">
        <f>LOG10(3.611168)</f>
        <v>0.55764769329411101</v>
      </c>
    </row>
    <row r="13016" spans="1:4">
      <c r="A13016">
        <v>1.0250600000000001</v>
      </c>
      <c r="B13016">
        <v>3.4124590000000001</v>
      </c>
      <c r="C13016">
        <f>LOG10(1.02506)</f>
        <v>1.0749286763754091E-2</v>
      </c>
      <c r="D13016">
        <f>LOG10(3.412459)</f>
        <v>0.5330674421203947</v>
      </c>
    </row>
    <row r="13017" spans="1:4">
      <c r="A13017">
        <v>1.020605</v>
      </c>
      <c r="B13017">
        <v>3.4237090000000001</v>
      </c>
      <c r="C13017">
        <f>LOG10(1.020605)</f>
        <v>8.8576916339653637E-3</v>
      </c>
      <c r="D13017">
        <f>LOG10(3.423709)</f>
        <v>0.53449684447914103</v>
      </c>
    </row>
    <row r="13018" spans="1:4">
      <c r="A13018">
        <v>1.028265</v>
      </c>
      <c r="B13018">
        <v>3.3788010000000002</v>
      </c>
      <c r="C13018">
        <f>LOG10(1.028265)</f>
        <v>1.2105053576022526E-2</v>
      </c>
      <c r="D13018">
        <f>LOG10(3.378801)</f>
        <v>0.52876261404571379</v>
      </c>
    </row>
    <row r="13019" spans="1:4">
      <c r="A13019">
        <v>1.032316</v>
      </c>
      <c r="B13019">
        <v>3.5764710000000002</v>
      </c>
      <c r="C13019">
        <f>LOG10(1.032316)</f>
        <v>1.3812658579438511E-2</v>
      </c>
      <c r="D13019">
        <f>LOG10(3.576471)</f>
        <v>0.55345470789546758</v>
      </c>
    </row>
    <row r="13020" spans="1:4">
      <c r="A13020">
        <v>1.018543</v>
      </c>
      <c r="B13020">
        <v>3.2842570000000002</v>
      </c>
      <c r="C13020">
        <f>LOG10(1.018543)</f>
        <v>7.9793684059135134E-3</v>
      </c>
      <c r="D13020">
        <f>LOG10(3.284257)</f>
        <v>0.51643713423142656</v>
      </c>
    </row>
    <row r="13021" spans="1:4">
      <c r="A13021">
        <v>1.031603</v>
      </c>
      <c r="B13021">
        <v>3.592022</v>
      </c>
      <c r="C13021">
        <f>LOG10(1.031603)</f>
        <v>1.3512596437547111E-2</v>
      </c>
      <c r="D13021">
        <f>LOG10(3.592022)</f>
        <v>0.55533898791991676</v>
      </c>
    </row>
    <row r="13022" spans="1:4">
      <c r="A13022">
        <v>1.0434779999999999</v>
      </c>
      <c r="B13022">
        <v>3.5224000000000002</v>
      </c>
      <c r="C13022">
        <f>LOG10(1.043478)</f>
        <v>1.8483297120379057E-2</v>
      </c>
      <c r="D13022">
        <f>LOG10(3.5224)</f>
        <v>0.54683867245146933</v>
      </c>
    </row>
    <row r="13023" spans="1:4">
      <c r="A13023">
        <v>1.0423450000000001</v>
      </c>
      <c r="B13023">
        <v>3.7290100000000002</v>
      </c>
      <c r="C13023">
        <f>LOG10(1.042345)</f>
        <v>1.8011487483232447E-2</v>
      </c>
      <c r="D13023">
        <f>LOG10(3.72901)</f>
        <v>0.57159354800035145</v>
      </c>
    </row>
    <row r="13024" spans="1:4">
      <c r="A13024">
        <v>1.028691</v>
      </c>
      <c r="B13024">
        <v>3.4768870000000001</v>
      </c>
      <c r="C13024">
        <f>LOG10(1.028691)</f>
        <v>1.2284940216218914E-2</v>
      </c>
      <c r="D13024">
        <f>LOG10(3.476887)</f>
        <v>0.54119057619550237</v>
      </c>
    </row>
    <row r="13025" spans="1:4">
      <c r="A13025">
        <v>1.037844</v>
      </c>
      <c r="B13025">
        <v>3.6615180000000001</v>
      </c>
      <c r="C13025">
        <f>LOG10(1.037844)</f>
        <v>1.6132078916366845E-2</v>
      </c>
      <c r="D13025">
        <f>LOG10(3.661518)</f>
        <v>0.56366117346712341</v>
      </c>
    </row>
    <row r="13026" spans="1:4">
      <c r="A13026">
        <v>1.0308330000000001</v>
      </c>
      <c r="B13026">
        <v>3.420776</v>
      </c>
      <c r="C13026">
        <f>LOG10(1.030833)</f>
        <v>1.3188313146717499E-2</v>
      </c>
      <c r="D13026">
        <f>LOG10(3.420776)</f>
        <v>0.53412463655016162</v>
      </c>
    </row>
    <row r="13027" spans="1:4">
      <c r="A13027">
        <v>1.0363420000000001</v>
      </c>
      <c r="B13027">
        <v>3.5357090000000002</v>
      </c>
      <c r="C13027">
        <f>LOG10(1.036342)</f>
        <v>1.550309923389118E-2</v>
      </c>
      <c r="D13027">
        <f>LOG10(3.535709)</f>
        <v>0.54847651400652908</v>
      </c>
    </row>
    <row r="13028" spans="1:4">
      <c r="A13028">
        <v>1.0332589999999999</v>
      </c>
      <c r="B13028">
        <v>3.1495709999999999</v>
      </c>
      <c r="C13028">
        <f>LOG10(1.033259)</f>
        <v>1.4209196807183286E-2</v>
      </c>
      <c r="D13028">
        <f>LOG10(3.149571)</f>
        <v>0.49825140298932391</v>
      </c>
    </row>
    <row r="13029" spans="1:4">
      <c r="A13029">
        <v>1.0015019999999999</v>
      </c>
      <c r="B13029">
        <v>3.5601250000000002</v>
      </c>
      <c r="C13029">
        <f>LOG10(1.001502)</f>
        <v>6.5182091676075781E-4</v>
      </c>
      <c r="D13029">
        <f>LOG10(3.560125)</f>
        <v>0.55146524680916487</v>
      </c>
    </row>
    <row r="13030" spans="1:4">
      <c r="A13030">
        <v>1.0207900000000001</v>
      </c>
      <c r="B13030">
        <v>3.59429</v>
      </c>
      <c r="C13030">
        <f>LOG10(1.02079)</f>
        <v>8.9364069040351896E-3</v>
      </c>
      <c r="D13030">
        <f>LOG10(3.59429)</f>
        <v>0.5556131145978731</v>
      </c>
    </row>
    <row r="13031" spans="1:4">
      <c r="A13031">
        <v>1.011258</v>
      </c>
      <c r="B13031">
        <v>3.520985</v>
      </c>
      <c r="C13031">
        <f>LOG10(1.011258)</f>
        <v>4.8619703109220218E-3</v>
      </c>
      <c r="D13031">
        <f>LOG10(3.520985)</f>
        <v>0.54666417490514452</v>
      </c>
    </row>
    <row r="13032" spans="1:4">
      <c r="A13032">
        <v>1.013026</v>
      </c>
      <c r="B13032">
        <v>3.6254110000000002</v>
      </c>
      <c r="C13032">
        <f>LOG10(1.013026)</f>
        <v>5.6205919660299074E-3</v>
      </c>
      <c r="D13032">
        <f>LOG10(3.625411)</f>
        <v>0.55935724812466914</v>
      </c>
    </row>
    <row r="13033" spans="1:4">
      <c r="A13033">
        <v>1.013692</v>
      </c>
      <c r="B13033">
        <v>3.6532170000000002</v>
      </c>
      <c r="C13033">
        <f>LOG10(1.013692)</f>
        <v>5.9060190805655752E-3</v>
      </c>
      <c r="D13033">
        <f>LOG10(3.653217)</f>
        <v>0.56267546994078255</v>
      </c>
    </row>
    <row r="13034" spans="1:4">
      <c r="A13034">
        <v>1.0117320000000001</v>
      </c>
      <c r="B13034">
        <v>3.6751239999999998</v>
      </c>
      <c r="C13034">
        <f>LOG10(1.011732)</f>
        <v>5.065486480739281E-3</v>
      </c>
      <c r="D13034">
        <f>LOG10(3.675124)</f>
        <v>0.56527199691878349</v>
      </c>
    </row>
    <row r="13035" spans="1:4">
      <c r="A13035">
        <v>1.0030479999999999</v>
      </c>
      <c r="B13035">
        <v>3.6291989999999998</v>
      </c>
      <c r="C13035">
        <f>LOG10(1.003048)</f>
        <v>1.3217163068951206E-3</v>
      </c>
      <c r="D13035">
        <f>LOG10(3.629199)</f>
        <v>0.55981078253849914</v>
      </c>
    </row>
    <row r="13036" spans="1:4">
      <c r="A13036">
        <v>1.003004</v>
      </c>
      <c r="B13036">
        <v>3.7915580000000002</v>
      </c>
      <c r="C13036">
        <f>LOG10(1.003004)</f>
        <v>1.3026649989461958E-3</v>
      </c>
      <c r="D13036">
        <f>LOG10(3.791558)</f>
        <v>0.57881770383762532</v>
      </c>
    </row>
    <row r="13037" spans="1:4">
      <c r="A13037">
        <v>1.012043</v>
      </c>
      <c r="B13037">
        <v>3.7690619999999999</v>
      </c>
      <c r="C13037">
        <f>LOG10(1.012043)</f>
        <v>5.1989653357850264E-3</v>
      </c>
      <c r="D13037">
        <f>LOG10(3.769062)</f>
        <v>0.57623328152931097</v>
      </c>
    </row>
    <row r="13038" spans="1:4">
      <c r="A13038">
        <v>1.008359</v>
      </c>
      <c r="B13038">
        <v>3.901087</v>
      </c>
      <c r="C13038">
        <f>LOG10(1.008359)</f>
        <v>3.6151788967608528E-3</v>
      </c>
      <c r="D13038">
        <f>LOG10(3.901087)</f>
        <v>0.59118563582796857</v>
      </c>
    </row>
    <row r="13039" spans="1:4">
      <c r="A13039">
        <v>1.0054240000000001</v>
      </c>
      <c r="B13039">
        <v>3.7287360000000001</v>
      </c>
      <c r="C13039">
        <f>LOG10(1.005424)</f>
        <v>2.3492478536266547E-3</v>
      </c>
      <c r="D13039">
        <f>LOG10(3.728736)</f>
        <v>0.57156163576089059</v>
      </c>
    </row>
    <row r="13040" spans="1:4">
      <c r="A13040">
        <v>1.0014430000000001</v>
      </c>
      <c r="B13040">
        <v>3.7716090000000002</v>
      </c>
      <c r="C13040">
        <f>LOG10(1.001443)</f>
        <v>6.2623521726364723E-4</v>
      </c>
      <c r="D13040">
        <f>LOG10(3.771609)</f>
        <v>0.57652666340142122</v>
      </c>
    </row>
    <row r="13041" spans="1:4">
      <c r="A13041">
        <v>1.010602</v>
      </c>
      <c r="B13041">
        <v>3.694096</v>
      </c>
      <c r="C13041">
        <f>LOG10(1.010602)</f>
        <v>4.5801533798530136E-3</v>
      </c>
      <c r="D13041">
        <f>LOG10(3.694096)</f>
        <v>0.56750817744112592</v>
      </c>
    </row>
    <row r="13042" spans="1:4">
      <c r="A13042">
        <v>1.0119050000000001</v>
      </c>
      <c r="B13042">
        <v>3.6812510000000001</v>
      </c>
      <c r="C13042">
        <f>LOG10(1.011905)</f>
        <v>5.1397418393359946E-3</v>
      </c>
      <c r="D13042">
        <f>LOG10(3.681251)</f>
        <v>0.56599543010589282</v>
      </c>
    </row>
    <row r="13043" spans="1:4">
      <c r="A13043">
        <v>1.0066170000000001</v>
      </c>
      <c r="B13043">
        <v>3.6507260000000001</v>
      </c>
      <c r="C13043">
        <f>LOG10(1.006617)</f>
        <v>2.8642605970326312E-3</v>
      </c>
      <c r="D13043">
        <f>LOG10(3.650726)</f>
        <v>0.56237923882387353</v>
      </c>
    </row>
    <row r="13044" spans="1:4">
      <c r="A13044">
        <v>1.0120009999999999</v>
      </c>
      <c r="B13044">
        <v>3.5290699999999999</v>
      </c>
      <c r="C13044">
        <f>LOG10(1.012001)</f>
        <v>5.1809416483132153E-3</v>
      </c>
      <c r="D13044">
        <f>LOG10(3.52907)</f>
        <v>0.54766027278678397</v>
      </c>
    </row>
    <row r="13045" spans="1:4">
      <c r="A13045">
        <v>1.0186660000000001</v>
      </c>
      <c r="B13045">
        <v>4.0698670000000003</v>
      </c>
      <c r="C13045">
        <f>LOG10(1.018666)</f>
        <v>8.0318109597595343E-3</v>
      </c>
      <c r="D13045">
        <f>LOG10(4.069867)</f>
        <v>0.60958021706063104</v>
      </c>
    </row>
    <row r="13046" spans="1:4">
      <c r="A13046">
        <v>1.0167029999999999</v>
      </c>
      <c r="B13046">
        <v>3.416712</v>
      </c>
      <c r="C13046">
        <f>LOG10(1.016703)</f>
        <v>7.1941050378348751E-3</v>
      </c>
      <c r="D13046">
        <f>LOG10(3.416712)</f>
        <v>0.53360837298017927</v>
      </c>
    </row>
    <row r="13047" spans="1:4">
      <c r="A13047">
        <v>1.0104569999999999</v>
      </c>
      <c r="B13047">
        <v>3.6335229999999998</v>
      </c>
      <c r="C13047">
        <f>LOG10(1.010457)</f>
        <v>4.5178368418558107E-3</v>
      </c>
      <c r="D13047">
        <f>LOG10(3.633523)</f>
        <v>0.56032791359807466</v>
      </c>
    </row>
    <row r="13048" spans="1:4">
      <c r="A13048">
        <v>1.006861</v>
      </c>
      <c r="B13048">
        <v>3.8403779999999998</v>
      </c>
      <c r="C13048">
        <f>LOG10(1.006861)</f>
        <v>2.9695191139899376E-3</v>
      </c>
      <c r="D13048">
        <f>LOG10(3.840378)</f>
        <v>0.58437397312658712</v>
      </c>
    </row>
    <row r="13049" spans="1:4">
      <c r="A13049">
        <v>1.015107</v>
      </c>
      <c r="B13049">
        <v>3.7863880000000001</v>
      </c>
      <c r="C13049">
        <f>LOG10(1.015107)</f>
        <v>6.5118226042639163E-3</v>
      </c>
      <c r="D13049">
        <f>LOG10(3.786388)</f>
        <v>0.57822511507549823</v>
      </c>
    </row>
    <row r="13050" spans="1:4">
      <c r="A13050">
        <v>1.0037689999999999</v>
      </c>
      <c r="B13050">
        <v>3.7281369999999998</v>
      </c>
      <c r="C13050">
        <f>LOG10(1.003769)</f>
        <v>1.6337789762116473E-3</v>
      </c>
      <c r="D13050">
        <f>LOG10(3.728137)</f>
        <v>0.57149186324492585</v>
      </c>
    </row>
    <row r="13051" spans="1:4">
      <c r="A13051">
        <v>1.0042439999999999</v>
      </c>
      <c r="B13051">
        <v>3.6851780000000001</v>
      </c>
      <c r="C13051">
        <f>LOG10(1.004244)</f>
        <v>1.8392456567080699E-3</v>
      </c>
      <c r="D13051">
        <f>LOG10(3.685178)</f>
        <v>0.56645846982079218</v>
      </c>
    </row>
    <row r="13052" spans="1:4">
      <c r="A13052">
        <v>1.0055160000000001</v>
      </c>
      <c r="B13052">
        <v>3.3483719999999999</v>
      </c>
      <c r="C13052">
        <f>LOG10(1.005516)</f>
        <v>2.3889855806229518E-3</v>
      </c>
      <c r="D13052">
        <f>LOG10(3.348372)</f>
        <v>0.52483370158302445</v>
      </c>
    </row>
    <row r="13053" spans="1:4">
      <c r="A13053">
        <v>1.0125310000000001</v>
      </c>
      <c r="B13053">
        <v>2.9532440000000002</v>
      </c>
      <c r="C13053">
        <f>LOG10(1.012531)</f>
        <v>5.4083286006232174E-3</v>
      </c>
      <c r="D13053">
        <f>LOG10(2.953244)</f>
        <v>0.47029933029588727</v>
      </c>
    </row>
    <row r="13054" spans="1:4">
      <c r="A13054">
        <v>1.0046729999999999</v>
      </c>
      <c r="B13054">
        <v>3.206051</v>
      </c>
      <c r="C13054">
        <f>LOG10(1.004673)</f>
        <v>2.0247310058475474E-3</v>
      </c>
      <c r="D13054">
        <f>LOG10(3.206051)</f>
        <v>0.50597042657782942</v>
      </c>
    </row>
    <row r="13055" spans="1:4">
      <c r="A13055">
        <v>1.007018</v>
      </c>
      <c r="B13055">
        <v>4.0015660000000004</v>
      </c>
      <c r="C13055">
        <f>LOG10(1.007018)</f>
        <v>3.037233444192424E-3</v>
      </c>
      <c r="D13055">
        <f>LOG10(4.001566)</f>
        <v>0.60222998434366559</v>
      </c>
    </row>
    <row r="13056" spans="1:4">
      <c r="A13056">
        <v>1.0101039999999999</v>
      </c>
      <c r="B13056">
        <v>3.811636</v>
      </c>
      <c r="C13056">
        <f>LOG10(1.010104)</f>
        <v>4.3660909122139177E-3</v>
      </c>
      <c r="D13056">
        <f>LOG10(3.811636)</f>
        <v>0.58111142010390371</v>
      </c>
    </row>
    <row r="13057" spans="1:4">
      <c r="A13057">
        <v>1.0180579999999999</v>
      </c>
      <c r="B13057">
        <v>3.4799899999999999</v>
      </c>
      <c r="C13057">
        <f>LOG10(1.018058)</f>
        <v>7.7725209893553561E-3</v>
      </c>
      <c r="D13057">
        <f>LOG10(3.47999)</f>
        <v>0.54157799597213874</v>
      </c>
    </row>
    <row r="13058" spans="1:4">
      <c r="A13058">
        <v>1.009709</v>
      </c>
      <c r="B13058">
        <v>4.0095090000000004</v>
      </c>
      <c r="C13058">
        <f>LOG10(1.009709)</f>
        <v>4.1962273431224561E-3</v>
      </c>
      <c r="D13058">
        <f>LOG10(4.009509)</f>
        <v>0.60309119265844635</v>
      </c>
    </row>
    <row r="13059" spans="1:4">
      <c r="A13059">
        <v>1.0052140000000001</v>
      </c>
      <c r="B13059">
        <v>3.8393480000000002</v>
      </c>
      <c r="C13059">
        <f>LOG10(1.005214)</f>
        <v>2.2585285480815182E-3</v>
      </c>
      <c r="D13059">
        <f>LOG10(3.839348)</f>
        <v>0.58425747852273224</v>
      </c>
    </row>
    <row r="13060" spans="1:4">
      <c r="A13060">
        <v>1.0102249999999999</v>
      </c>
      <c r="B13060">
        <v>3.8076120000000002</v>
      </c>
      <c r="C13060">
        <f>LOG10(1.010225)</f>
        <v>4.4181117784917777E-3</v>
      </c>
      <c r="D13060">
        <f>LOG10(3.807612)</f>
        <v>0.58065268686470128</v>
      </c>
    </row>
    <row r="13061" spans="1:4">
      <c r="A13061">
        <v>1.0132969999999999</v>
      </c>
      <c r="B13061">
        <v>3.7584849999999999</v>
      </c>
      <c r="C13061">
        <f>LOG10(1.013297)</f>
        <v>5.7367568669834529E-3</v>
      </c>
      <c r="D13061">
        <f>LOG10(3.758485)</f>
        <v>0.57501282132942588</v>
      </c>
    </row>
    <row r="13062" spans="1:4">
      <c r="A13062">
        <v>1.004812</v>
      </c>
      <c r="B13062">
        <v>3.5728219999999999</v>
      </c>
      <c r="C13062">
        <f>LOG10(1.004812)</f>
        <v>2.0848130000708245E-3</v>
      </c>
      <c r="D13062">
        <f>LOG10(3.572822)</f>
        <v>0.55301137994623462</v>
      </c>
    </row>
    <row r="13063" spans="1:4">
      <c r="A13063">
        <v>1.005261</v>
      </c>
      <c r="B13063">
        <v>3.7688199999999998</v>
      </c>
      <c r="C13063">
        <f>LOG10(1.005261)</f>
        <v>2.2788340387273919E-3</v>
      </c>
      <c r="D13063">
        <f>LOG10(3.76882)</f>
        <v>0.57620539590715436</v>
      </c>
    </row>
    <row r="13064" spans="1:4">
      <c r="A13064">
        <v>1.007784</v>
      </c>
      <c r="B13064">
        <v>3.6768190000000001</v>
      </c>
      <c r="C13064">
        <f>LOG10(1.007784)</f>
        <v>3.3674590337700668E-3</v>
      </c>
      <c r="D13064">
        <f>LOG10(3.676819)</f>
        <v>0.56547225123519185</v>
      </c>
    </row>
    <row r="13065" spans="1:4">
      <c r="A13065">
        <v>1.0085109999999999</v>
      </c>
      <c r="B13065">
        <v>3.4971999999999999</v>
      </c>
      <c r="C13065">
        <f>LOG10(1.008511)</f>
        <v>3.6806394979639477E-3</v>
      </c>
      <c r="D13065">
        <f>LOG10(3.4972)</f>
        <v>0.54372046971635468</v>
      </c>
    </row>
    <row r="13066" spans="1:4">
      <c r="A13066">
        <v>1.0029129999999999</v>
      </c>
      <c r="B13066">
        <v>3.7194889999999998</v>
      </c>
      <c r="C13066">
        <f>LOG10(1.002913)</f>
        <v>1.2632607784521918E-3</v>
      </c>
      <c r="D13066">
        <f>LOG10(3.719489)</f>
        <v>0.5704832786657571</v>
      </c>
    </row>
    <row r="13067" spans="1:4">
      <c r="A13067">
        <v>1.0020249999999999</v>
      </c>
      <c r="B13067">
        <v>3.375445</v>
      </c>
      <c r="C13067">
        <f>LOG10(1.002025)</f>
        <v>8.7855708671960347E-4</v>
      </c>
      <c r="D13067">
        <f>LOG10(3.375445)</f>
        <v>0.52833103592397812</v>
      </c>
    </row>
    <row r="13068" spans="1:4">
      <c r="A13068">
        <v>1.008964</v>
      </c>
      <c r="B13068">
        <v>3.5764649999999998</v>
      </c>
      <c r="C13068">
        <f>LOG10(1.008964)</f>
        <v>3.8756708154360181E-3</v>
      </c>
      <c r="D13068">
        <f>LOG10(3.576465)</f>
        <v>0.55345397930880291</v>
      </c>
    </row>
    <row r="13069" spans="1:4">
      <c r="A13069">
        <v>1.0056050000000001</v>
      </c>
      <c r="B13069">
        <v>3.784049</v>
      </c>
      <c r="C13069">
        <f>LOG10(1.005605)</f>
        <v>2.4274240524151756E-3</v>
      </c>
      <c r="D13069">
        <f>LOG10(3.784049)</f>
        <v>0.57795675148552461</v>
      </c>
    </row>
    <row r="13070" spans="1:4">
      <c r="A13070">
        <v>1.0035240000000001</v>
      </c>
      <c r="B13070">
        <v>4.1693499999999997</v>
      </c>
      <c r="C13070">
        <f>LOG10(1.003524)</f>
        <v>1.527763413366966E-3</v>
      </c>
      <c r="D13070">
        <f>LOG10(4.16935)</f>
        <v>0.62006835391460813</v>
      </c>
    </row>
    <row r="13071" spans="1:4">
      <c r="A13071">
        <v>1.0033460000000001</v>
      </c>
      <c r="B13071">
        <v>4.1373090000000001</v>
      </c>
      <c r="C13071">
        <f>LOG10(1.003346)</f>
        <v>1.4507236270514617E-3</v>
      </c>
      <c r="D13071">
        <f>LOG10(4.137309)</f>
        <v>0.61671795792317707</v>
      </c>
    </row>
    <row r="13072" spans="1:4">
      <c r="A13072">
        <v>1.008419</v>
      </c>
      <c r="B13072">
        <v>3.8365450000000001</v>
      </c>
      <c r="C13072">
        <f>LOG10(1.008419)</f>
        <v>3.6410197864590356E-3</v>
      </c>
      <c r="D13072">
        <f>LOG10(3.836545)</f>
        <v>0.5839402965383339</v>
      </c>
    </row>
    <row r="13073" spans="1:4">
      <c r="A13073">
        <v>1.0077069999999999</v>
      </c>
      <c r="B13073">
        <v>3.6902200000000001</v>
      </c>
      <c r="C13073">
        <f>LOG10(1.007707)</f>
        <v>3.334275382617206E-3</v>
      </c>
      <c r="D13073">
        <f>LOG10(3.69022)</f>
        <v>0.56705225828315609</v>
      </c>
    </row>
    <row r="13074" spans="1:4">
      <c r="A13074">
        <v>1.0028649999999999</v>
      </c>
      <c r="B13074">
        <v>3.7854950000000001</v>
      </c>
      <c r="C13074">
        <f>LOG10(1.002865)</f>
        <v>1.242474694313911E-3</v>
      </c>
      <c r="D13074">
        <f>LOG10(3.785495)</f>
        <v>0.578122676890931</v>
      </c>
    </row>
    <row r="13075" spans="1:4">
      <c r="A13075">
        <v>1.0042489999999999</v>
      </c>
      <c r="B13075">
        <v>3.5245630000000001</v>
      </c>
      <c r="C13075">
        <f>LOG10(1.004249)</f>
        <v>1.8414079469520836E-3</v>
      </c>
      <c r="D13075">
        <f>LOG10(3.524563)</f>
        <v>0.54710527779446805</v>
      </c>
    </row>
    <row r="13076" spans="1:4">
      <c r="A13076">
        <v>1.0105379999999999</v>
      </c>
      <c r="B13076">
        <v>3.504883</v>
      </c>
      <c r="C13076">
        <f>LOG10(1.010538)</f>
        <v>4.5526492516371302E-3</v>
      </c>
      <c r="D13076">
        <f>LOG10(3.504883)</f>
        <v>0.54467352492679044</v>
      </c>
    </row>
    <row r="13077" spans="1:4">
      <c r="A13077">
        <v>1.003706</v>
      </c>
      <c r="B13077">
        <v>3.4481449999999998</v>
      </c>
      <c r="C13077">
        <f>LOG10(1.003706)</f>
        <v>1.6065203031334228E-3</v>
      </c>
      <c r="D13077">
        <f>LOG10(3.448145)</f>
        <v>0.53758552031271178</v>
      </c>
    </row>
    <row r="13078" spans="1:4">
      <c r="A13078">
        <v>1.0046919999999999</v>
      </c>
      <c r="B13078">
        <v>3.3944420000000002</v>
      </c>
      <c r="C13078">
        <f>LOG10(1.004692)</f>
        <v>2.0329441429892854E-3</v>
      </c>
      <c r="D13078">
        <f>LOG10(3.394442)</f>
        <v>0.5307683923902452</v>
      </c>
    </row>
    <row r="13079" spans="1:4">
      <c r="A13079">
        <v>1.004524</v>
      </c>
      <c r="B13079">
        <v>3.6714540000000002</v>
      </c>
      <c r="C13079">
        <f>LOG10(1.004524)</f>
        <v>1.9603173341944543E-3</v>
      </c>
      <c r="D13079">
        <f>LOG10(3.671454)</f>
        <v>0.56483809126062035</v>
      </c>
    </row>
    <row r="13080" spans="1:4">
      <c r="A13080">
        <v>1.0071669999999999</v>
      </c>
      <c r="B13080">
        <v>3.6330480000000001</v>
      </c>
      <c r="C13080">
        <f>LOG10(1.007167)</f>
        <v>3.1014875995173849E-3</v>
      </c>
      <c r="D13080">
        <f>LOG10(3.633048)</f>
        <v>0.56027113581961552</v>
      </c>
    </row>
    <row r="13081" spans="1:4">
      <c r="A13081">
        <v>1.0067710000000001</v>
      </c>
      <c r="B13081">
        <v>3.3989180000000001</v>
      </c>
      <c r="C13081">
        <f>LOG10(1.006771)</f>
        <v>2.930697220617875E-3</v>
      </c>
      <c r="D13081">
        <f>LOG10(3.398918)</f>
        <v>0.53134068721410121</v>
      </c>
    </row>
    <row r="13082" spans="1:4">
      <c r="A13082">
        <v>1.005709</v>
      </c>
      <c r="B13082">
        <v>3.3100719999999999</v>
      </c>
      <c r="C13082">
        <f>LOG10(1.005709)</f>
        <v>2.4723366082449864E-3</v>
      </c>
      <c r="D13082">
        <f>LOG10(3.310072)</f>
        <v>0.51983744056200698</v>
      </c>
    </row>
    <row r="13083" spans="1:4">
      <c r="A13083">
        <v>1.008337</v>
      </c>
      <c r="B13083">
        <v>3.2897099999999999</v>
      </c>
      <c r="C13083">
        <f>LOG10(1.008337)</f>
        <v>3.6057035186153755E-3</v>
      </c>
      <c r="D13083">
        <f>LOG10(3.28971)</f>
        <v>0.51715761498618606</v>
      </c>
    </row>
    <row r="13084" spans="1:4">
      <c r="A13084">
        <v>1.0100789999999999</v>
      </c>
      <c r="B13084">
        <v>3.3832249999999999</v>
      </c>
      <c r="C13084">
        <f>LOG10(1.010079)</f>
        <v>4.3553420225854933E-3</v>
      </c>
      <c r="D13084">
        <f>LOG10(3.383225)</f>
        <v>0.52933088132598416</v>
      </c>
    </row>
    <row r="13085" spans="1:4">
      <c r="A13085">
        <v>1.0049129999999999</v>
      </c>
      <c r="B13085">
        <v>3.286413</v>
      </c>
      <c r="C13085">
        <f>LOG10(1.004913)</f>
        <v>2.1284644874226917E-3</v>
      </c>
      <c r="D13085">
        <f>LOG10(3.286413)</f>
        <v>0.51672213985081916</v>
      </c>
    </row>
    <row r="13086" spans="1:4">
      <c r="A13086">
        <v>1.00545</v>
      </c>
      <c r="B13086">
        <v>3.375</v>
      </c>
      <c r="C13086">
        <f>LOG10(1.00545)</f>
        <v>2.3604784494074475E-3</v>
      </c>
      <c r="D13086">
        <f>LOG10(3.375)</f>
        <v>0.52827377716704371</v>
      </c>
    </row>
    <row r="13087" spans="1:4">
      <c r="A13087">
        <v>1.0092110000000001</v>
      </c>
      <c r="B13087">
        <v>3.4551259999999999</v>
      </c>
      <c r="C13087">
        <f>LOG10(1.009211)</f>
        <v>3.9819755090981087E-3</v>
      </c>
      <c r="D13087">
        <f>LOG10(3.455126)</f>
        <v>0.53846388965723169</v>
      </c>
    </row>
    <row r="13088" spans="1:4">
      <c r="A13088">
        <v>1.007179</v>
      </c>
      <c r="B13088">
        <v>3.360182</v>
      </c>
      <c r="C13088">
        <f>LOG10(1.007179)</f>
        <v>3.1066620172022852E-3</v>
      </c>
      <c r="D13088">
        <f>LOG10(3.360182)</f>
        <v>0.52636280103718747</v>
      </c>
    </row>
    <row r="13089" spans="1:4">
      <c r="A13089">
        <v>1.004426</v>
      </c>
      <c r="B13089">
        <v>3.4350010000000002</v>
      </c>
      <c r="C13089">
        <f>LOG10(1.004426)</f>
        <v>1.9179460862686732E-3</v>
      </c>
      <c r="D13089">
        <f>LOG10(3.435001)</f>
        <v>0.53592686782771448</v>
      </c>
    </row>
    <row r="13090" spans="1:4">
      <c r="A13090">
        <v>1.0036659999999999</v>
      </c>
      <c r="B13090">
        <v>3.2954659999999998</v>
      </c>
      <c r="C13090">
        <f>LOG10(1.003666)</f>
        <v>1.5892123210768368E-3</v>
      </c>
      <c r="D13090">
        <f>LOG10(3.295466)</f>
        <v>0.51791683529388033</v>
      </c>
    </row>
    <row r="13091" spans="1:4">
      <c r="A13091">
        <v>1.010281</v>
      </c>
      <c r="B13091">
        <v>3.4114140000000002</v>
      </c>
      <c r="C13091">
        <f>LOG10(1.010281)</f>
        <v>4.442185442210503E-3</v>
      </c>
      <c r="D13091">
        <f>LOG10(3.411414)</f>
        <v>0.53293442741243147</v>
      </c>
    </row>
    <row r="13092" spans="1:4">
      <c r="A13092">
        <v>1.006567</v>
      </c>
      <c r="B13092">
        <v>3.312084</v>
      </c>
      <c r="C13092">
        <f>LOG10(1.006567)</f>
        <v>2.8426880789720137E-3</v>
      </c>
      <c r="D13092">
        <f>LOG10(3.312084)</f>
        <v>0.52010134268828623</v>
      </c>
    </row>
    <row r="13093" spans="1:4">
      <c r="A13093">
        <v>1.0054909999999999</v>
      </c>
      <c r="B13093">
        <v>3.2425169999999999</v>
      </c>
      <c r="C13093">
        <f>LOG10(1.005491)</f>
        <v>2.3781876450133673E-3</v>
      </c>
      <c r="D13093">
        <f>LOG10(3.242517)</f>
        <v>0.51088226169885886</v>
      </c>
    </row>
    <row r="13094" spans="1:4">
      <c r="A13094">
        <v>1</v>
      </c>
      <c r="B13094">
        <v>3.1883460000000001</v>
      </c>
      <c r="C13094">
        <f>LOG10(1)</f>
        <v>0</v>
      </c>
      <c r="D13094">
        <f>LOG10(3.188346)</f>
        <v>0.50356544501297062</v>
      </c>
    </row>
    <row r="13095" spans="1:4">
      <c r="A13095">
        <v>1.0102390000000001</v>
      </c>
      <c r="B13095">
        <v>3.1332680000000002</v>
      </c>
      <c r="C13095">
        <f>LOG10(1.010239)</f>
        <v>4.4241303195267289E-3</v>
      </c>
      <c r="D13095">
        <f>LOG10(3.133268)</f>
        <v>0.49599754328366341</v>
      </c>
    </row>
    <row r="13096" spans="1:4">
      <c r="A13096">
        <v>1.0067619999999999</v>
      </c>
      <c r="B13096">
        <v>3.1285669999999999</v>
      </c>
      <c r="C13096">
        <f>LOG10(1.006762)</f>
        <v>2.9268148404063567E-3</v>
      </c>
      <c r="D13096">
        <f>LOG10(3.128567)</f>
        <v>0.49534546007068031</v>
      </c>
    </row>
    <row r="13097" spans="1:4">
      <c r="A13097">
        <v>1.002489</v>
      </c>
      <c r="B13097">
        <v>3.1700740000000001</v>
      </c>
      <c r="C13097">
        <f>LOG10(1.002489)</f>
        <v>1.0796159400898052E-3</v>
      </c>
      <c r="D13097">
        <f>LOG10(3.170074)</f>
        <v>0.501069400204047</v>
      </c>
    </row>
    <row r="13098" spans="1:4">
      <c r="A13098">
        <v>1.0062880000000001</v>
      </c>
      <c r="B13098">
        <v>3.1164960000000002</v>
      </c>
      <c r="C13098">
        <f>LOG10(1.006288)</f>
        <v>2.7222937522798753E-3</v>
      </c>
      <c r="D13098">
        <f>LOG10(3.116496)</f>
        <v>0.49366657381455925</v>
      </c>
    </row>
    <row r="13099" spans="1:4">
      <c r="A13099">
        <v>1.011663</v>
      </c>
      <c r="B13099">
        <v>3.1666799999999999</v>
      </c>
      <c r="C13099">
        <f>LOG10(1.011663)</f>
        <v>5.0358666395683947E-3</v>
      </c>
      <c r="D13099">
        <f>LOG10(3.16668)</f>
        <v>0.5006041791736805</v>
      </c>
    </row>
    <row r="13100" spans="1:4">
      <c r="A13100">
        <v>1.0039610000000001</v>
      </c>
      <c r="B13100">
        <v>3.2718639999999999</v>
      </c>
      <c r="C13100">
        <f>LOG10(1.003961)</f>
        <v>1.7168424765624877E-3</v>
      </c>
      <c r="D13100">
        <f>LOG10(3.271864)</f>
        <v>0.51479524326424098</v>
      </c>
    </row>
    <row r="13101" spans="1:4">
      <c r="A13101">
        <v>1.0028319999999999</v>
      </c>
      <c r="B13101">
        <v>3.4564050000000002</v>
      </c>
      <c r="C13101">
        <f>LOG10(1.002832)</f>
        <v>1.2281836843517095E-3</v>
      </c>
      <c r="D13101">
        <f>LOG10(3.456405)</f>
        <v>0.53862462470962313</v>
      </c>
    </row>
    <row r="13102" spans="1:4">
      <c r="A13102">
        <v>1.0102850000000001</v>
      </c>
      <c r="B13102">
        <v>3.2904499999999999</v>
      </c>
      <c r="C13102">
        <f>LOG10(1.010285)</f>
        <v>4.4439049385572348E-3</v>
      </c>
      <c r="D13102">
        <f>LOG10(3.29045)</f>
        <v>0.51725529586870667</v>
      </c>
    </row>
    <row r="13103" spans="1:4">
      <c r="A13103">
        <v>1.0083409999999999</v>
      </c>
      <c r="B13103">
        <v>3.4779239999999998</v>
      </c>
      <c r="C13103">
        <f>LOG10(1.008341)</f>
        <v>3.6074263300186521E-3</v>
      </c>
      <c r="D13103">
        <f>LOG10(3.477924)</f>
        <v>0.54132008751682259</v>
      </c>
    </row>
    <row r="13104" spans="1:4">
      <c r="A13104">
        <v>1.004769</v>
      </c>
      <c r="B13104">
        <v>3.1938040000000001</v>
      </c>
      <c r="C13104">
        <f>LOG10(1.004769)</f>
        <v>2.0662273717983672E-3</v>
      </c>
      <c r="D13104">
        <f>LOG10(3.193804)</f>
        <v>0.50430826047800903</v>
      </c>
    </row>
    <row r="13105" spans="1:4">
      <c r="A13105">
        <v>1.0062260000000001</v>
      </c>
      <c r="B13105">
        <v>3.0627010000000001</v>
      </c>
      <c r="C13105">
        <f>LOG10(1.006226)</f>
        <v>2.695534924379525E-3</v>
      </c>
      <c r="D13105">
        <f>LOG10(3.062701)</f>
        <v>0.48610460033629371</v>
      </c>
    </row>
    <row r="13106" spans="1:4">
      <c r="A13106">
        <v>1.0120979999999999</v>
      </c>
      <c r="B13106">
        <v>3.106703</v>
      </c>
      <c r="C13106">
        <f>LOG10(1.012098)</f>
        <v>5.2225666526009209E-3</v>
      </c>
      <c r="D13106">
        <f>LOG10(3.106703)</f>
        <v>0.49229973679973882</v>
      </c>
    </row>
    <row r="13107" spans="1:4">
      <c r="A13107">
        <v>1.009415</v>
      </c>
      <c r="B13107">
        <v>3.1762260000000002</v>
      </c>
      <c r="C13107">
        <f>LOG10(1.009415)</f>
        <v>4.0697541016752525E-3</v>
      </c>
      <c r="D13107">
        <f>LOG10(3.176226)</f>
        <v>0.50191139648205596</v>
      </c>
    </row>
    <row r="13108" spans="1:4">
      <c r="A13108">
        <v>1.0065500000000001</v>
      </c>
      <c r="B13108">
        <v>3.1196079999999999</v>
      </c>
      <c r="C13108">
        <f>LOG10(1.00655)</f>
        <v>2.8353531787227962E-3</v>
      </c>
      <c r="D13108">
        <f>LOG10(3.119608)</f>
        <v>0.49410002538620496</v>
      </c>
    </row>
    <row r="13109" spans="1:4">
      <c r="A13109">
        <v>1.0018309999999999</v>
      </c>
      <c r="B13109">
        <v>3.2105220000000001</v>
      </c>
      <c r="C13109">
        <f>LOG10(1.001831)</f>
        <v>7.9446608441956516E-4</v>
      </c>
      <c r="D13109">
        <f>LOG10(3.210522)</f>
        <v>0.5065756502518487</v>
      </c>
    </row>
    <row r="13110" spans="1:4">
      <c r="A13110">
        <v>1.0135179999999999</v>
      </c>
      <c r="B13110">
        <v>3.3256999999999999</v>
      </c>
      <c r="C13110">
        <f>LOG10(1.013518)</f>
        <v>5.8314661333753086E-3</v>
      </c>
      <c r="D13110">
        <f>LOG10(3.3257)</f>
        <v>0.52188307043346227</v>
      </c>
    </row>
    <row r="13111" spans="1:4">
      <c r="A13111">
        <v>1.0104010000000001</v>
      </c>
      <c r="B13111">
        <v>3.103507</v>
      </c>
      <c r="C13111">
        <f>LOG10(1.010401)</f>
        <v>4.4937673713707641E-3</v>
      </c>
      <c r="D13111">
        <f>LOG10(3.103507)</f>
        <v>0.49185272927931656</v>
      </c>
    </row>
    <row r="13112" spans="1:4">
      <c r="A13112">
        <v>1.0025280000000001</v>
      </c>
      <c r="B13112">
        <v>3.1651220000000002</v>
      </c>
      <c r="C13112">
        <f>LOG10(1.002528)</f>
        <v>1.0965110435192684E-3</v>
      </c>
      <c r="D13112">
        <f>LOG10(3.165122)</f>
        <v>0.50039045460792153</v>
      </c>
    </row>
    <row r="13113" spans="1:4">
      <c r="A13113">
        <v>1.002694</v>
      </c>
      <c r="B13113">
        <v>3.1864509999999999</v>
      </c>
      <c r="C13113">
        <f>LOG10(1.002694)</f>
        <v>1.1684161833597244E-3</v>
      </c>
      <c r="D13113">
        <f>LOG10(3.186451)</f>
        <v>0.50330724445616914</v>
      </c>
    </row>
    <row r="13114" spans="1:4">
      <c r="A13114">
        <v>1.008534</v>
      </c>
      <c r="B13114">
        <v>3.0458820000000002</v>
      </c>
      <c r="C13114">
        <f>LOG10(1.008534)</f>
        <v>3.690543861113262E-3</v>
      </c>
      <c r="D13114">
        <f>LOG10(3.045882)</f>
        <v>0.4837130743967662</v>
      </c>
    </row>
    <row r="13115" spans="1:4">
      <c r="A13115">
        <v>1.002335</v>
      </c>
      <c r="B13115">
        <v>3.0736509999999999</v>
      </c>
      <c r="C13115">
        <f>LOG10(1.002335)</f>
        <v>1.0128955193998695E-3</v>
      </c>
      <c r="D13115">
        <f>LOG10(3.073651)</f>
        <v>0.48765455367158139</v>
      </c>
    </row>
    <row r="13116" spans="1:4">
      <c r="A13116">
        <v>1.001298</v>
      </c>
      <c r="B13116">
        <v>3.3618489999999999</v>
      </c>
      <c r="C13116">
        <f>LOG10(1.001298)</f>
        <v>5.6334870324507976E-4</v>
      </c>
      <c r="D13116">
        <f>LOG10(3.361849)</f>
        <v>0.52657820287516588</v>
      </c>
    </row>
    <row r="13117" spans="1:4">
      <c r="A13117">
        <v>1.003708</v>
      </c>
      <c r="B13117">
        <v>3.084517</v>
      </c>
      <c r="C13117">
        <f>LOG10(1.003708)</f>
        <v>1.6073856841299008E-3</v>
      </c>
      <c r="D13117">
        <f>LOG10(3.084517)</f>
        <v>0.48918716815621693</v>
      </c>
    </row>
    <row r="13118" spans="1:4">
      <c r="A13118">
        <v>1.011922</v>
      </c>
      <c r="B13118">
        <v>3.1103879999999999</v>
      </c>
      <c r="C13118">
        <f>LOG10(1.011922)</f>
        <v>5.147037923628279E-3</v>
      </c>
      <c r="D13118">
        <f>LOG10(3.110388)</f>
        <v>0.49281456772411392</v>
      </c>
    </row>
    <row r="13119" spans="1:4">
      <c r="A13119">
        <v>1.004724</v>
      </c>
      <c r="B13119">
        <v>3.0865860000000001</v>
      </c>
      <c r="C13119">
        <f>LOG10(1.004724)</f>
        <v>2.0467764439385089E-3</v>
      </c>
      <c r="D13119">
        <f>LOG10(3.086586)</f>
        <v>0.48947838200136784</v>
      </c>
    </row>
    <row r="13120" spans="1:4">
      <c r="A13120">
        <v>1.0052129999999999</v>
      </c>
      <c r="B13120">
        <v>3.0244279999999999</v>
      </c>
      <c r="C13120">
        <f>LOG10(1.005213)</f>
        <v>2.2580965060506821E-3</v>
      </c>
      <c r="D13120">
        <f>LOG10(3.024428)</f>
        <v>0.48064325008493219</v>
      </c>
    </row>
    <row r="13121" spans="1:4">
      <c r="A13121">
        <v>1.009673</v>
      </c>
      <c r="B13121">
        <v>3.3214100000000002</v>
      </c>
      <c r="C13121">
        <f>LOG10(1.009673)</f>
        <v>4.1807428024559145E-3</v>
      </c>
      <c r="D13121">
        <f>LOG10(3.32141)</f>
        <v>0.52132248889169497</v>
      </c>
    </row>
    <row r="13122" spans="1:4">
      <c r="A13122">
        <v>1.0226489999999999</v>
      </c>
      <c r="B13122">
        <v>3.1771129999999999</v>
      </c>
      <c r="C13122">
        <f>LOG10(1.022649)</f>
        <v>9.7265980128353521E-3</v>
      </c>
      <c r="D13122">
        <f>LOG10(3.177113)</f>
        <v>0.50203266160200344</v>
      </c>
    </row>
    <row r="13123" spans="1:4">
      <c r="A13123">
        <v>1.015625</v>
      </c>
      <c r="B13123">
        <v>3.1551840000000002</v>
      </c>
      <c r="C13123">
        <f>LOG10(1.015625)</f>
        <v>6.7333826589684028E-3</v>
      </c>
      <c r="D13123">
        <f>LOG10(3.155184)</f>
        <v>0.49902469095085827</v>
      </c>
    </row>
    <row r="13124" spans="1:4">
      <c r="A13124">
        <v>1.000319</v>
      </c>
      <c r="B13124">
        <v>3.0199379999999998</v>
      </c>
      <c r="C13124">
        <f>LOG10(1.000319)</f>
        <v>1.3851784730492962E-4</v>
      </c>
      <c r="D13124">
        <f>LOG10(3.019938)</f>
        <v>0.47999802688619791</v>
      </c>
    </row>
    <row r="13125" spans="1:4">
      <c r="A13125">
        <v>1.009717</v>
      </c>
      <c r="B13125">
        <v>3.226064</v>
      </c>
      <c r="C13125">
        <f>LOG10(1.009717)</f>
        <v>4.1996682771851526E-3</v>
      </c>
      <c r="D13125">
        <f>LOG10(3.226064)</f>
        <v>0.50867297885304719</v>
      </c>
    </row>
    <row r="13126" spans="1:4">
      <c r="A13126">
        <v>1.0095160000000001</v>
      </c>
      <c r="B13126">
        <v>3.2546379999999999</v>
      </c>
      <c r="C13126">
        <f>LOG10(1.009516)</f>
        <v>4.1132065452791954E-3</v>
      </c>
      <c r="D13126">
        <f>LOG10(3.254638)</f>
        <v>0.51250269080120259</v>
      </c>
    </row>
    <row r="13127" spans="1:4">
      <c r="A13127">
        <v>1.003352</v>
      </c>
      <c r="B13127">
        <v>3.26891</v>
      </c>
      <c r="C13127">
        <f>LOG10(1.003352)</f>
        <v>1.4533206963577606E-3</v>
      </c>
      <c r="D13127">
        <f>LOG10(3.26891)</f>
        <v>0.51440296370015082</v>
      </c>
    </row>
    <row r="13128" spans="1:4">
      <c r="A13128">
        <v>1.0072669999999999</v>
      </c>
      <c r="B13128">
        <v>3.182474</v>
      </c>
      <c r="C13128">
        <f>LOG10(1.007267)</f>
        <v>3.1446058632341361E-3</v>
      </c>
      <c r="D13128">
        <f>LOG10(3.182474)</f>
        <v>0.50276486426515743</v>
      </c>
    </row>
    <row r="13129" spans="1:4">
      <c r="A13129">
        <v>1.017112</v>
      </c>
      <c r="B13129">
        <v>3.1211880000000001</v>
      </c>
      <c r="C13129">
        <f>LOG10(1.017112)</f>
        <v>7.368778196891081E-3</v>
      </c>
      <c r="D13129">
        <f>LOG10(3.121188)</f>
        <v>0.49431992851909634</v>
      </c>
    </row>
    <row r="13130" spans="1:4">
      <c r="A13130">
        <v>1.014049</v>
      </c>
      <c r="B13130">
        <v>3.244027</v>
      </c>
      <c r="C13130">
        <f>LOG10(1.014049)</f>
        <v>6.0589411072360048E-3</v>
      </c>
      <c r="D13130">
        <f>LOG10(3.244027)</f>
        <v>0.51108446018221765</v>
      </c>
    </row>
    <row r="13131" spans="1:4">
      <c r="A13131">
        <v>1.0064660000000001</v>
      </c>
      <c r="B13131">
        <v>3.1937410000000002</v>
      </c>
      <c r="C13131">
        <f>LOG10(1.006466)</f>
        <v>2.7991083237380015E-3</v>
      </c>
      <c r="D13131">
        <f>LOG10(3.193741)</f>
        <v>0.50429969363351379</v>
      </c>
    </row>
    <row r="13132" spans="1:4">
      <c r="A13132">
        <v>1.006729</v>
      </c>
      <c r="B13132">
        <v>3.272157</v>
      </c>
      <c r="C13132">
        <f>LOG10(1.006729)</f>
        <v>2.9125791493562663E-3</v>
      </c>
      <c r="D13132">
        <f>LOG10(3.272157)</f>
        <v>0.51483413320156934</v>
      </c>
    </row>
    <row r="13133" spans="1:4">
      <c r="A13133">
        <v>1.008602</v>
      </c>
      <c r="B13133">
        <v>3.1394739999999999</v>
      </c>
      <c r="C13133">
        <f>LOG10(1.008602)</f>
        <v>3.7198250050525794E-3</v>
      </c>
      <c r="D13133">
        <f>LOG10(3.139474)</f>
        <v>0.49685689073780259</v>
      </c>
    </row>
    <row r="13134" spans="1:4">
      <c r="A13134">
        <v>1.011312</v>
      </c>
      <c r="B13134">
        <v>3.3007379999999999</v>
      </c>
      <c r="C13134">
        <f>LOG10(1.011312)</f>
        <v>4.8851605115364351E-3</v>
      </c>
      <c r="D13134">
        <f>LOG10(3.300738)</f>
        <v>0.51861105305795308</v>
      </c>
    </row>
    <row r="13135" spans="1:4">
      <c r="A13135">
        <v>1.0048870000000001</v>
      </c>
      <c r="B13135">
        <v>3.0731299999999999</v>
      </c>
      <c r="C13135">
        <f>LOG10(1.004887)</f>
        <v>2.1172278902189365E-3</v>
      </c>
      <c r="D13135">
        <f>LOG10(3.07313)</f>
        <v>0.4875809322344053</v>
      </c>
    </row>
    <row r="13136" spans="1:4">
      <c r="A13136">
        <v>1.0039100000000001</v>
      </c>
      <c r="B13136">
        <v>3.0414569999999999</v>
      </c>
      <c r="C13136">
        <f>LOG10(1.00391)</f>
        <v>1.6947802837404993E-3</v>
      </c>
      <c r="D13136">
        <f>LOG10(3.041457)</f>
        <v>0.48308168080396197</v>
      </c>
    </row>
    <row r="13137" spans="1:4">
      <c r="A13137">
        <v>1.0075080000000001</v>
      </c>
      <c r="B13137">
        <v>3.1282730000000001</v>
      </c>
      <c r="C13137">
        <f>LOG10(1.007508)</f>
        <v>3.248503291619873E-3</v>
      </c>
      <c r="D13137">
        <f>LOG10(3.128273)</f>
        <v>0.49530464631236992</v>
      </c>
    </row>
    <row r="13138" spans="1:4">
      <c r="A13138">
        <v>1.0051289999999999</v>
      </c>
      <c r="B13138">
        <v>3.311982</v>
      </c>
      <c r="C13138">
        <f>LOG10(1.005129)</f>
        <v>2.2218034409890236E-3</v>
      </c>
      <c r="D13138">
        <f>LOG10(3.311982)</f>
        <v>0.5200879678103314</v>
      </c>
    </row>
    <row r="13139" spans="1:4">
      <c r="A13139">
        <v>1.003603</v>
      </c>
      <c r="B13139">
        <v>3.15673</v>
      </c>
      <c r="C13139">
        <f>LOG10(1.003603)</f>
        <v>1.5619508505227097E-3</v>
      </c>
      <c r="D13139">
        <f>LOG10(3.15673)</f>
        <v>0.49923743760185801</v>
      </c>
    </row>
    <row r="13140" spans="1:4">
      <c r="A13140">
        <v>1.0033559999999999</v>
      </c>
      <c r="B13140">
        <v>3.290413</v>
      </c>
      <c r="C13140">
        <f>LOG10(1.003356)</f>
        <v>1.4550520672672988E-3</v>
      </c>
      <c r="D13140">
        <f>LOG10(3.290413)</f>
        <v>0.51725041234633862</v>
      </c>
    </row>
    <row r="13141" spans="1:4">
      <c r="A13141">
        <v>1.016783</v>
      </c>
      <c r="B13141">
        <v>3.1568489999999998</v>
      </c>
      <c r="C13141">
        <f>LOG10(1.016783)</f>
        <v>7.2282764642132413E-3</v>
      </c>
      <c r="D13141">
        <f>LOG10(3.156849)</f>
        <v>0.49925380899543759</v>
      </c>
    </row>
    <row r="13142" spans="1:4">
      <c r="A13142">
        <v>1.008499</v>
      </c>
      <c r="B13142">
        <v>3.377281</v>
      </c>
      <c r="C13142">
        <f>LOG10(1.008499)</f>
        <v>3.675471914478633E-3</v>
      </c>
      <c r="D13142">
        <f>LOG10(3.377281)</f>
        <v>0.52856719675396657</v>
      </c>
    </row>
    <row r="13143" spans="1:4">
      <c r="A13143">
        <v>1.0074270000000001</v>
      </c>
      <c r="B13143">
        <v>3.2955649999999999</v>
      </c>
      <c r="C13143">
        <f>LOG10(1.007427)</f>
        <v>3.2135861820822339E-3</v>
      </c>
      <c r="D13143">
        <f>LOG10(3.295565)</f>
        <v>0.51792988185782818</v>
      </c>
    </row>
    <row r="13144" spans="1:4">
      <c r="A13144">
        <v>1.013333</v>
      </c>
      <c r="B13144">
        <v>3.3572389999999999</v>
      </c>
      <c r="C13144">
        <f>LOG10(1.013333)</f>
        <v>5.7521860290408837E-3</v>
      </c>
      <c r="D13144">
        <f>LOG10(3.357239)</f>
        <v>0.52598225953412614</v>
      </c>
    </row>
    <row r="13145" spans="1:4">
      <c r="A13145">
        <v>1.0127029999999999</v>
      </c>
      <c r="B13145">
        <v>3.1763810000000001</v>
      </c>
      <c r="C13145">
        <f>LOG10(1.012703)</f>
        <v>5.4820965218282591E-3</v>
      </c>
      <c r="D13145">
        <f>LOG10(3.176381)</f>
        <v>0.50193258955907405</v>
      </c>
    </row>
    <row r="13146" spans="1:4">
      <c r="A13146">
        <v>1.011698</v>
      </c>
      <c r="B13146">
        <v>3.338079</v>
      </c>
      <c r="C13146">
        <f>LOG10(1.011698)</f>
        <v>5.0508914491482308E-3</v>
      </c>
      <c r="D13146">
        <f>LOG10(3.338079)</f>
        <v>0.523496610611077</v>
      </c>
    </row>
    <row r="13147" spans="1:4">
      <c r="A13147">
        <v>1.0071209999999999</v>
      </c>
      <c r="B13147">
        <v>3.2933889999999999</v>
      </c>
      <c r="C13147">
        <f>LOG10(1.007121)</f>
        <v>3.0816517605797371E-3</v>
      </c>
      <c r="D13147">
        <f>LOG10(3.293389)</f>
        <v>0.51764303061346439</v>
      </c>
    </row>
    <row r="13148" spans="1:4">
      <c r="A13148">
        <v>1.0105649999999999</v>
      </c>
      <c r="B13148">
        <v>3.4631259999999999</v>
      </c>
      <c r="C13148">
        <f>LOG10(1.010565)</f>
        <v>4.5642527681447843E-3</v>
      </c>
      <c r="D13148">
        <f>LOG10(3.463126)</f>
        <v>0.53946829290933385</v>
      </c>
    </row>
    <row r="13149" spans="1:4">
      <c r="A13149">
        <v>1.0085850000000001</v>
      </c>
      <c r="B13149">
        <v>3.3339940000000001</v>
      </c>
      <c r="C13149">
        <f>LOG10(1.008585)</f>
        <v>3.7125049041472082E-3</v>
      </c>
      <c r="D13149">
        <f>LOG10(3.333994)</f>
        <v>0.52296481391753058</v>
      </c>
    </row>
    <row r="13150" spans="1:4">
      <c r="A13150">
        <v>1.0062789999999999</v>
      </c>
      <c r="B13150">
        <v>3.3117770000000002</v>
      </c>
      <c r="C13150">
        <f>LOG10(1.006279)</f>
        <v>2.7184095085878942E-3</v>
      </c>
      <c r="D13150">
        <f>LOG10(3.311777)</f>
        <v>0.52006108568227738</v>
      </c>
    </row>
    <row r="13151" spans="1:4">
      <c r="A13151">
        <v>1.006929</v>
      </c>
      <c r="B13151">
        <v>3.3348019999999998</v>
      </c>
      <c r="C13151">
        <f>LOG10(1.006929)</f>
        <v>2.9988489098282593E-3</v>
      </c>
      <c r="D13151">
        <f>LOG10(3.334802)</f>
        <v>0.5230700532870044</v>
      </c>
    </row>
    <row r="13152" spans="1:4">
      <c r="A13152">
        <v>1.0096830000000001</v>
      </c>
      <c r="B13152">
        <v>3.2880959999999999</v>
      </c>
      <c r="C13152">
        <f>LOG10(1.009683)</f>
        <v>4.1850441191322177E-3</v>
      </c>
      <c r="D13152">
        <f>LOG10(3.288096)</f>
        <v>0.51694448881376343</v>
      </c>
    </row>
    <row r="13153" spans="1:4">
      <c r="A13153">
        <v>1.019706</v>
      </c>
      <c r="B13153">
        <v>3.3304680000000002</v>
      </c>
      <c r="C13153">
        <f>LOG10(1.019706)</f>
        <v>8.4749747202225376E-3</v>
      </c>
      <c r="D13153">
        <f>LOG10(3.330468)</f>
        <v>0.52250526519894724</v>
      </c>
    </row>
    <row r="13154" spans="1:4">
      <c r="A13154">
        <v>1.0037700000000001</v>
      </c>
      <c r="B13154">
        <v>3.4480330000000001</v>
      </c>
      <c r="C13154">
        <f>LOG10(1.00377)</f>
        <v>1.6342116397683342E-3</v>
      </c>
      <c r="D13154">
        <f>LOG10(3.448033)</f>
        <v>0.53757141366349903</v>
      </c>
    </row>
    <row r="13155" spans="1:4">
      <c r="A13155">
        <v>1.003784</v>
      </c>
      <c r="B13155">
        <v>3.057992</v>
      </c>
      <c r="C13155">
        <f>LOG10(1.003784)</f>
        <v>1.6402688843024549E-3</v>
      </c>
      <c r="D13155">
        <f>LOG10(3.057992)</f>
        <v>0.48543634492182131</v>
      </c>
    </row>
    <row r="13156" spans="1:4">
      <c r="A13156">
        <v>1.004847</v>
      </c>
      <c r="B13156">
        <v>3.4427669999999999</v>
      </c>
      <c r="C13156">
        <f>LOG10(1.004847)</f>
        <v>2.0999402498859958E-3</v>
      </c>
      <c r="D13156">
        <f>LOG10(3.442767)</f>
        <v>0.53690763146494025</v>
      </c>
    </row>
    <row r="13157" spans="1:4">
      <c r="A13157">
        <v>1.011563</v>
      </c>
      <c r="B13157">
        <v>3.5003920000000002</v>
      </c>
      <c r="C13157">
        <f>LOG10(1.011563)</f>
        <v>4.992935747788944E-3</v>
      </c>
      <c r="D13157">
        <f>LOG10(3.500392)</f>
        <v>0.54411668260855717</v>
      </c>
    </row>
    <row r="13158" spans="1:4">
      <c r="A13158">
        <v>1.0029729999999999</v>
      </c>
      <c r="B13158">
        <v>3.5404149999999999</v>
      </c>
      <c r="C13158">
        <f>LOG10(1.002973)</f>
        <v>1.2892419846841955E-3</v>
      </c>
      <c r="D13158">
        <f>LOG10(3.540415)</f>
        <v>0.5490541720953801</v>
      </c>
    </row>
    <row r="13159" spans="1:4">
      <c r="A13159">
        <v>1.0097050000000001</v>
      </c>
      <c r="B13159">
        <v>3.3601839999999998</v>
      </c>
      <c r="C13159">
        <f>LOG10(1.009705)</f>
        <v>4.1945068658675996E-3</v>
      </c>
      <c r="D13159">
        <f>LOG10(3.360184)</f>
        <v>0.52636305953172891</v>
      </c>
    </row>
    <row r="13160" spans="1:4">
      <c r="A13160">
        <v>1.0153160000000001</v>
      </c>
      <c r="B13160">
        <v>3.5929530000000001</v>
      </c>
      <c r="C13160">
        <f>LOG10(1.015316)</f>
        <v>6.6012301287437002E-3</v>
      </c>
      <c r="D13160">
        <f>LOG10(3.592953)</f>
        <v>0.55545153616536358</v>
      </c>
    </row>
    <row r="13161" spans="1:4">
      <c r="A13161">
        <v>1.0105189999999999</v>
      </c>
      <c r="B13161">
        <v>3.4577849999999999</v>
      </c>
      <c r="C13161">
        <f>LOG10(1.010519)</f>
        <v>4.5444836282465956E-3</v>
      </c>
      <c r="D13161">
        <f>LOG10(3.457785)</f>
        <v>0.53879798598346273</v>
      </c>
    </row>
    <row r="13162" spans="1:4">
      <c r="A13162">
        <v>1.0057320000000001</v>
      </c>
      <c r="B13162">
        <v>3.503762</v>
      </c>
      <c r="C13162">
        <f>LOG10(1.005732)</f>
        <v>2.48226856556738E-3</v>
      </c>
      <c r="D13162">
        <f>LOG10(3.503762)</f>
        <v>0.54453459818178762</v>
      </c>
    </row>
    <row r="13163" spans="1:4">
      <c r="A13163">
        <v>1.0094099999999999</v>
      </c>
      <c r="B13163">
        <v>3.232828</v>
      </c>
      <c r="C13163">
        <f>LOG10(1.00941)</f>
        <v>4.0676028776617445E-3</v>
      </c>
      <c r="D13163">
        <f>LOG10(3.232828)</f>
        <v>0.50958259893942714</v>
      </c>
    </row>
    <row r="13164" spans="1:4">
      <c r="A13164">
        <v>1.0153030000000001</v>
      </c>
      <c r="B13164">
        <v>3.5109910000000002</v>
      </c>
      <c r="C13164">
        <f>LOG10(1.015303)</f>
        <v>6.5956694319661792E-3</v>
      </c>
      <c r="D13164">
        <f>LOG10(3.510991)</f>
        <v>0.54542971620549741</v>
      </c>
    </row>
    <row r="13165" spans="1:4">
      <c r="A13165">
        <v>1.0078739999999999</v>
      </c>
      <c r="B13165">
        <v>3.317402</v>
      </c>
      <c r="C13165">
        <f>LOG10(1.007874)</f>
        <v>3.4062419060601422E-3</v>
      </c>
      <c r="D13165">
        <f>LOG10(3.317402)</f>
        <v>0.52079810215052902</v>
      </c>
    </row>
    <row r="13166" spans="1:4">
      <c r="A13166">
        <v>1.002526</v>
      </c>
      <c r="B13166">
        <v>3.5854720000000002</v>
      </c>
      <c r="C13166">
        <f>LOG10(1.002526)</f>
        <v>1.0956446439471554E-3</v>
      </c>
      <c r="D13166">
        <f>LOG10(3.585472)</f>
        <v>0.55454633531829045</v>
      </c>
    </row>
    <row r="13167" spans="1:4">
      <c r="A13167">
        <v>1.009228</v>
      </c>
      <c r="B13167">
        <v>3.525344</v>
      </c>
      <c r="C13167">
        <f>LOG10(1.009228)</f>
        <v>3.9892910694816538E-3</v>
      </c>
      <c r="D13167">
        <f>LOG10(3.525344)</f>
        <v>0.54720150147280988</v>
      </c>
    </row>
    <row r="13168" spans="1:4">
      <c r="A13168">
        <v>1.015228</v>
      </c>
      <c r="B13168">
        <v>3.628584</v>
      </c>
      <c r="C13168">
        <f>LOG10(1.015228)</f>
        <v>6.5635870986675716E-3</v>
      </c>
      <c r="D13168">
        <f>LOG10(3.628584)</f>
        <v>0.5597371812453743</v>
      </c>
    </row>
    <row r="13169" spans="1:4">
      <c r="A13169">
        <v>1.017018</v>
      </c>
      <c r="B13169">
        <v>3.583396</v>
      </c>
      <c r="C13169">
        <f>LOG10(1.017018)</f>
        <v>7.3286394827204214E-3</v>
      </c>
      <c r="D13169">
        <f>LOG10(3.583396)</f>
        <v>0.5542948045690469</v>
      </c>
    </row>
    <row r="13170" spans="1:4">
      <c r="A13170">
        <v>1.008597</v>
      </c>
      <c r="B13170">
        <v>3.675395</v>
      </c>
      <c r="C13170">
        <f>LOG10(1.008597)</f>
        <v>3.7176720470057678E-3</v>
      </c>
      <c r="D13170">
        <f>LOG10(3.675395)</f>
        <v>0.5653040201826236</v>
      </c>
    </row>
    <row r="13171" spans="1:4">
      <c r="A13171">
        <v>1.026643</v>
      </c>
      <c r="B13171">
        <v>3.562684</v>
      </c>
      <c r="C13171">
        <f>LOG10(1.026643)</f>
        <v>1.1419450331553584E-2</v>
      </c>
      <c r="D13171">
        <f>LOG10(3.562684)</f>
        <v>0.55177730336634789</v>
      </c>
    </row>
    <row r="13172" spans="1:4">
      <c r="A13172">
        <v>1.025876</v>
      </c>
      <c r="B13172">
        <v>3.7453349999999999</v>
      </c>
      <c r="C13172">
        <f>LOG10(1.025876)</f>
        <v>1.1094869771641704E-2</v>
      </c>
      <c r="D13172">
        <f>LOG10(3.745335)</f>
        <v>0.57349066907010648</v>
      </c>
    </row>
    <row r="13173" spans="1:4">
      <c r="A13173">
        <v>1.0273019999999999</v>
      </c>
      <c r="B13173">
        <v>3.7597860000000001</v>
      </c>
      <c r="C13173">
        <f>LOG10(1.027302)</f>
        <v>1.1698133619952165E-2</v>
      </c>
      <c r="D13173">
        <f>LOG10(3.759786)</f>
        <v>0.57516312639999223</v>
      </c>
    </row>
    <row r="13174" spans="1:4">
      <c r="A13174">
        <v>1.027536</v>
      </c>
      <c r="B13174">
        <v>3.309812</v>
      </c>
      <c r="C13174">
        <f>LOG10(1.027536)</f>
        <v>1.1797046438582816E-2</v>
      </c>
      <c r="D13174">
        <f>LOG10(3.309812)</f>
        <v>0.51980332619826497</v>
      </c>
    </row>
    <row r="13175" spans="1:4">
      <c r="A13175">
        <v>1.0366489999999999</v>
      </c>
      <c r="B13175">
        <v>3.6995269999999998</v>
      </c>
      <c r="C13175">
        <f>LOG10(1.036649)</f>
        <v>1.5631733084128789E-2</v>
      </c>
      <c r="D13175">
        <f>LOG10(3.699527)</f>
        <v>0.56814620125040949</v>
      </c>
    </row>
    <row r="13176" spans="1:4">
      <c r="A13176">
        <v>1.0283690000000001</v>
      </c>
      <c r="B13176">
        <v>3.35486</v>
      </c>
      <c r="C13176">
        <f>LOG10(1.028369)</f>
        <v>1.2148976438482723E-2</v>
      </c>
      <c r="D13176">
        <f>LOG10(3.35486)</f>
        <v>0.52567440155535905</v>
      </c>
    </row>
    <row r="13177" spans="1:4">
      <c r="A13177">
        <v>1.036324</v>
      </c>
      <c r="B13177">
        <v>3.370736</v>
      </c>
      <c r="C13177">
        <f>LOG10(1.036324)</f>
        <v>1.5495556001479893E-2</v>
      </c>
      <c r="D13177">
        <f>LOG10(3.370736)</f>
        <v>0.52772473939934239</v>
      </c>
    </row>
    <row r="13178" spans="1:4">
      <c r="A13178">
        <v>1.0300670000000001</v>
      </c>
      <c r="B13178">
        <v>3.5540539999999998</v>
      </c>
      <c r="C13178">
        <f>LOG10(1.030067)</f>
        <v>1.2865474009974238E-2</v>
      </c>
      <c r="D13178">
        <f>LOG10(3.554054)</f>
        <v>0.55072402215354233</v>
      </c>
    </row>
    <row r="13179" spans="1:4">
      <c r="A13179">
        <v>1.025128</v>
      </c>
      <c r="B13179">
        <v>3.6881339999999998</v>
      </c>
      <c r="C13179">
        <f>LOG10(1.025128)</f>
        <v>1.0778095853242695E-2</v>
      </c>
      <c r="D13179">
        <f>LOG10(3.688134)</f>
        <v>0.5668066917751281</v>
      </c>
    </row>
    <row r="13180" spans="1:4">
      <c r="A13180">
        <v>1.0510870000000001</v>
      </c>
      <c r="B13180">
        <v>3.7514590000000001</v>
      </c>
      <c r="C13180">
        <f>LOG10(1.051087)</f>
        <v>2.1638664702057529E-2</v>
      </c>
      <c r="D13180">
        <f>LOG10(3.751459)</f>
        <v>0.57420020437246666</v>
      </c>
    </row>
    <row r="13181" spans="1:4">
      <c r="A13181">
        <v>1.0246379999999999</v>
      </c>
      <c r="B13181">
        <v>3.3214380000000001</v>
      </c>
      <c r="C13181">
        <f>LOG10(1.024638)</f>
        <v>1.0570458200763092E-2</v>
      </c>
      <c r="D13181">
        <f>LOG10(3.321438)</f>
        <v>0.52132615004591476</v>
      </c>
    </row>
    <row r="13182" spans="1:4">
      <c r="A13182">
        <v>1.0199720000000001</v>
      </c>
      <c r="B13182">
        <v>3.5896690000000002</v>
      </c>
      <c r="C13182">
        <f>LOG10(1.019972)</f>
        <v>8.588249788974784E-3</v>
      </c>
      <c r="D13182">
        <f>LOG10(3.589669)</f>
        <v>0.55505440453907118</v>
      </c>
    </row>
    <row r="13183" spans="1:4">
      <c r="A13183">
        <v>1.0383249999999999</v>
      </c>
      <c r="B13183">
        <v>3.4555630000000002</v>
      </c>
      <c r="C13183">
        <f>LOG10(1.038325)</f>
        <v>1.633331075205351E-2</v>
      </c>
      <c r="D13183">
        <f>LOG10(3.455563)</f>
        <v>0.53851881520484202</v>
      </c>
    </row>
    <row r="13184" spans="1:4">
      <c r="A13184">
        <v>1.031204</v>
      </c>
      <c r="B13184">
        <v>3.6860369999999998</v>
      </c>
      <c r="C13184">
        <f>LOG10(1.031204)</f>
        <v>1.3344588959929998E-2</v>
      </c>
      <c r="D13184">
        <f>LOG10(3.686037)</f>
        <v>0.56655969030117259</v>
      </c>
    </row>
    <row r="13185" spans="1:4">
      <c r="A13185">
        <v>1.0247470000000001</v>
      </c>
      <c r="B13185">
        <v>3.6853669999999998</v>
      </c>
      <c r="C13185">
        <f>LOG10(1.024747)</f>
        <v>1.0616655570776193E-2</v>
      </c>
      <c r="D13185">
        <f>LOG10(3.685367)</f>
        <v>0.56648074270755899</v>
      </c>
    </row>
    <row r="13186" spans="1:4">
      <c r="A13186">
        <v>1.0282880000000001</v>
      </c>
      <c r="B13186">
        <v>3.6253660000000001</v>
      </c>
      <c r="C13186">
        <f>LOG10(1.028288)</f>
        <v>1.2114767668568876E-2</v>
      </c>
      <c r="D13186">
        <f>LOG10(3.625366)</f>
        <v>0.55935185746055527</v>
      </c>
    </row>
    <row r="13187" spans="1:4">
      <c r="A13187">
        <v>1.0263519999999999</v>
      </c>
      <c r="B13187">
        <v>3.6983169999999999</v>
      </c>
      <c r="C13187">
        <f>LOG10(1.026352)</f>
        <v>1.1296332939567491E-2</v>
      </c>
      <c r="D13187">
        <f>LOG10(3.698317)</f>
        <v>0.56800413382433534</v>
      </c>
    </row>
    <row r="13188" spans="1:4">
      <c r="A13188">
        <v>1.0357350000000001</v>
      </c>
      <c r="B13188">
        <v>3.8049789999999999</v>
      </c>
      <c r="C13188">
        <f>LOG10(1.035735)</f>
        <v>1.5248652359517223E-2</v>
      </c>
      <c r="D13188">
        <f>LOG10(3.804979)</f>
        <v>0.58035226420533337</v>
      </c>
    </row>
    <row r="13189" spans="1:4">
      <c r="A13189">
        <v>1.021139</v>
      </c>
      <c r="B13189">
        <v>3.7763529999999998</v>
      </c>
      <c r="C13189">
        <f>LOG10(1.021139)</f>
        <v>9.0848633642354303E-3</v>
      </c>
      <c r="D13189">
        <f>LOG10(3.776353)</f>
        <v>0.57707258382164628</v>
      </c>
    </row>
    <row r="13190" spans="1:4">
      <c r="A13190">
        <v>1.0330859999999999</v>
      </c>
      <c r="B13190">
        <v>3.9287879999999999</v>
      </c>
      <c r="C13190">
        <f>LOG10(1.033086)</f>
        <v>1.413647618643041E-2</v>
      </c>
      <c r="D13190">
        <f>LOG10(3.928788)</f>
        <v>0.59425859462646391</v>
      </c>
    </row>
    <row r="13191" spans="1:4">
      <c r="A13191">
        <v>1.0347280000000001</v>
      </c>
      <c r="B13191">
        <v>4.0185919999999999</v>
      </c>
      <c r="C13191">
        <f>LOG10(1.034728)</f>
        <v>1.4826201364005125E-2</v>
      </c>
      <c r="D13191">
        <f>LOG10(4.018592)</f>
        <v>0.60407391533776689</v>
      </c>
    </row>
    <row r="13192" spans="1:4">
      <c r="A13192">
        <v>1.031863</v>
      </c>
      <c r="B13192">
        <v>3.8047650000000002</v>
      </c>
      <c r="C13192">
        <f>LOG10(1.031863)</f>
        <v>1.3622040029922643E-2</v>
      </c>
      <c r="D13192">
        <f>LOG10(3.804765)</f>
        <v>0.58032783788582731</v>
      </c>
    </row>
    <row r="13193" spans="1:4">
      <c r="A13193">
        <v>1.016456</v>
      </c>
      <c r="B13193">
        <v>3.205435</v>
      </c>
      <c r="C13193">
        <f>LOG10(1.016456)</f>
        <v>7.0885837898087408E-3</v>
      </c>
      <c r="D13193">
        <f>LOG10(3.205435)</f>
        <v>0.50588697465991983</v>
      </c>
    </row>
    <row r="13194" spans="1:4">
      <c r="A13194">
        <v>1.036316</v>
      </c>
      <c r="B13194">
        <v>3.0873309999999998</v>
      </c>
      <c r="C13194">
        <f>LOG10(1.036316)</f>
        <v>1.5492203411685963E-2</v>
      </c>
      <c r="D13194">
        <f>LOG10(3.087331)</f>
        <v>0.48958319370861564</v>
      </c>
    </row>
    <row r="13195" spans="1:4">
      <c r="A13195">
        <v>1.0257689999999999</v>
      </c>
      <c r="B13195">
        <v>3.8113429999999999</v>
      </c>
      <c r="C13195">
        <f>LOG10(1.025769)</f>
        <v>1.1049570015001725E-2</v>
      </c>
      <c r="D13195">
        <f>LOG10(3.811343)</f>
        <v>0.5810780346562302</v>
      </c>
    </row>
    <row r="13196" spans="1:4">
      <c r="A13196">
        <v>1.024842</v>
      </c>
      <c r="B13196">
        <v>3.746429</v>
      </c>
      <c r="C13196">
        <f>LOG10(1.024842)</f>
        <v>1.0656915326083561E-2</v>
      </c>
      <c r="D13196">
        <f>LOG10(3.746429)</f>
        <v>0.57361750653230603</v>
      </c>
    </row>
    <row r="13197" spans="1:4">
      <c r="A13197">
        <v>1.0219419999999999</v>
      </c>
      <c r="B13197">
        <v>3.8276840000000001</v>
      </c>
      <c r="C13197">
        <f>LOG10(1.021942)</f>
        <v>9.4262482500284649E-3</v>
      </c>
      <c r="D13197">
        <f>LOG10(3.827684)</f>
        <v>0.58293607677433901</v>
      </c>
    </row>
    <row r="13198" spans="1:4">
      <c r="A13198">
        <v>1.0322039999999999</v>
      </c>
      <c r="B13198">
        <v>3.6338789999999999</v>
      </c>
      <c r="C13198">
        <f>LOG10(1.032204)</f>
        <v>1.3765537716457353E-2</v>
      </c>
      <c r="D13198">
        <f>LOG10(3.633879)</f>
        <v>0.56037046218302455</v>
      </c>
    </row>
    <row r="13199" spans="1:4">
      <c r="A13199">
        <v>1.0269200000000001</v>
      </c>
      <c r="B13199">
        <v>3.7908770000000001</v>
      </c>
      <c r="C13199">
        <f>LOG10(1.02692)</f>
        <v>1.1536612134933212E-2</v>
      </c>
      <c r="D13199">
        <f>LOG10(3.790877)</f>
        <v>0.57873969339824227</v>
      </c>
    </row>
    <row r="13200" spans="1:4">
      <c r="A13200">
        <v>1.016405</v>
      </c>
      <c r="B13200">
        <v>3.9098989999999998</v>
      </c>
      <c r="C13200">
        <f>LOG10(1.016405)</f>
        <v>7.0667928079543767E-3</v>
      </c>
      <c r="D13200">
        <f>LOG10(3.909899)</f>
        <v>0.59216553890246304</v>
      </c>
    </row>
    <row r="13201" spans="1:4">
      <c r="A13201">
        <v>1.0183009999999999</v>
      </c>
      <c r="B13201">
        <v>3.7478359999999999</v>
      </c>
      <c r="C13201">
        <f>LOG10(1.018301)</f>
        <v>7.8761702570958811E-3</v>
      </c>
      <c r="D13201">
        <f>LOG10(3.747836)</f>
        <v>0.57378057851954356</v>
      </c>
    </row>
    <row r="13202" spans="1:4">
      <c r="A13202">
        <v>1.0278849999999999</v>
      </c>
      <c r="B13202">
        <v>3.670102</v>
      </c>
      <c r="C13202">
        <f>LOG10(1.027885)</f>
        <v>1.1944528414918366E-2</v>
      </c>
      <c r="D13202">
        <f>LOG10(3.670102)</f>
        <v>0.56467813439420911</v>
      </c>
    </row>
    <row r="13203" spans="1:4">
      <c r="A13203">
        <v>1.026886</v>
      </c>
      <c r="B13203">
        <v>3.9446189999999999</v>
      </c>
      <c r="C13203">
        <f>LOG10(1.026886)</f>
        <v>1.1522232965346504E-2</v>
      </c>
      <c r="D13203">
        <f>LOG10(3.944619)</f>
        <v>0.59600506225055638</v>
      </c>
    </row>
    <row r="13204" spans="1:4">
      <c r="A13204">
        <v>1.0200549999999999</v>
      </c>
      <c r="B13204">
        <v>3.9292549999999999</v>
      </c>
      <c r="C13204">
        <f>LOG10(1.020055)</f>
        <v>8.6235889702873728E-3</v>
      </c>
      <c r="D13204">
        <f>LOG10(3.929255)</f>
        <v>0.59431021448226962</v>
      </c>
    </row>
    <row r="13205" spans="1:4">
      <c r="A13205">
        <v>1.031455</v>
      </c>
      <c r="B13205">
        <v>3.5929139999999999</v>
      </c>
      <c r="C13205">
        <f>LOG10(1.031455)</f>
        <v>1.3450285457020187E-2</v>
      </c>
      <c r="D13205">
        <f>LOG10(3.592914)</f>
        <v>0.55544682205507057</v>
      </c>
    </row>
    <row r="13206" spans="1:4">
      <c r="A13206">
        <v>1.0177290000000001</v>
      </c>
      <c r="B13206">
        <v>3.6617299999999999</v>
      </c>
      <c r="C13206">
        <f>LOG10(1.017729)</f>
        <v>7.6321498348190658E-3</v>
      </c>
      <c r="D13206">
        <f>LOG10(3.66173)</f>
        <v>0.56368631816526527</v>
      </c>
    </row>
    <row r="13207" spans="1:4">
      <c r="A13207">
        <v>1.026913</v>
      </c>
      <c r="B13207">
        <v>3.6225879999999999</v>
      </c>
      <c r="C13207">
        <f>LOG10(1.026913)</f>
        <v>1.1533651756583684E-2</v>
      </c>
      <c r="D13207">
        <f>LOG10(3.622588)</f>
        <v>0.55901894416397369</v>
      </c>
    </row>
    <row r="13208" spans="1:4">
      <c r="A13208">
        <v>1.021109</v>
      </c>
      <c r="B13208">
        <v>3.5398900000000002</v>
      </c>
      <c r="C13208">
        <f>LOG10(1.021109)</f>
        <v>9.072104057375515E-3</v>
      </c>
      <c r="D13208">
        <f>LOG10(3.53989)</f>
        <v>0.54898976678984124</v>
      </c>
    </row>
    <row r="13209" spans="1:4">
      <c r="A13209">
        <v>1.0318590000000001</v>
      </c>
      <c r="B13209">
        <v>3.5259079999999998</v>
      </c>
      <c r="C13209">
        <f>LOG10(1.031859)</f>
        <v>1.3620356491221628E-2</v>
      </c>
      <c r="D13209">
        <f>LOG10(3.525908)</f>
        <v>0.54727097625213017</v>
      </c>
    </row>
    <row r="13210" spans="1:4">
      <c r="A13210">
        <v>1.02877</v>
      </c>
      <c r="B13210">
        <v>3.58853</v>
      </c>
      <c r="C13210">
        <f>LOG10(1.02877)</f>
        <v>1.2318291287356779E-2</v>
      </c>
      <c r="D13210">
        <f>LOG10(3.58853)</f>
        <v>0.55491658127197052</v>
      </c>
    </row>
    <row r="13211" spans="1:4">
      <c r="A13211">
        <v>1.0268569999999999</v>
      </c>
      <c r="B13211">
        <v>3.7303069999999998</v>
      </c>
      <c r="C13211">
        <f>LOG10(1.026857)</f>
        <v>1.1509968003298131E-2</v>
      </c>
      <c r="D13211">
        <f>LOG10(3.730307)</f>
        <v>0.57174457521871602</v>
      </c>
    </row>
    <row r="13212" spans="1:4">
      <c r="A13212">
        <v>1.026904</v>
      </c>
      <c r="B13212">
        <v>3.7049989999999999</v>
      </c>
      <c r="C13212">
        <f>LOG10(1.026904)</f>
        <v>1.1529845526196923E-2</v>
      </c>
      <c r="D13212">
        <f>LOG10(3.704999)</f>
        <v>0.56878809509684747</v>
      </c>
    </row>
    <row r="13213" spans="1:4">
      <c r="A13213">
        <v>1.0278350000000001</v>
      </c>
      <c r="B13213">
        <v>3.4260760000000001</v>
      </c>
      <c r="C13213">
        <f>LOG10(1.027835)</f>
        <v>1.1923402265346057E-2</v>
      </c>
      <c r="D13213">
        <f>LOG10(3.426076)</f>
        <v>0.53479699260921576</v>
      </c>
    </row>
    <row r="13214" spans="1:4">
      <c r="A13214">
        <v>1.0225679999999999</v>
      </c>
      <c r="B13214">
        <v>3.581439</v>
      </c>
      <c r="C13214">
        <f>LOG10(1.022568)</f>
        <v>9.692197894850263E-3</v>
      </c>
      <c r="D13214">
        <f>LOG10(3.581439)</f>
        <v>0.55405755854112848</v>
      </c>
    </row>
    <row r="13215" spans="1:4">
      <c r="A13215">
        <v>1.017563</v>
      </c>
      <c r="B13215">
        <v>3.7260939999999998</v>
      </c>
      <c r="C13215">
        <f>LOG10(1.017563)</f>
        <v>7.5613070425751567E-3</v>
      </c>
      <c r="D13215">
        <f>LOG10(3.726094)</f>
        <v>0.57125380685822569</v>
      </c>
    </row>
    <row r="13216" spans="1:4">
      <c r="A13216">
        <v>1.028327</v>
      </c>
      <c r="B13216">
        <v>3.5277509999999999</v>
      </c>
      <c r="C13216">
        <f>LOG10(1.028327)</f>
        <v>1.2131238894147037E-2</v>
      </c>
      <c r="D13216">
        <f>LOG10(3.527751)</f>
        <v>0.54749792364166572</v>
      </c>
    </row>
    <row r="13217" spans="1:4">
      <c r="A13217">
        <v>1.0249470000000001</v>
      </c>
      <c r="B13217">
        <v>3.3942290000000002</v>
      </c>
      <c r="C13217">
        <f>LOG10(1.024947)</f>
        <v>1.0701408608699222E-2</v>
      </c>
      <c r="D13217">
        <f>LOG10(3.394229)</f>
        <v>0.53074113971452241</v>
      </c>
    </row>
    <row r="13218" spans="1:4">
      <c r="A13218">
        <v>1.027652</v>
      </c>
      <c r="B13218">
        <v>3.5774279999999998</v>
      </c>
      <c r="C13218">
        <f>LOG10(1.027652)</f>
        <v>1.1846071792909793E-2</v>
      </c>
      <c r="D13218">
        <f>LOG10(3.577428)</f>
        <v>0.55357090182598312</v>
      </c>
    </row>
    <row r="13219" spans="1:4">
      <c r="A13219">
        <v>1.0211239999999999</v>
      </c>
      <c r="B13219">
        <v>3.3836300000000001</v>
      </c>
      <c r="C13219">
        <f>LOG10(1.021124)</f>
        <v>9.078483757663007E-3</v>
      </c>
      <c r="D13219">
        <f>LOG10(3.38363)</f>
        <v>0.52938286685408575</v>
      </c>
    </row>
    <row r="13220" spans="1:4">
      <c r="A13220">
        <v>1.0280149999999999</v>
      </c>
      <c r="B13220">
        <v>3.2087880000000002</v>
      </c>
      <c r="C13220">
        <f>LOG10(1.028015)</f>
        <v>1.1999451594764326E-2</v>
      </c>
      <c r="D13220">
        <f>LOG10(3.208788)</f>
        <v>0.50634102483262566</v>
      </c>
    </row>
    <row r="13221" spans="1:4">
      <c r="A13221">
        <v>1.0146120000000001</v>
      </c>
      <c r="B13221">
        <v>3.2645580000000001</v>
      </c>
      <c r="C13221">
        <f>LOG10(1.014612)</f>
        <v>6.2999944913044309E-3</v>
      </c>
      <c r="D13221">
        <f>LOG10(3.264558)</f>
        <v>0.51382438893257498</v>
      </c>
    </row>
    <row r="13222" spans="1:4">
      <c r="A13222">
        <v>1.021488</v>
      </c>
      <c r="B13222">
        <v>3.2920099999999999</v>
      </c>
      <c r="C13222">
        <f>LOG10(1.021488)</f>
        <v>9.2332690943654067E-3</v>
      </c>
      <c r="D13222">
        <f>LOG10(3.29201)</f>
        <v>0.51746114578027558</v>
      </c>
    </row>
    <row r="13223" spans="1:4">
      <c r="A13223">
        <v>1.0124109999999999</v>
      </c>
      <c r="B13223">
        <v>3.3497560000000002</v>
      </c>
      <c r="C13223">
        <f>LOG10(1.012411)</f>
        <v>5.3568551876667482E-3</v>
      </c>
      <c r="D13223">
        <f>LOG10(3.349756)</f>
        <v>0.52501317368971101</v>
      </c>
    </row>
    <row r="13224" spans="1:4">
      <c r="A13224">
        <v>1.0202830000000001</v>
      </c>
      <c r="B13224">
        <v>3.9683039999999998</v>
      </c>
      <c r="C13224">
        <f>LOG10(1.020283)</f>
        <v>8.7206504790042112E-3</v>
      </c>
      <c r="D13224">
        <f>LOG10(3.968304)</f>
        <v>0.59860493476876597</v>
      </c>
    </row>
    <row r="13225" spans="1:4">
      <c r="A13225">
        <v>1.0179830000000001</v>
      </c>
      <c r="B13225">
        <v>4.0562490000000002</v>
      </c>
      <c r="C13225">
        <f>LOG10(1.017983)</f>
        <v>7.7405254783048417E-3</v>
      </c>
      <c r="D13225">
        <f>LOG10(4.056249)</f>
        <v>0.60812460707645422</v>
      </c>
    </row>
    <row r="13226" spans="1:4">
      <c r="A13226">
        <v>1.038198</v>
      </c>
      <c r="B13226">
        <v>3.2928700000000002</v>
      </c>
      <c r="C13226">
        <f>LOG10(1.038198)</f>
        <v>1.6280187912315659E-2</v>
      </c>
      <c r="D13226">
        <f>LOG10(3.29287)</f>
        <v>0.51757458543492696</v>
      </c>
    </row>
    <row r="13227" spans="1:4">
      <c r="A13227">
        <v>1.0233509999999999</v>
      </c>
      <c r="B13227">
        <v>3.4473889999999998</v>
      </c>
      <c r="C13227">
        <f>LOG10(1.023351)</f>
        <v>1.002461828483898E-2</v>
      </c>
      <c r="D13227">
        <f>LOG10(3.447389)</f>
        <v>0.5374902915372074</v>
      </c>
    </row>
    <row r="13228" spans="1:4">
      <c r="A13228">
        <v>1.026025</v>
      </c>
      <c r="B13228">
        <v>3.2300170000000001</v>
      </c>
      <c r="C13228">
        <f>LOG10(1.026025)</f>
        <v>1.1157942871091731E-2</v>
      </c>
      <c r="D13228">
        <f>LOG10(3.230017)</f>
        <v>0.50920480808551882</v>
      </c>
    </row>
    <row r="13229" spans="1:4">
      <c r="A13229">
        <v>1.0226759999999999</v>
      </c>
      <c r="B13229">
        <v>3.2694350000000001</v>
      </c>
      <c r="C13229">
        <f>LOG10(1.022676)</f>
        <v>9.73806411334463E-3</v>
      </c>
      <c r="D13229">
        <f>LOG10(3.269435)</f>
        <v>0.5144727075278287</v>
      </c>
    </row>
    <row r="13230" spans="1:4">
      <c r="A13230">
        <v>1.0184949999999999</v>
      </c>
      <c r="B13230">
        <v>3.452413</v>
      </c>
      <c r="C13230">
        <f>LOG10(1.018495)</f>
        <v>7.9589013010924591E-3</v>
      </c>
      <c r="D13230">
        <f>LOG10(3.452413)</f>
        <v>0.53812274326920884</v>
      </c>
    </row>
    <row r="13231" spans="1:4">
      <c r="A13231">
        <v>1.024335</v>
      </c>
      <c r="B13231">
        <v>3.2373850000000002</v>
      </c>
      <c r="C13231">
        <f>LOG10(1.024335)</f>
        <v>1.0442012165626581E-2</v>
      </c>
      <c r="D13231">
        <f>LOG10(3.237385)</f>
        <v>0.51019435013873726</v>
      </c>
    </row>
    <row r="13232" spans="1:4">
      <c r="A13232">
        <v>1.016931</v>
      </c>
      <c r="B13232">
        <v>3.294673</v>
      </c>
      <c r="C13232">
        <f>LOG10(1.016931)</f>
        <v>7.2914865158086612E-3</v>
      </c>
      <c r="D13232">
        <f>LOG10(3.294673)</f>
        <v>0.51781231685327955</v>
      </c>
    </row>
    <row r="13233" spans="1:4">
      <c r="A13233">
        <v>1.0127889999999999</v>
      </c>
      <c r="B13233">
        <v>3.5310830000000002</v>
      </c>
      <c r="C13233">
        <f>LOG10(1.012789)</f>
        <v>5.5189757842160018E-3</v>
      </c>
      <c r="D13233">
        <f>LOG10(3.531083)</f>
        <v>0.54790792600782923</v>
      </c>
    </row>
    <row r="13234" spans="1:4">
      <c r="A13234">
        <v>1.0157149999999999</v>
      </c>
      <c r="B13234">
        <v>3.2514470000000002</v>
      </c>
      <c r="C13234">
        <f>LOG10(1.015715)</f>
        <v>6.7718661264301126E-3</v>
      </c>
      <c r="D13234">
        <f>LOG10(3.251447)</f>
        <v>0.51207667921270461</v>
      </c>
    </row>
    <row r="13235" spans="1:4">
      <c r="A13235">
        <v>1.016772</v>
      </c>
      <c r="B13235">
        <v>3.5258539999999998</v>
      </c>
      <c r="C13235">
        <f>LOG10(1.016772)</f>
        <v>7.2235780525145418E-3</v>
      </c>
      <c r="D13235">
        <f>LOG10(3.525854)</f>
        <v>0.54726432489264776</v>
      </c>
    </row>
    <row r="13236" spans="1:4">
      <c r="A13236">
        <v>1.014133</v>
      </c>
      <c r="B13236">
        <v>3.328792</v>
      </c>
      <c r="C13236">
        <f>LOG10(1.014133)</f>
        <v>6.0949149365084471E-3</v>
      </c>
      <c r="D13236">
        <f>LOG10(3.328792)</f>
        <v>0.52228665905741245</v>
      </c>
    </row>
    <row r="13237" spans="1:4">
      <c r="A13237">
        <v>1.0302519999999999</v>
      </c>
      <c r="B13237">
        <v>3.3892959999999999</v>
      </c>
      <c r="C13237">
        <f>LOG10(1.030252)</f>
        <v>1.2943466281431211E-2</v>
      </c>
      <c r="D13237">
        <f>LOG10(3.389296)</f>
        <v>0.53010949906843485</v>
      </c>
    </row>
    <row r="13238" spans="1:4">
      <c r="A13238">
        <v>1.022095</v>
      </c>
      <c r="B13238">
        <v>3.4734940000000001</v>
      </c>
      <c r="C13238">
        <f>LOG10(1.022095)</f>
        <v>9.4912637618370325E-3</v>
      </c>
      <c r="D13238">
        <f>LOG10(3.473494)</f>
        <v>0.54076655302492949</v>
      </c>
    </row>
    <row r="13239" spans="1:4">
      <c r="A13239">
        <v>1.0217810000000001</v>
      </c>
      <c r="B13239">
        <v>3.318543</v>
      </c>
      <c r="C13239">
        <f>LOG10(1.021781)</f>
        <v>9.3578227229575237E-3</v>
      </c>
      <c r="D13239">
        <f>LOG10(3.318543)</f>
        <v>0.52094744938253135</v>
      </c>
    </row>
    <row r="13240" spans="1:4">
      <c r="A13240">
        <v>1.0252920000000001</v>
      </c>
      <c r="B13240">
        <v>3.1685430000000001</v>
      </c>
      <c r="C13240">
        <f>LOG10(1.025292)</f>
        <v>1.0847568737026544E-2</v>
      </c>
      <c r="D13240">
        <f>LOG10(3.168543)</f>
        <v>0.50085960527094919</v>
      </c>
    </row>
    <row r="13241" spans="1:4">
      <c r="A13241">
        <v>1.0234259999999999</v>
      </c>
      <c r="B13241">
        <v>3.3236840000000001</v>
      </c>
      <c r="C13241">
        <f>LOG10(1.023426)</f>
        <v>1.0056445969200628E-2</v>
      </c>
      <c r="D13241">
        <f>LOG10(3.323684)</f>
        <v>0.52161972642976395</v>
      </c>
    </row>
    <row r="13242" spans="1:4">
      <c r="A13242">
        <v>1.017857</v>
      </c>
      <c r="B13242">
        <v>3.1482130000000002</v>
      </c>
      <c r="C13242">
        <f>LOG10(1.017857)</f>
        <v>7.6867677126752146E-3</v>
      </c>
      <c r="D13242">
        <f>LOG10(3.148213)</f>
        <v>0.4980641079294853</v>
      </c>
    </row>
    <row r="13243" spans="1:4">
      <c r="A13243">
        <v>1.008321</v>
      </c>
      <c r="B13243">
        <v>3.341637</v>
      </c>
      <c r="C13243">
        <f>LOG10(1.008321)</f>
        <v>3.5988122046587156E-3</v>
      </c>
      <c r="D13243">
        <f>LOG10(3.341637)</f>
        <v>0.5239592709735087</v>
      </c>
    </row>
    <row r="13244" spans="1:4">
      <c r="A13244">
        <v>1.0109170000000001</v>
      </c>
      <c r="B13244">
        <v>3.2918240000000001</v>
      </c>
      <c r="C13244">
        <f>LOG10(1.010917)</f>
        <v>4.7154998820692047E-3</v>
      </c>
      <c r="D13244">
        <f>LOG10(3.291824)</f>
        <v>0.51743660725951235</v>
      </c>
    </row>
    <row r="13245" spans="1:4">
      <c r="A13245">
        <v>1.02</v>
      </c>
      <c r="B13245">
        <v>3.450472</v>
      </c>
      <c r="C13245">
        <f>LOG10(1.02)</f>
        <v>8.6001717619175692E-3</v>
      </c>
      <c r="D13245">
        <f>LOG10(3.450472)</f>
        <v>0.53787850752963307</v>
      </c>
    </row>
    <row r="13246" spans="1:4">
      <c r="A13246">
        <v>1.027714</v>
      </c>
      <c r="B13246">
        <v>3.3360029999999998</v>
      </c>
      <c r="C13246">
        <f>LOG10(1.027714)</f>
        <v>1.1872272730247642E-2</v>
      </c>
      <c r="D13246">
        <f>LOG10(3.336003)</f>
        <v>0.52322643251811707</v>
      </c>
    </row>
    <row r="13247" spans="1:4">
      <c r="A13247">
        <v>1.0193239999999999</v>
      </c>
      <c r="B13247">
        <v>3.2518880000000001</v>
      </c>
      <c r="C13247">
        <f>LOG10(1.019324)</f>
        <v>8.312249802955014E-3</v>
      </c>
      <c r="D13247">
        <f>LOG10(3.251888)</f>
        <v>0.51213557941292898</v>
      </c>
    </row>
    <row r="13248" spans="1:4">
      <c r="A13248">
        <v>1.0156890000000001</v>
      </c>
      <c r="B13248">
        <v>3.2858719999999999</v>
      </c>
      <c r="C13248">
        <f>LOG10(1.015689)</f>
        <v>6.7607490305397434E-3</v>
      </c>
      <c r="D13248">
        <f>LOG10(3.285872)</f>
        <v>0.5166506416381762</v>
      </c>
    </row>
    <row r="13249" spans="1:4">
      <c r="A13249">
        <v>1.0255650000000001</v>
      </c>
      <c r="B13249">
        <v>3.333704</v>
      </c>
      <c r="C13249">
        <f>LOG10(1.025565)</f>
        <v>1.0963191029814259E-2</v>
      </c>
      <c r="D13249">
        <f>LOG10(3.333704)</f>
        <v>0.52292703614180303</v>
      </c>
    </row>
    <row r="13250" spans="1:4">
      <c r="A13250">
        <v>1.0328310000000001</v>
      </c>
      <c r="B13250">
        <v>3.7400199999999999</v>
      </c>
      <c r="C13250">
        <f>LOG10(1.032831)</f>
        <v>1.4029264625222772E-2</v>
      </c>
      <c r="D13250">
        <f>LOG10(3.74002)</f>
        <v>0.57287392462465503</v>
      </c>
    </row>
    <row r="13251" spans="1:4">
      <c r="A13251">
        <v>1.0295859999999999</v>
      </c>
      <c r="B13251">
        <v>3.81602</v>
      </c>
      <c r="C13251">
        <f>LOG10(1.029586)</f>
        <v>1.2662628531057986E-2</v>
      </c>
      <c r="D13251">
        <f>LOG10(3.81602)</f>
        <v>0.5816106422026226</v>
      </c>
    </row>
    <row r="13252" spans="1:4">
      <c r="A13252">
        <v>1.032999</v>
      </c>
      <c r="B13252">
        <v>3.4966889999999999</v>
      </c>
      <c r="C13252">
        <f>LOG10(1.032999)</f>
        <v>1.4099901098815048E-2</v>
      </c>
      <c r="D13252">
        <f>LOG10(3.496689)</f>
        <v>0.54365700731921129</v>
      </c>
    </row>
    <row r="13253" spans="1:4">
      <c r="A13253">
        <v>1.030448</v>
      </c>
      <c r="B13253">
        <v>3.6386259999999999</v>
      </c>
      <c r="C13253">
        <f>LOG10(1.030448)</f>
        <v>1.3026080653935465E-2</v>
      </c>
      <c r="D13253">
        <f>LOG10(3.638626)</f>
        <v>0.56093741846518119</v>
      </c>
    </row>
    <row r="13254" spans="1:4">
      <c r="A13254">
        <v>1.0290379999999999</v>
      </c>
      <c r="B13254">
        <v>3.3155579999999998</v>
      </c>
      <c r="C13254">
        <f>LOG10(1.029038)</f>
        <v>1.2431412552127924E-2</v>
      </c>
      <c r="D13254">
        <f>LOG10(3.315558)</f>
        <v>0.52055662955148996</v>
      </c>
    </row>
    <row r="13255" spans="1:4">
      <c r="A13255">
        <v>1.022786</v>
      </c>
      <c r="B13255">
        <v>3.3126739999999999</v>
      </c>
      <c r="C13255">
        <f>LOG10(1.022786)</f>
        <v>9.7847747274312606E-3</v>
      </c>
      <c r="D13255">
        <f>LOG10(3.312674)</f>
        <v>0.5201786990973809</v>
      </c>
    </row>
    <row r="13256" spans="1:4">
      <c r="A13256">
        <v>1.0455589999999999</v>
      </c>
      <c r="B13256">
        <v>3.3162129999999999</v>
      </c>
      <c r="C13256">
        <f>LOG10(1.045559)</f>
        <v>1.9348544711286171E-2</v>
      </c>
      <c r="D13256">
        <f>LOG10(3.316213)</f>
        <v>0.52064241746140771</v>
      </c>
    </row>
    <row r="13257" spans="1:4">
      <c r="A13257">
        <v>1.056802</v>
      </c>
      <c r="B13257">
        <v>3.2690100000000002</v>
      </c>
      <c r="C13257">
        <f>LOG10(1.056802)</f>
        <v>2.3993626510465785E-2</v>
      </c>
      <c r="D13257">
        <f>LOG10(3.26901)</f>
        <v>0.51441624910229511</v>
      </c>
    </row>
    <row r="13258" spans="1:4">
      <c r="A13258">
        <v>1.0509139999999999</v>
      </c>
      <c r="B13258">
        <v>3.2660930000000001</v>
      </c>
      <c r="C13258">
        <f>LOG10(1.050914)</f>
        <v>2.1567177632794487E-2</v>
      </c>
      <c r="D13258">
        <f>LOG10(3.266093)</f>
        <v>0.51402854684638732</v>
      </c>
    </row>
    <row r="13259" spans="1:4">
      <c r="A13259">
        <v>1.020033</v>
      </c>
      <c r="B13259">
        <v>3.2087569999999999</v>
      </c>
      <c r="C13259">
        <f>LOG10(1.020033)</f>
        <v>8.6142222384579335E-3</v>
      </c>
      <c r="D13259">
        <f>LOG10(3.208757)</f>
        <v>0.5063368291070206</v>
      </c>
    </row>
    <row r="13260" spans="1:4">
      <c r="A13260">
        <v>1.0375760000000001</v>
      </c>
      <c r="B13260">
        <v>3.2223839999999999</v>
      </c>
      <c r="C13260">
        <f>LOG10(1.037576)</f>
        <v>1.6019917597889649E-2</v>
      </c>
      <c r="D13260">
        <f>LOG10(3.222384)</f>
        <v>0.50817729249040533</v>
      </c>
    </row>
    <row r="13261" spans="1:4">
      <c r="A13261">
        <v>1.0275829999999999</v>
      </c>
      <c r="B13261">
        <v>2.9670550000000002</v>
      </c>
      <c r="C13261">
        <f>LOG10(1.027583)</f>
        <v>1.1816910826633309E-2</v>
      </c>
      <c r="D13261">
        <f>LOG10(2.967055)</f>
        <v>0.47232559686457198</v>
      </c>
    </row>
    <row r="13262" spans="1:4">
      <c r="A13262">
        <v>1.0377259999999999</v>
      </c>
      <c r="B13262">
        <v>3.3721239999999999</v>
      </c>
      <c r="C13262">
        <f>LOG10(1.037726)</f>
        <v>1.6082698024448169E-2</v>
      </c>
      <c r="D13262">
        <f>LOG10(3.372124)</f>
        <v>0.52790353615602903</v>
      </c>
    </row>
    <row r="13263" spans="1:4">
      <c r="A13263">
        <v>1.0355449999999999</v>
      </c>
      <c r="B13263">
        <v>3.2914750000000002</v>
      </c>
      <c r="C13263">
        <f>LOG10(1.035545)</f>
        <v>1.5168976070659009E-2</v>
      </c>
      <c r="D13263">
        <f>LOG10(3.291475)</f>
        <v>0.51739056080944945</v>
      </c>
    </row>
    <row r="13264" spans="1:4">
      <c r="A13264">
        <v>1.0365740000000001</v>
      </c>
      <c r="B13264">
        <v>3.4576340000000001</v>
      </c>
      <c r="C13264">
        <f>LOG10(1.036574)</f>
        <v>1.5600311393209021E-2</v>
      </c>
      <c r="D13264">
        <f>LOG10(3.457634)</f>
        <v>0.53877902011406931</v>
      </c>
    </row>
    <row r="13265" spans="1:4">
      <c r="A13265">
        <v>1.016939</v>
      </c>
      <c r="B13265">
        <v>3.5183559999999998</v>
      </c>
      <c r="C13265">
        <f>LOG10(1.016939)</f>
        <v>7.294903013279245E-3</v>
      </c>
      <c r="D13265">
        <f>LOG10(3.518356)</f>
        <v>0.54633978083302648</v>
      </c>
    </row>
    <row r="13266" spans="1:4">
      <c r="A13266">
        <v>1.0269280000000001</v>
      </c>
      <c r="B13266">
        <v>3.3028420000000001</v>
      </c>
      <c r="C13266">
        <f>LOG10(1.026928)</f>
        <v>1.1539995399766098E-2</v>
      </c>
      <c r="D13266">
        <f>LOG10(3.302842)</f>
        <v>0.51888779858714928</v>
      </c>
    </row>
    <row r="13267" spans="1:4">
      <c r="A13267">
        <v>1.0294369999999999</v>
      </c>
      <c r="B13267">
        <v>3.3539810000000001</v>
      </c>
      <c r="C13267">
        <f>LOG10(1.029437)</f>
        <v>1.2599773596541452E-2</v>
      </c>
      <c r="D13267">
        <f>LOG10(3.353981)</f>
        <v>0.52556059803794752</v>
      </c>
    </row>
    <row r="13268" spans="1:4">
      <c r="A13268">
        <v>1.0319929999999999</v>
      </c>
      <c r="B13268">
        <v>3.4062190000000001</v>
      </c>
      <c r="C13268">
        <f>LOG10(1.031993)</f>
        <v>1.3676751485297508E-2</v>
      </c>
      <c r="D13268">
        <f>LOG10(3.406219)</f>
        <v>0.53227256712451132</v>
      </c>
    </row>
    <row r="13269" spans="1:4">
      <c r="A13269">
        <v>1.029482</v>
      </c>
      <c r="B13269">
        <v>3.3391519999999999</v>
      </c>
      <c r="C13269">
        <f>LOG10(1.029482)</f>
        <v>1.2618757589295699E-2</v>
      </c>
      <c r="D13269">
        <f>LOG10(3.339152)</f>
        <v>0.52363618882339091</v>
      </c>
    </row>
    <row r="13270" spans="1:4">
      <c r="A13270">
        <v>1.0297449999999999</v>
      </c>
      <c r="B13270">
        <v>3.0982379999999998</v>
      </c>
      <c r="C13270">
        <f>LOG10(1.029745)</f>
        <v>1.2729691885865776E-2</v>
      </c>
      <c r="D13270">
        <f>LOG10(3.098238)</f>
        <v>0.49111477627553202</v>
      </c>
    </row>
    <row r="13271" spans="1:4">
      <c r="A13271">
        <v>1.0286459999999999</v>
      </c>
      <c r="B13271">
        <v>3.185406</v>
      </c>
      <c r="C13271">
        <f>LOG10(1.028646)</f>
        <v>1.2265941625624572E-2</v>
      </c>
      <c r="D13271">
        <f>LOG10(3.185406)</f>
        <v>0.5031647937584659</v>
      </c>
    </row>
    <row r="13272" spans="1:4">
      <c r="A13272">
        <v>1.0311889999999999</v>
      </c>
      <c r="B13272">
        <v>3.2204830000000002</v>
      </c>
      <c r="C13272">
        <f>LOG10(1.031189)</f>
        <v>1.3338271621548123E-2</v>
      </c>
      <c r="D13272">
        <f>LOG10(3.220483)</f>
        <v>0.50792101098279208</v>
      </c>
    </row>
    <row r="13273" spans="1:4">
      <c r="A13273">
        <v>1.03125</v>
      </c>
      <c r="B13273">
        <v>3.2162639999999998</v>
      </c>
      <c r="C13273">
        <f>LOG10(1.03125)</f>
        <v>1.3363961557981502E-2</v>
      </c>
      <c r="D13273">
        <f>LOG10(3.216264)</f>
        <v>0.507351689652764</v>
      </c>
    </row>
    <row r="13274" spans="1:4">
      <c r="A13274">
        <v>1.0229379999999999</v>
      </c>
      <c r="B13274">
        <v>3.364303</v>
      </c>
      <c r="C13274">
        <f>LOG10(1.022938)</f>
        <v>9.8493120368344286E-3</v>
      </c>
      <c r="D13274">
        <f>LOG10(3.364303)</f>
        <v>0.52689510285181784</v>
      </c>
    </row>
    <row r="13275" spans="1:4">
      <c r="A13275">
        <v>1.036049</v>
      </c>
      <c r="B13275">
        <v>3.1740240000000002</v>
      </c>
      <c r="C13275">
        <f>LOG10(1.036049)</f>
        <v>1.5380295878688855E-2</v>
      </c>
      <c r="D13275">
        <f>LOG10(3.174024)</f>
        <v>0.50161020629663633</v>
      </c>
    </row>
    <row r="13276" spans="1:4">
      <c r="A13276">
        <v>1.028718</v>
      </c>
      <c r="B13276">
        <v>3.234318</v>
      </c>
      <c r="C13276">
        <f>LOG10(1.028718)</f>
        <v>1.2296338971655543E-2</v>
      </c>
      <c r="D13276">
        <f>LOG10(3.234318)</f>
        <v>0.5097827177521107</v>
      </c>
    </row>
    <row r="13277" spans="1:4">
      <c r="A13277">
        <v>1.028381</v>
      </c>
      <c r="B13277">
        <v>3.4891990000000002</v>
      </c>
      <c r="C13277">
        <f>LOG10(1.028381)</f>
        <v>1.2154044175235225E-2</v>
      </c>
      <c r="D13277">
        <f>LOG10(3.489199)</f>
        <v>0.54272573933556234</v>
      </c>
    </row>
    <row r="13278" spans="1:4">
      <c r="A13278">
        <v>1.02006</v>
      </c>
      <c r="B13278">
        <v>3.3294739999999998</v>
      </c>
      <c r="C13278">
        <f>LOG10(1.02006)</f>
        <v>8.6257177448020774E-3</v>
      </c>
      <c r="D13278">
        <f>LOG10(3.329474)</f>
        <v>0.52237562781825619</v>
      </c>
    </row>
    <row r="13279" spans="1:4">
      <c r="A13279">
        <v>1.024799</v>
      </c>
      <c r="B13279">
        <v>3.2892610000000002</v>
      </c>
      <c r="C13279">
        <f>LOG10(1.024799)</f>
        <v>1.0638692951799882E-2</v>
      </c>
      <c r="D13279">
        <f>LOG10(3.289261)</f>
        <v>0.51709833573942321</v>
      </c>
    </row>
    <row r="13280" spans="1:4">
      <c r="A13280">
        <v>1.025496</v>
      </c>
      <c r="B13280">
        <v>3.19312</v>
      </c>
      <c r="C13280">
        <f>LOG10(1.025496)</f>
        <v>1.0933970719679484E-2</v>
      </c>
      <c r="D13280">
        <f>LOG10(3.19312)</f>
        <v>0.50421523997964157</v>
      </c>
    </row>
    <row r="13281" spans="1:4">
      <c r="A13281">
        <v>1.0222800000000001</v>
      </c>
      <c r="B13281">
        <v>3.373748</v>
      </c>
      <c r="C13281">
        <f>LOG10(1.02228)</f>
        <v>9.5698642919466795E-3</v>
      </c>
      <c r="D13281">
        <f>LOG10(3.373748)</f>
        <v>0.52811264010945003</v>
      </c>
    </row>
    <row r="13282" spans="1:4">
      <c r="A13282">
        <v>1.033404</v>
      </c>
      <c r="B13282">
        <v>3.1299950000000001</v>
      </c>
      <c r="C13282">
        <f>LOG10(1.033404)</f>
        <v>1.4270138237865821E-2</v>
      </c>
      <c r="D13282">
        <f>LOG10(3.129995)</f>
        <v>0.49554364378474119</v>
      </c>
    </row>
    <row r="13283" spans="1:4">
      <c r="A13283">
        <v>1.031093</v>
      </c>
      <c r="B13283">
        <v>3.1635309999999999</v>
      </c>
      <c r="C13283">
        <f>LOG10(1.031093)</f>
        <v>1.3297838479724869E-2</v>
      </c>
      <c r="D13283">
        <f>LOG10(3.163531)</f>
        <v>0.50017209454448797</v>
      </c>
    </row>
    <row r="13284" spans="1:4">
      <c r="A13284">
        <v>1.0256190000000001</v>
      </c>
      <c r="B13284">
        <v>3.3279869999999998</v>
      </c>
      <c r="C13284">
        <f>LOG10(1.025619)</f>
        <v>1.0986057727319889E-2</v>
      </c>
      <c r="D13284">
        <f>LOG10(3.327987)</f>
        <v>0.52218162115255295</v>
      </c>
    </row>
    <row r="13285" spans="1:4">
      <c r="A13285">
        <v>1.028243</v>
      </c>
      <c r="B13285">
        <v>3.2358039999999999</v>
      </c>
      <c r="C13285">
        <f>LOG10(1.028243)</f>
        <v>1.2095761632006532E-2</v>
      </c>
      <c r="D13285">
        <f>LOG10(3.235804)</f>
        <v>0.50998220753343337</v>
      </c>
    </row>
    <row r="13286" spans="1:4">
      <c r="A13286">
        <v>1.0643359999999999</v>
      </c>
      <c r="B13286">
        <v>3.4014519999999999</v>
      </c>
      <c r="C13286">
        <f>LOG10(1.064336)</f>
        <v>2.7078751934878815E-2</v>
      </c>
      <c r="D13286">
        <f>LOG10(3.401452)</f>
        <v>0.53166434674088514</v>
      </c>
    </row>
    <row r="13287" spans="1:4">
      <c r="A13287">
        <v>1.0311129999999999</v>
      </c>
      <c r="B13287">
        <v>3.3242189999999998</v>
      </c>
      <c r="C13287">
        <f>LOG10(1.031113)</f>
        <v>1.3306262361372286E-2</v>
      </c>
      <c r="D13287">
        <f>LOG10(3.324219)</f>
        <v>0.52168962743413172</v>
      </c>
    </row>
    <row r="13288" spans="1:4">
      <c r="A13288">
        <v>1.032572</v>
      </c>
      <c r="B13288">
        <v>3.327572</v>
      </c>
      <c r="C13288">
        <f>LOG10(1.032572)</f>
        <v>1.3920344214627319E-2</v>
      </c>
      <c r="D13288">
        <f>LOG10(3.327572)</f>
        <v>0.52212746125096587</v>
      </c>
    </row>
    <row r="13289" spans="1:4">
      <c r="A13289">
        <v>1.011619</v>
      </c>
      <c r="B13289">
        <v>3.1555840000000002</v>
      </c>
      <c r="C13289">
        <f>LOG10(1.011619)</f>
        <v>5.0169775700202781E-3</v>
      </c>
      <c r="D13289">
        <f>LOG10(3.155584)</f>
        <v>0.49907974535722971</v>
      </c>
    </row>
    <row r="13290" spans="1:4">
      <c r="A13290">
        <v>1.030459</v>
      </c>
      <c r="B13290">
        <v>3.2560310000000001</v>
      </c>
      <c r="C13290">
        <f>LOG10(1.030459)</f>
        <v>1.3030716709129586E-2</v>
      </c>
      <c r="D13290">
        <f>LOG10(3.256031)</f>
        <v>0.51268853106509027</v>
      </c>
    </row>
    <row r="13291" spans="1:4">
      <c r="A13291">
        <v>1.0239339999999999</v>
      </c>
      <c r="B13291">
        <v>3.3119369999999999</v>
      </c>
      <c r="C13291">
        <f>LOG10(1.023934)</f>
        <v>1.0271964101170003E-2</v>
      </c>
      <c r="D13291">
        <f>LOG10(3.311937)</f>
        <v>0.52008206699793136</v>
      </c>
    </row>
    <row r="13292" spans="1:4">
      <c r="A13292">
        <v>1.0271889999999999</v>
      </c>
      <c r="B13292">
        <v>3.2231550000000002</v>
      </c>
      <c r="C13292">
        <f>LOG10(1.027189)</f>
        <v>1.1650359960681263E-2</v>
      </c>
      <c r="D13292">
        <f>LOG10(3.223155)</f>
        <v>0.50828119103082048</v>
      </c>
    </row>
    <row r="13293" spans="1:4">
      <c r="A13293">
        <v>1.022073</v>
      </c>
      <c r="B13293">
        <v>3.2664249999999999</v>
      </c>
      <c r="C13293">
        <f>LOG10(1.022073)</f>
        <v>9.4819157252742595E-3</v>
      </c>
      <c r="D13293">
        <f>LOG10(3.266425)</f>
        <v>0.51407269085582308</v>
      </c>
    </row>
    <row r="13294" spans="1:4">
      <c r="A13294">
        <v>1.034497</v>
      </c>
      <c r="B13294">
        <v>3.428223</v>
      </c>
      <c r="C13294">
        <f>LOG10(1.034497)</f>
        <v>1.4729235566920277E-2</v>
      </c>
      <c r="D13294">
        <f>LOG10(3.428223)</f>
        <v>0.53506906427785517</v>
      </c>
    </row>
    <row r="13295" spans="1:4">
      <c r="A13295">
        <v>1.017449</v>
      </c>
      <c r="B13295">
        <v>3.5057290000000001</v>
      </c>
      <c r="C13295">
        <f>LOG10(1.017449)</f>
        <v>7.5126492744747838E-3</v>
      </c>
      <c r="D13295">
        <f>LOG10(3.505729)</f>
        <v>0.5447783412063032</v>
      </c>
    </row>
    <row r="13296" spans="1:4">
      <c r="A13296">
        <v>1.0154110000000001</v>
      </c>
      <c r="B13296">
        <v>3.3314119999999998</v>
      </c>
      <c r="C13296">
        <f>LOG10(1.015411)</f>
        <v>6.641863828705229E-3</v>
      </c>
      <c r="D13296">
        <f>LOG10(3.331412)</f>
        <v>0.52262834576889461</v>
      </c>
    </row>
    <row r="13297" spans="1:4">
      <c r="A13297">
        <v>1.03009</v>
      </c>
      <c r="B13297">
        <v>3.3230970000000002</v>
      </c>
      <c r="C13297">
        <f>LOG10(1.03009)</f>
        <v>1.2875171108869266E-2</v>
      </c>
      <c r="D13297">
        <f>LOG10(3.323097)</f>
        <v>0.52154301836264394</v>
      </c>
    </row>
    <row r="13298" spans="1:4">
      <c r="A13298">
        <v>1.0344249999999999</v>
      </c>
      <c r="B13298">
        <v>3.4163450000000002</v>
      </c>
      <c r="C13298">
        <f>LOG10(1.034425)</f>
        <v>1.4699008035181826E-2</v>
      </c>
      <c r="D13298">
        <f>LOG10(3.416345)</f>
        <v>0.53356172151070902</v>
      </c>
    </row>
    <row r="13299" spans="1:4">
      <c r="A13299">
        <v>1.0316879999999999</v>
      </c>
      <c r="B13299">
        <v>3.3022420000000001</v>
      </c>
      <c r="C13299">
        <f>LOG10(1.031688)</f>
        <v>1.3548379108030929E-2</v>
      </c>
      <c r="D13299">
        <f>LOG10(3.302242)</f>
        <v>0.51880889673219677</v>
      </c>
    </row>
    <row r="13300" spans="1:4">
      <c r="A13300">
        <v>1.025919</v>
      </c>
      <c r="B13300">
        <v>3.2054170000000002</v>
      </c>
      <c r="C13300">
        <f>LOG10(1.025919)</f>
        <v>1.1113073015849415E-2</v>
      </c>
      <c r="D13300">
        <f>LOG10(3.205417)</f>
        <v>0.50588453588870053</v>
      </c>
    </row>
    <row r="13301" spans="1:4">
      <c r="A13301">
        <v>1.0323290000000001</v>
      </c>
      <c r="B13301">
        <v>3.3382339999999999</v>
      </c>
      <c r="C13301">
        <f>LOG10(1.032329)</f>
        <v>1.3818127634181419E-2</v>
      </c>
      <c r="D13301">
        <f>LOG10(3.338234)</f>
        <v>0.52351677612599734</v>
      </c>
    </row>
    <row r="13302" spans="1:4">
      <c r="A13302">
        <v>1.037037</v>
      </c>
      <c r="B13302">
        <v>3.1400920000000001</v>
      </c>
      <c r="C13302">
        <f>LOG10(1.037037)</f>
        <v>1.5794251672714414E-2</v>
      </c>
      <c r="D13302">
        <f>LOG10(3.140092)</f>
        <v>0.49694237243850703</v>
      </c>
    </row>
    <row r="13303" spans="1:4">
      <c r="A13303">
        <v>1.0306169999999999</v>
      </c>
      <c r="B13303">
        <v>3.4547620000000001</v>
      </c>
      <c r="C13303">
        <f>LOG10(1.030617)</f>
        <v>1.3097301860065386E-2</v>
      </c>
      <c r="D13303">
        <f>LOG10(3.454762)</f>
        <v>0.53841813401211591</v>
      </c>
    </row>
    <row r="13304" spans="1:4">
      <c r="A13304">
        <v>1.01454</v>
      </c>
      <c r="B13304">
        <v>3.425354</v>
      </c>
      <c r="C13304">
        <f>LOG10(1.01454)</f>
        <v>6.2691745204888506E-3</v>
      </c>
      <c r="D13304">
        <f>LOG10(3.425354)</f>
        <v>0.53470546117210127</v>
      </c>
    </row>
    <row r="13305" spans="1:4">
      <c r="A13305">
        <v>1.01793</v>
      </c>
      <c r="B13305">
        <v>3.2444310000000001</v>
      </c>
      <c r="C13305">
        <f>LOG10(1.01793)</f>
        <v>7.7179138956428054E-3</v>
      </c>
      <c r="D13305">
        <f>LOG10(3.244431)</f>
        <v>0.51113854236042255</v>
      </c>
    </row>
    <row r="13306" spans="1:4">
      <c r="A13306">
        <v>1.0124310000000001</v>
      </c>
      <c r="B13306">
        <v>3.0507770000000001</v>
      </c>
      <c r="C13306">
        <f>LOG10(1.012431)</f>
        <v>5.3654345134989904E-3</v>
      </c>
      <c r="D13306">
        <f>LOG10(3.050777)</f>
        <v>0.48441046355555906</v>
      </c>
    </row>
    <row r="13307" spans="1:4">
      <c r="A13307">
        <v>1.0157039999999999</v>
      </c>
      <c r="B13307">
        <v>3.332678</v>
      </c>
      <c r="C13307">
        <f>LOG10(1.015704)</f>
        <v>6.7671627744372688E-3</v>
      </c>
      <c r="D13307">
        <f>LOG10(3.332678)</f>
        <v>0.52279335459101561</v>
      </c>
    </row>
    <row r="13308" spans="1:4">
      <c r="A13308">
        <v>1.017285</v>
      </c>
      <c r="B13308">
        <v>3.3854760000000002</v>
      </c>
      <c r="C13308">
        <f>LOG10(1.017285)</f>
        <v>7.4426408161835378E-3</v>
      </c>
      <c r="D13308">
        <f>LOG10(3.385476)</f>
        <v>0.5296197393845109</v>
      </c>
    </row>
    <row r="13309" spans="1:4">
      <c r="A13309">
        <v>1.014348</v>
      </c>
      <c r="B13309">
        <v>3.2901500000000001</v>
      </c>
      <c r="C13309">
        <f>LOG10(1.014348)</f>
        <v>6.1869772372732902E-3</v>
      </c>
      <c r="D13309">
        <f>LOG10(3.29015)</f>
        <v>0.51721569815887436</v>
      </c>
    </row>
    <row r="13310" spans="1:4">
      <c r="A13310">
        <v>1.019595</v>
      </c>
      <c r="B13310">
        <v>3.476537</v>
      </c>
      <c r="C13310">
        <f>LOG10(1.019595)</f>
        <v>8.4276970623006747E-3</v>
      </c>
      <c r="D13310">
        <f>LOG10(3.476537)</f>
        <v>0.54114685584455169</v>
      </c>
    </row>
    <row r="13311" spans="1:4">
      <c r="A13311">
        <v>1.021968</v>
      </c>
      <c r="B13311">
        <v>3.5527929999999999</v>
      </c>
      <c r="C13311">
        <f>LOG10(1.021968)</f>
        <v>9.4372973241365517E-3</v>
      </c>
      <c r="D13311">
        <f>LOG10(3.552793)</f>
        <v>0.55056990448436294</v>
      </c>
    </row>
    <row r="13312" spans="1:4">
      <c r="A13312">
        <v>1.03024</v>
      </c>
      <c r="B13312">
        <v>3.3417129999999999</v>
      </c>
      <c r="C13312">
        <f>LOG10(1.03024)</f>
        <v>1.2938407748049033E-2</v>
      </c>
      <c r="D13312">
        <f>LOG10(3.341713)</f>
        <v>0.52396914817001228</v>
      </c>
    </row>
    <row r="13313" spans="1:4">
      <c r="A13313">
        <v>1.0286310000000001</v>
      </c>
      <c r="B13313">
        <v>3.5621999999999998</v>
      </c>
      <c r="C13313">
        <f>LOG10(1.028631)</f>
        <v>1.2259608577397611E-2</v>
      </c>
      <c r="D13313">
        <f>LOG10(3.5622)</f>
        <v>0.55171829930970229</v>
      </c>
    </row>
    <row r="13314" spans="1:4">
      <c r="A13314">
        <v>1.0169490000000001</v>
      </c>
      <c r="B13314">
        <v>2.3726419999999999</v>
      </c>
      <c r="C13314">
        <f>LOG10(1.016949)</f>
        <v>7.2991735973223148E-3</v>
      </c>
      <c r="D13314">
        <f>LOG10(2.372642)</f>
        <v>0.37523221392165201</v>
      </c>
    </row>
    <row r="13315" spans="1:4">
      <c r="A13315">
        <v>1.0159290000000001</v>
      </c>
      <c r="B13315">
        <v>3.4775809999999998</v>
      </c>
      <c r="C13315">
        <f>LOG10(1.015929)</f>
        <v>6.8633575683078119E-3</v>
      </c>
      <c r="D13315">
        <f>LOG10(3.477581)</f>
        <v>0.54127725439186225</v>
      </c>
    </row>
    <row r="13316" spans="1:4">
      <c r="A13316">
        <v>1.018764</v>
      </c>
      <c r="B13316">
        <v>3.5766800000000001</v>
      </c>
      <c r="C13316">
        <f>LOG10(1.018764)</f>
        <v>8.0735899256717987E-3</v>
      </c>
      <c r="D13316">
        <f>LOG10(3.57668)</f>
        <v>0.55348008623481582</v>
      </c>
    </row>
    <row r="13317" spans="1:4">
      <c r="A13317">
        <v>1.0147219999999999</v>
      </c>
      <c r="B13317">
        <v>3.4159929999999998</v>
      </c>
      <c r="C13317">
        <f>LOG10(1.014722)</f>
        <v>6.3470763349596131E-3</v>
      </c>
      <c r="D13317">
        <f>LOG10(3.415993)</f>
        <v>0.53351697206834681</v>
      </c>
    </row>
    <row r="13318" spans="1:4">
      <c r="A13318">
        <v>1.009304</v>
      </c>
      <c r="B13318">
        <v>3.8061720000000001</v>
      </c>
      <c r="C13318">
        <f>LOG10(1.009304)</f>
        <v>4.0219944208679369E-3</v>
      </c>
      <c r="D13318">
        <f>LOG10(3.806172)</f>
        <v>0.58048841005795249</v>
      </c>
    </row>
    <row r="13319" spans="1:4">
      <c r="A13319">
        <v>1.0176750000000001</v>
      </c>
      <c r="B13319">
        <v>3.624072</v>
      </c>
      <c r="C13319">
        <f>LOG10(1.017675)</f>
        <v>7.609105857281165E-3</v>
      </c>
      <c r="D13319">
        <f>LOG10(3.624072)</f>
        <v>0.55919681728625448</v>
      </c>
    </row>
    <row r="13320" spans="1:4">
      <c r="A13320">
        <v>1.0158259999999999</v>
      </c>
      <c r="B13320">
        <v>3.391699</v>
      </c>
      <c r="C13320">
        <f>LOG10(1.015826)</f>
        <v>6.8193243736810617E-3</v>
      </c>
      <c r="D13320">
        <f>LOG10(3.391699)</f>
        <v>0.53041730336078396</v>
      </c>
    </row>
    <row r="13321" spans="1:4">
      <c r="A13321">
        <v>1.008227</v>
      </c>
      <c r="B13321">
        <v>3.5065219999999999</v>
      </c>
      <c r="C13321">
        <f>LOG10(1.008227)</f>
        <v>3.5583235266520518E-3</v>
      </c>
      <c r="D13321">
        <f>LOG10(3.506522)</f>
        <v>0.54487656801695716</v>
      </c>
    </row>
    <row r="13322" spans="1:4">
      <c r="A13322">
        <v>1.0035829999999999</v>
      </c>
      <c r="B13322">
        <v>3.6145890000000001</v>
      </c>
      <c r="C13322">
        <f>LOG10(1.003583)</f>
        <v>1.5532960575554318E-3</v>
      </c>
      <c r="D13322">
        <f>LOG10(3.614589)</f>
        <v>0.55805892260436862</v>
      </c>
    </row>
    <row r="13323" spans="1:4">
      <c r="A13323">
        <v>1.0165459999999999</v>
      </c>
      <c r="B13323">
        <v>3.3047070000000001</v>
      </c>
      <c r="C13323">
        <f>LOG10(1.016546)</f>
        <v>7.1270357966407988E-3</v>
      </c>
      <c r="D13323">
        <f>LOG10(3.304707)</f>
        <v>0.51913296036506684</v>
      </c>
    </row>
    <row r="13324" spans="1:4">
      <c r="A13324">
        <v>1.0186310000000001</v>
      </c>
      <c r="B13324">
        <v>3.5911789999999999</v>
      </c>
      <c r="C13324">
        <f>LOG10(1.018631)</f>
        <v>8.016888926429969E-3</v>
      </c>
      <c r="D13324">
        <f>LOG10(3.591179)</f>
        <v>0.55523705279380087</v>
      </c>
    </row>
    <row r="13325" spans="1:4">
      <c r="A13325">
        <v>1.0104040000000001</v>
      </c>
      <c r="B13325">
        <v>3.4465620000000001</v>
      </c>
      <c r="C13325">
        <f>LOG10(1.010404)</f>
        <v>4.4950568411075273E-3</v>
      </c>
      <c r="D13325">
        <f>LOG10(3.446562)</f>
        <v>0.5373860953982279</v>
      </c>
    </row>
    <row r="13326" spans="1:4">
      <c r="A13326">
        <v>1.0092989999999999</v>
      </c>
      <c r="B13326">
        <v>3.9719709999999999</v>
      </c>
      <c r="C13326">
        <f>LOG10(1.009299)</f>
        <v>4.0198429602691611E-3</v>
      </c>
      <c r="D13326">
        <f>LOG10(3.971971)</f>
        <v>0.59900606898095876</v>
      </c>
    </row>
    <row r="13327" spans="1:4">
      <c r="A13327">
        <v>1.0064519999999999</v>
      </c>
      <c r="B13327">
        <v>3.3708559999999999</v>
      </c>
      <c r="C13327">
        <f>LOG10(1.006452)</f>
        <v>2.7930672204771415E-3</v>
      </c>
      <c r="D13327">
        <f>LOG10(3.370856)</f>
        <v>0.52774020023940327</v>
      </c>
    </row>
    <row r="13328" spans="1:4">
      <c r="A13328">
        <v>1.0048969999999999</v>
      </c>
      <c r="B13328">
        <v>3.5606979999999999</v>
      </c>
      <c r="C13328">
        <f>LOG10(1.004897)</f>
        <v>2.1215496927798091E-3</v>
      </c>
      <c r="D13328">
        <f>LOG10(3.560698)</f>
        <v>0.55153514062303088</v>
      </c>
    </row>
    <row r="13329" spans="1:4">
      <c r="A13329">
        <v>1</v>
      </c>
      <c r="B13329">
        <v>3.510265</v>
      </c>
      <c r="C13329">
        <f>LOG10(1)</f>
        <v>0</v>
      </c>
      <c r="D13329">
        <f>LOG10(3.510265)</f>
        <v>0.54533990384287012</v>
      </c>
    </row>
    <row r="13330" spans="1:4">
      <c r="A13330">
        <v>1.0047429999999999</v>
      </c>
      <c r="B13330">
        <v>3.4949119999999998</v>
      </c>
      <c r="C13330">
        <f>LOG10(1.004743)</f>
        <v>2.0549891641836325E-3</v>
      </c>
      <c r="D13330">
        <f>LOG10(3.494912)</f>
        <v>0.54343624491845077</v>
      </c>
    </row>
    <row r="13331" spans="1:4">
      <c r="A13331">
        <v>1.0064409999999999</v>
      </c>
      <c r="B13331">
        <v>4.0441070000000003</v>
      </c>
      <c r="C13331">
        <f>LOG10(1.006441)</f>
        <v>2.7883205803914779E-3</v>
      </c>
      <c r="D13331">
        <f>LOG10(4.044107)</f>
        <v>0.60682263774359435</v>
      </c>
    </row>
    <row r="13332" spans="1:4">
      <c r="A13332">
        <v>1.0069380000000001</v>
      </c>
      <c r="B13332">
        <v>3.442688</v>
      </c>
      <c r="C13332">
        <f>LOG10(1.006938)</f>
        <v>3.0027306461467146E-3</v>
      </c>
      <c r="D13332">
        <f>LOG10(3.442688)</f>
        <v>0.53689766574326414</v>
      </c>
    </row>
    <row r="13333" spans="1:4">
      <c r="A13333">
        <v>1.0027509999999999</v>
      </c>
      <c r="B13333">
        <v>3.7711079999999999</v>
      </c>
      <c r="C13333">
        <f>LOG10(1.002751)</f>
        <v>1.1931037569158577E-3</v>
      </c>
      <c r="D13333">
        <f>LOG10(3.771108)</f>
        <v>0.57646897025563471</v>
      </c>
    </row>
    <row r="13334" spans="1:4">
      <c r="A13334">
        <v>1.0073529999999999</v>
      </c>
      <c r="B13334">
        <v>3.763118</v>
      </c>
      <c r="C13334">
        <f>LOG10(1.007353)</f>
        <v>3.1816841464502063E-3</v>
      </c>
      <c r="D13334">
        <f>LOG10(3.763118)</f>
        <v>0.57554783669493337</v>
      </c>
    </row>
    <row r="13335" spans="1:4">
      <c r="A13335">
        <v>1.004451</v>
      </c>
      <c r="B13335">
        <v>3.8000250000000002</v>
      </c>
      <c r="C13335">
        <f>LOG10(1.004451)</f>
        <v>1.9287554708632667E-3</v>
      </c>
      <c r="D13335">
        <f>LOG10(3.800025)</f>
        <v>0.57978645380795035</v>
      </c>
    </row>
    <row r="13336" spans="1:4">
      <c r="A13336">
        <v>1.001179</v>
      </c>
      <c r="B13336">
        <v>3.8979330000000001</v>
      </c>
      <c r="C13336">
        <f>LOG10(1.001179)</f>
        <v>5.1173158763544678E-4</v>
      </c>
      <c r="D13336">
        <f>LOG10(3.897933)</f>
        <v>0.59083436993286975</v>
      </c>
    </row>
    <row r="13337" spans="1:4">
      <c r="A13337">
        <v>1.0018629999999999</v>
      </c>
      <c r="B13337">
        <v>3.8463959999999999</v>
      </c>
      <c r="C13337">
        <f>LOG10(1.001863)</f>
        <v>8.0833788662299498E-4</v>
      </c>
      <c r="D13337">
        <f>LOG10(3.846396)</f>
        <v>0.58505399434903549</v>
      </c>
    </row>
    <row r="13338" spans="1:4">
      <c r="A13338">
        <v>1.010329</v>
      </c>
      <c r="B13338">
        <v>4.0390509999999997</v>
      </c>
      <c r="C13338">
        <f>LOG10(1.010329)</f>
        <v>4.4628189490577407E-3</v>
      </c>
      <c r="D13338">
        <f>LOG10(4.039051)</f>
        <v>0.606279336923081</v>
      </c>
    </row>
    <row r="13339" spans="1:4">
      <c r="A13339">
        <v>1.0085059999999999</v>
      </c>
      <c r="B13339">
        <v>3.2845249999999999</v>
      </c>
      <c r="C13339">
        <f>LOG10(1.008506)</f>
        <v>3.6784863456508689E-3</v>
      </c>
      <c r="D13339">
        <f>LOG10(3.284525)</f>
        <v>0.51647257182738104</v>
      </c>
    </row>
    <row r="13340" spans="1:4">
      <c r="A13340">
        <v>1.00037</v>
      </c>
      <c r="B13340">
        <v>3.0332180000000002</v>
      </c>
      <c r="C13340">
        <f>LOG10(1.00037)</f>
        <v>1.606592381776474E-4</v>
      </c>
      <c r="D13340">
        <f>LOG10(3.033218)</f>
        <v>0.48190362455225383</v>
      </c>
    </row>
    <row r="13341" spans="1:4">
      <c r="A13341">
        <v>1.002105</v>
      </c>
      <c r="B13341">
        <v>3.7866460000000002</v>
      </c>
      <c r="C13341">
        <f>LOG10(1.002105)</f>
        <v>9.1322904769094613E-4</v>
      </c>
      <c r="D13341">
        <f>LOG10(3.786646)</f>
        <v>0.57825470637969001</v>
      </c>
    </row>
    <row r="13342" spans="1:4">
      <c r="A13342">
        <v>1.0057739999999999</v>
      </c>
      <c r="B13342">
        <v>3.7822429999999998</v>
      </c>
      <c r="C13342">
        <f>LOG10(1.005774)</f>
        <v>2.5004045972198169E-3</v>
      </c>
      <c r="D13342">
        <f>LOG10(3.782243)</f>
        <v>0.57774942777948401</v>
      </c>
    </row>
    <row r="13343" spans="1:4">
      <c r="A13343">
        <v>1.005722</v>
      </c>
      <c r="B13343">
        <v>3.890517</v>
      </c>
      <c r="C13343">
        <f>LOG10(1.005722)</f>
        <v>2.4779503511621818E-3</v>
      </c>
      <c r="D13343">
        <f>LOG10(3.890517)</f>
        <v>0.5900073173482997</v>
      </c>
    </row>
    <row r="13344" spans="1:4">
      <c r="A13344">
        <v>1.0033719999999999</v>
      </c>
      <c r="B13344">
        <v>3.6772740000000002</v>
      </c>
      <c r="C13344">
        <f>LOG10(1.003372)</f>
        <v>1.4619774818831375E-3</v>
      </c>
      <c r="D13344">
        <f>LOG10(3.677274)</f>
        <v>0.56552599110209811</v>
      </c>
    </row>
    <row r="13345" spans="1:4">
      <c r="A13345">
        <v>1.0006159999999999</v>
      </c>
      <c r="B13345">
        <v>3.681613</v>
      </c>
      <c r="C13345">
        <f>LOG10(1.000616)</f>
        <v>2.6744303685133288E-4</v>
      </c>
      <c r="D13345">
        <f>LOG10(3.681613)</f>
        <v>0.56603813484757359</v>
      </c>
    </row>
    <row r="13346" spans="1:4">
      <c r="A13346">
        <v>1.005808</v>
      </c>
      <c r="B13346">
        <v>3.8832650000000002</v>
      </c>
      <c r="C13346">
        <f>LOG10(1.005808)</f>
        <v>2.5150855919654005E-3</v>
      </c>
      <c r="D13346">
        <f>LOG10(3.883265)</f>
        <v>0.58919702848339561</v>
      </c>
    </row>
    <row r="13347" spans="1:4">
      <c r="A13347">
        <v>1.00427</v>
      </c>
      <c r="B13347">
        <v>3.9139189999999999</v>
      </c>
      <c r="C13347">
        <f>LOG10(1.00427)</f>
        <v>1.8504894484169161E-3</v>
      </c>
      <c r="D13347">
        <f>LOG10(3.913919)</f>
        <v>0.59261183353019875</v>
      </c>
    </row>
    <row r="13348" spans="1:4">
      <c r="A13348">
        <v>1.001128</v>
      </c>
      <c r="B13348">
        <v>3.6520700000000001</v>
      </c>
      <c r="C13348">
        <f>LOG10(1.001128)</f>
        <v>4.8960808850982251E-4</v>
      </c>
      <c r="D13348">
        <f>LOG10(3.65207)</f>
        <v>0.5625390931564519</v>
      </c>
    </row>
    <row r="13349" spans="1:4">
      <c r="A13349">
        <v>1.0026409999999999</v>
      </c>
      <c r="B13349">
        <v>3.8655759999999999</v>
      </c>
      <c r="C13349">
        <f>LOG10(1.002641)</f>
        <v>1.1454598119342351E-3</v>
      </c>
      <c r="D13349">
        <f>LOG10(3.865576)</f>
        <v>0.58721421623190173</v>
      </c>
    </row>
    <row r="13350" spans="1:4">
      <c r="A13350">
        <v>1.0079899999999999</v>
      </c>
      <c r="B13350">
        <v>3.7645909999999998</v>
      </c>
      <c r="C13350">
        <f>LOG10(1.00799)</f>
        <v>3.4562236111318973E-3</v>
      </c>
      <c r="D13350">
        <f>LOG10(3.764591)</f>
        <v>0.57571779963585157</v>
      </c>
    </row>
    <row r="13351" spans="1:4">
      <c r="A13351">
        <v>1.0023260000000001</v>
      </c>
      <c r="B13351">
        <v>3.5683189999999998</v>
      </c>
      <c r="C13351">
        <f>LOG10(1.002326)</f>
        <v>1.0089959569929354E-3</v>
      </c>
      <c r="D13351">
        <f>LOG10(3.568319)</f>
        <v>0.55246367242688732</v>
      </c>
    </row>
    <row r="13352" spans="1:4">
      <c r="A13352">
        <v>1.002777</v>
      </c>
      <c r="B13352">
        <v>3.7730109999999999</v>
      </c>
      <c r="C13352">
        <f>LOG10(1.002777)</f>
        <v>1.2043642893344055E-3</v>
      </c>
      <c r="D13352">
        <f>LOG10(3.773011)</f>
        <v>0.57668807136382005</v>
      </c>
    </row>
    <row r="13353" spans="1:4">
      <c r="A13353">
        <v>1.0025489999999999</v>
      </c>
      <c r="B13353">
        <v>3.548136</v>
      </c>
      <c r="C13353">
        <f>LOG10(1.002549)</f>
        <v>1.1056081346735996E-3</v>
      </c>
      <c r="D13353">
        <f>LOG10(3.548136)</f>
        <v>0.55000025797974583</v>
      </c>
    </row>
    <row r="13354" spans="1:4">
      <c r="A13354">
        <v>1.0041359999999999</v>
      </c>
      <c r="B13354">
        <v>3.5507330000000001</v>
      </c>
      <c r="C13354">
        <f>LOG10(1.004136)</f>
        <v>1.7925375595444248E-3</v>
      </c>
      <c r="D13354">
        <f>LOG10(3.550733)</f>
        <v>0.55031801643389344</v>
      </c>
    </row>
    <row r="13355" spans="1:4">
      <c r="A13355">
        <v>1.0033000000000001</v>
      </c>
      <c r="B13355">
        <v>3.4302000000000001</v>
      </c>
      <c r="C13355">
        <f>LOG10(1.0033)</f>
        <v>1.4308122463983271E-3</v>
      </c>
      <c r="D13355">
        <f>LOG10(3.4302)</f>
        <v>0.5353194425979162</v>
      </c>
    </row>
    <row r="13356" spans="1:4">
      <c r="A13356">
        <v>1.0038849999999999</v>
      </c>
      <c r="B13356">
        <v>3.4844689999999998</v>
      </c>
      <c r="C13356">
        <f>LOG10(1.003885)</f>
        <v>1.6839650739723573E-3</v>
      </c>
      <c r="D13356">
        <f>LOG10(3.484469)</f>
        <v>0.54213660511970574</v>
      </c>
    </row>
    <row r="13357" spans="1:4">
      <c r="A13357">
        <v>1.006661</v>
      </c>
      <c r="B13357">
        <v>3.596956</v>
      </c>
      <c r="C13357">
        <f>LOG10(1.006661)</f>
        <v>2.8832435265701878E-3</v>
      </c>
      <c r="D13357">
        <f>LOG10(3.596956)</f>
        <v>0.55593512531529199</v>
      </c>
    </row>
    <row r="13358" spans="1:4">
      <c r="A13358">
        <v>1.0019610000000001</v>
      </c>
      <c r="B13358">
        <v>3.8160590000000001</v>
      </c>
      <c r="C13358">
        <f>LOG10(1.001961)</f>
        <v>8.5081752481528967E-4</v>
      </c>
      <c r="D13358">
        <f>LOG10(3.816059)</f>
        <v>0.58161508070091239</v>
      </c>
    </row>
    <row r="13359" spans="1:4">
      <c r="A13359">
        <v>1.003217</v>
      </c>
      <c r="B13359">
        <v>3.528902</v>
      </c>
      <c r="C13359">
        <f>LOG10(1.003217)</f>
        <v>1.3948828802194677E-3</v>
      </c>
      <c r="D13359">
        <f>LOG10(3.528902)</f>
        <v>0.54763959787535799</v>
      </c>
    </row>
    <row r="13360" spans="1:4">
      <c r="A13360">
        <v>1.0026550000000001</v>
      </c>
      <c r="B13360">
        <v>3.455705</v>
      </c>
      <c r="C13360">
        <f>LOG10(1.002655)</f>
        <v>1.1515238770366666E-3</v>
      </c>
      <c r="D13360">
        <f>LOG10(3.455705)</f>
        <v>0.53853666137039047</v>
      </c>
    </row>
    <row r="13361" spans="1:4">
      <c r="A13361">
        <v>1.0072680000000001</v>
      </c>
      <c r="B13361">
        <v>3.7064569999999999</v>
      </c>
      <c r="C13361">
        <f>LOG10(1.007268)</f>
        <v>3.1450370242533925E-3</v>
      </c>
      <c r="D13361">
        <f>LOG10(3.706457)</f>
        <v>0.56895896607355789</v>
      </c>
    </row>
    <row r="13362" spans="1:4">
      <c r="A13362">
        <v>1.007687</v>
      </c>
      <c r="B13362">
        <v>3.407492</v>
      </c>
      <c r="C13362">
        <f>LOG10(1.007687)</f>
        <v>3.3256558376167636E-3</v>
      </c>
      <c r="D13362">
        <f>LOG10(3.407492)</f>
        <v>0.53243484488530723</v>
      </c>
    </row>
    <row r="13363" spans="1:4">
      <c r="A13363">
        <v>1.0036670000000001</v>
      </c>
      <c r="B13363">
        <v>3.4421620000000002</v>
      </c>
      <c r="C13363">
        <f>LOG10(1.003667)</f>
        <v>1.5896450290350719E-3</v>
      </c>
      <c r="D13363">
        <f>LOG10(3.442162)</f>
        <v>0.53683130586674521</v>
      </c>
    </row>
    <row r="13364" spans="1:4">
      <c r="A13364">
        <v>1.0024919999999999</v>
      </c>
      <c r="B13364">
        <v>3.5973459999999999</v>
      </c>
      <c r="C13364">
        <f>LOG10(1.002492)</f>
        <v>1.0809155867654594E-3</v>
      </c>
      <c r="D13364">
        <f>LOG10(3.597346)</f>
        <v>0.55598221114741531</v>
      </c>
    </row>
    <row r="13365" spans="1:4">
      <c r="A13365">
        <v>1.0093049999999999</v>
      </c>
      <c r="B13365">
        <v>3.4063569999999999</v>
      </c>
      <c r="C13365">
        <f>LOG10(1.009305)</f>
        <v>4.0224247117086765E-3</v>
      </c>
      <c r="D13365">
        <f>LOG10(3.406357)</f>
        <v>0.53229016183127442</v>
      </c>
    </row>
    <row r="13366" spans="1:4">
      <c r="A13366">
        <v>1.003708</v>
      </c>
      <c r="B13366">
        <v>3.1984499999999998</v>
      </c>
      <c r="C13366">
        <f>LOG10(1.003708)</f>
        <v>1.6073856841299008E-3</v>
      </c>
      <c r="D13366">
        <f>LOG10(3.19845)</f>
        <v>0.50493956596687739</v>
      </c>
    </row>
    <row r="13367" spans="1:4">
      <c r="A13367">
        <v>1.002516</v>
      </c>
      <c r="B13367">
        <v>3.173578</v>
      </c>
      <c r="C13367">
        <f>LOG10(1.002516)</f>
        <v>1.0913126201600256E-3</v>
      </c>
      <c r="D13367">
        <f>LOG10(3.173578)</f>
        <v>0.50154917684354594</v>
      </c>
    </row>
    <row r="13368" spans="1:4">
      <c r="A13368">
        <v>1.0054000000000001</v>
      </c>
      <c r="B13368">
        <v>3.2833709999999998</v>
      </c>
      <c r="C13368">
        <f>LOG10(1.0054)</f>
        <v>2.3388808920564892E-3</v>
      </c>
      <c r="D13368">
        <f>LOG10(3.283371)</f>
        <v>0.51631995801094011</v>
      </c>
    </row>
    <row r="13369" spans="1:4">
      <c r="A13369">
        <v>1.0049630000000001</v>
      </c>
      <c r="B13369">
        <v>3.3200120000000002</v>
      </c>
      <c r="C13369">
        <f>LOG10(1.004963)</f>
        <v>2.150072511101454E-3</v>
      </c>
      <c r="D13369">
        <f>LOG10(3.320012)</f>
        <v>0.52113965344029067</v>
      </c>
    </row>
    <row r="13370" spans="1:4">
      <c r="A13370">
        <v>1.0085729999999999</v>
      </c>
      <c r="B13370">
        <v>3.5644420000000001</v>
      </c>
      <c r="C13370">
        <f>LOG10(1.008573)</f>
        <v>3.7073376998102612E-3</v>
      </c>
      <c r="D13370">
        <f>LOG10(3.564442)</f>
        <v>0.55199155233982478</v>
      </c>
    </row>
    <row r="13371" spans="1:4">
      <c r="A13371">
        <v>1.0028170000000001</v>
      </c>
      <c r="B13371">
        <v>4.5072219999999996</v>
      </c>
      <c r="C13371">
        <f>LOG10(1.002817)</f>
        <v>1.2216876152702138E-3</v>
      </c>
      <c r="D13371">
        <f>LOG10(4.507222)</f>
        <v>0.65390894946227052</v>
      </c>
    </row>
    <row r="13372" spans="1:4">
      <c r="A13372">
        <v>1.0009889999999999</v>
      </c>
      <c r="B13372">
        <v>3.2484289999999998</v>
      </c>
      <c r="C13372">
        <f>LOG10(1.000989)</f>
        <v>4.2930498626196113E-4</v>
      </c>
      <c r="D13372">
        <f>LOG10(3.248429)</f>
        <v>0.51167337895264564</v>
      </c>
    </row>
    <row r="13373" spans="1:4">
      <c r="A13373">
        <v>1.0045770000000001</v>
      </c>
      <c r="B13373">
        <v>3.386927</v>
      </c>
      <c r="C13373">
        <f>LOG10(1.004577)</f>
        <v>1.9832306745852526E-3</v>
      </c>
      <c r="D13373">
        <f>LOG10(3.386927)</f>
        <v>0.52980583619619903</v>
      </c>
    </row>
    <row r="13374" spans="1:4">
      <c r="A13374">
        <v>1.009666</v>
      </c>
      <c r="B13374">
        <v>3.3214380000000001</v>
      </c>
      <c r="C13374">
        <f>LOG10(1.009666)</f>
        <v>4.1777318554347609E-3</v>
      </c>
      <c r="D13374">
        <f>LOG10(3.321438)</f>
        <v>0.52132615004591476</v>
      </c>
    </row>
    <row r="13375" spans="1:4">
      <c r="A13375">
        <v>1.0028319999999999</v>
      </c>
      <c r="B13375">
        <v>3.196364</v>
      </c>
      <c r="C13375">
        <f>LOG10(1.002832)</f>
        <v>1.2281836843517095E-3</v>
      </c>
      <c r="D13375">
        <f>LOG10(3.196364)</f>
        <v>0.50465623065129728</v>
      </c>
    </row>
    <row r="13376" spans="1:4">
      <c r="A13376">
        <v>1.0040309999999999</v>
      </c>
      <c r="B13376">
        <v>3.3520859999999999</v>
      </c>
      <c r="C13376">
        <f>LOG10(1.004031)</f>
        <v>1.7471220929608123E-3</v>
      </c>
      <c r="D13376">
        <f>LOG10(3.352086)</f>
        <v>0.52531515221549685</v>
      </c>
    </row>
    <row r="13377" spans="1:4">
      <c r="A13377">
        <v>1.0073479999999999</v>
      </c>
      <c r="B13377">
        <v>3.267169</v>
      </c>
      <c r="C13377">
        <f>LOG10(1.007348)</f>
        <v>3.1795285189803882E-3</v>
      </c>
      <c r="D13377">
        <f>LOG10(3.267169)</f>
        <v>0.51417159969403148</v>
      </c>
    </row>
    <row r="13378" spans="1:4">
      <c r="A13378">
        <v>1.0037940000000001</v>
      </c>
      <c r="B13378">
        <v>3.3504689999999999</v>
      </c>
      <c r="C13378">
        <f>LOG10(1.003794)</f>
        <v>1.6445954358178601E-3</v>
      </c>
      <c r="D13378">
        <f>LOG10(3.350469)</f>
        <v>0.52510560400862294</v>
      </c>
    </row>
    <row r="13379" spans="1:4">
      <c r="A13379">
        <v>1.0037640000000001</v>
      </c>
      <c r="B13379">
        <v>3.4197950000000001</v>
      </c>
      <c r="C13379">
        <f>LOG10(1.003764)</f>
        <v>1.6316156519629913E-3</v>
      </c>
      <c r="D13379">
        <f>LOG10(3.419795)</f>
        <v>0.53400007300432084</v>
      </c>
    </row>
    <row r="13380" spans="1:4">
      <c r="A13380">
        <v>1.0081310000000001</v>
      </c>
      <c r="B13380">
        <v>3.3557809999999999</v>
      </c>
      <c r="C13380">
        <f>LOG10(1.008131)</f>
        <v>3.5169694910153647E-3</v>
      </c>
      <c r="D13380">
        <f>LOG10(3.355781)</f>
        <v>0.52579361079940723</v>
      </c>
    </row>
    <row r="13381" spans="1:4">
      <c r="A13381">
        <v>1.0060800000000001</v>
      </c>
      <c r="B13381">
        <v>3.4107919999999998</v>
      </c>
      <c r="C13381">
        <f>LOG10(1.00608)</f>
        <v>2.6325156872762968E-3</v>
      </c>
      <c r="D13381">
        <f>LOG10(3.410792)</f>
        <v>0.53285523567635884</v>
      </c>
    </row>
    <row r="13382" spans="1:4">
      <c r="A13382">
        <v>1.0050380000000001</v>
      </c>
      <c r="B13382">
        <v>3.3881000000000001</v>
      </c>
      <c r="C13382">
        <f>LOG10(1.005038)</f>
        <v>2.1824825309550572E-3</v>
      </c>
      <c r="D13382">
        <f>LOG10(3.3881)</f>
        <v>0.52995622007876153</v>
      </c>
    </row>
    <row r="13383" spans="1:4">
      <c r="A13383">
        <v>1.0033049999999999</v>
      </c>
      <c r="B13383">
        <v>3.328344</v>
      </c>
      <c r="C13383">
        <f>LOG10(1.003305)</f>
        <v>1.4329765711253548E-3</v>
      </c>
      <c r="D13383">
        <f>LOG10(3.328344)</f>
        <v>0.52222820631491584</v>
      </c>
    </row>
    <row r="13384" spans="1:4">
      <c r="A13384">
        <v>1.008794</v>
      </c>
      <c r="B13384">
        <v>3.327534</v>
      </c>
      <c r="C13384">
        <f>LOG10(1.008794)</f>
        <v>3.802490521170555E-3</v>
      </c>
      <c r="D13384">
        <f>LOG10(3.327534)</f>
        <v>0.5221225016935036</v>
      </c>
    </row>
    <row r="13385" spans="1:4">
      <c r="A13385">
        <v>1.004184</v>
      </c>
      <c r="B13385">
        <v>3.453392</v>
      </c>
      <c r="C13385">
        <f>LOG10(1.004184)</f>
        <v>1.8132973340179612E-3</v>
      </c>
      <c r="D13385">
        <f>LOG10(3.453392)</f>
        <v>0.53824587860263673</v>
      </c>
    </row>
    <row r="13386" spans="1:4">
      <c r="A13386">
        <v>1.0103759999999999</v>
      </c>
      <c r="B13386">
        <v>3.0564840000000002</v>
      </c>
      <c r="C13386">
        <f>LOG10(1.010376)</f>
        <v>4.4830216413389926E-3</v>
      </c>
      <c r="D13386">
        <f>LOG10(3.056484)</f>
        <v>0.48522212669870995</v>
      </c>
    </row>
    <row r="13387" spans="1:4">
      <c r="A13387">
        <v>1.004116</v>
      </c>
      <c r="B13387">
        <v>3.358355</v>
      </c>
      <c r="C13387">
        <f>LOG10(1.004116)</f>
        <v>1.7838873606268462E-3</v>
      </c>
      <c r="D13387">
        <f>LOG10(3.358355)</f>
        <v>0.52612660198432948</v>
      </c>
    </row>
    <row r="13388" spans="1:4">
      <c r="A13388">
        <v>1.0099590000000001</v>
      </c>
      <c r="B13388">
        <v>3.1386259999999999</v>
      </c>
      <c r="C13388">
        <f>LOG10(1.009959)</f>
        <v>4.3037436488027724E-3</v>
      </c>
      <c r="D13388">
        <f>LOG10(3.138626)</f>
        <v>0.49673956806919473</v>
      </c>
    </row>
    <row r="13389" spans="1:4">
      <c r="A13389">
        <v>1.0036560000000001</v>
      </c>
      <c r="B13389">
        <v>3.1883240000000002</v>
      </c>
      <c r="C13389">
        <f>LOG10(1.003656)</f>
        <v>1.584885217782995E-3</v>
      </c>
      <c r="D13389">
        <f>LOG10(3.188324)</f>
        <v>0.50356244831450514</v>
      </c>
    </row>
    <row r="13390" spans="1:4">
      <c r="A13390">
        <v>1.0028779999999999</v>
      </c>
      <c r="B13390">
        <v>3.2094260000000001</v>
      </c>
      <c r="C13390">
        <f>LOG10(1.002878)</f>
        <v>1.2481043570023401E-3</v>
      </c>
      <c r="D13390">
        <f>LOG10(3.209426)</f>
        <v>0.50642736657204623</v>
      </c>
    </row>
    <row r="13391" spans="1:4">
      <c r="A13391">
        <v>1.0029459999999999</v>
      </c>
      <c r="B13391">
        <v>3.4119929999999998</v>
      </c>
      <c r="C13391">
        <f>LOG10(1.002946)</f>
        <v>1.2775506342237875E-3</v>
      </c>
      <c r="D13391">
        <f>LOG10(3.411993)</f>
        <v>0.53300813150354764</v>
      </c>
    </row>
    <row r="13392" spans="1:4">
      <c r="A13392">
        <v>1.015374</v>
      </c>
      <c r="B13392">
        <v>3.3210009999999999</v>
      </c>
      <c r="C13392">
        <f>LOG10(1.015374)</f>
        <v>6.6260385238775628E-3</v>
      </c>
      <c r="D13392">
        <f>LOG10(3.321001)</f>
        <v>0.52126900637056728</v>
      </c>
    </row>
    <row r="13393" spans="1:4">
      <c r="A13393">
        <v>1.519876</v>
      </c>
      <c r="B13393">
        <v>3.367963</v>
      </c>
      <c r="C13393">
        <f>LOG10(1.519876)</f>
        <v>0.18180815721287041</v>
      </c>
      <c r="D13393">
        <f>LOG10(3.367963)</f>
        <v>0.52736731175157403</v>
      </c>
    </row>
    <row r="13394" spans="1:4">
      <c r="A13394">
        <v>1.004726</v>
      </c>
      <c r="B13394">
        <v>3.2142390000000001</v>
      </c>
      <c r="C13394">
        <f>LOG10(1.004726)</f>
        <v>2.0476409481200828E-3</v>
      </c>
      <c r="D13394">
        <f>LOG10(3.214239)</f>
        <v>0.50707816630476954</v>
      </c>
    </row>
    <row r="13395" spans="1:4">
      <c r="A13395">
        <v>1.0040480000000001</v>
      </c>
      <c r="B13395">
        <v>3.1908180000000002</v>
      </c>
      <c r="C13395">
        <f>LOG10(1.004048)</f>
        <v>1.7544753954878538E-3</v>
      </c>
      <c r="D13395">
        <f>LOG10(3.190818)</f>
        <v>0.50390203332234873</v>
      </c>
    </row>
    <row r="13396" spans="1:4">
      <c r="A13396">
        <v>1.0140640000000001</v>
      </c>
      <c r="B13396">
        <v>3.597664</v>
      </c>
      <c r="C13396">
        <f>LOG10(1.014064)</f>
        <v>6.0653652238692596E-3</v>
      </c>
      <c r="D13396">
        <f>LOG10(3.597664)</f>
        <v>0.5560206004325825</v>
      </c>
    </row>
    <row r="13397" spans="1:4">
      <c r="A13397">
        <v>1.0119260000000001</v>
      </c>
      <c r="B13397">
        <v>3.798295</v>
      </c>
      <c r="C13397">
        <f>LOG10(1.011926)</f>
        <v>5.1487546315309128E-3</v>
      </c>
      <c r="D13397">
        <f>LOG10(3.798295)</f>
        <v>0.57958869181143657</v>
      </c>
    </row>
    <row r="13398" spans="1:4">
      <c r="A13398">
        <v>1.0099959999999999</v>
      </c>
      <c r="B13398">
        <v>3.5095710000000002</v>
      </c>
      <c r="C13398">
        <f>LOG10(1.009996)</f>
        <v>4.3196538010904706E-3</v>
      </c>
      <c r="D13398">
        <f>LOG10(3.509571)</f>
        <v>0.54525403278507822</v>
      </c>
    </row>
    <row r="13399" spans="1:4">
      <c r="A13399">
        <v>1.0076590000000001</v>
      </c>
      <c r="B13399">
        <v>3.5777489999999998</v>
      </c>
      <c r="C13399">
        <f>LOG10(1.007659)</f>
        <v>3.3135881872043407E-3</v>
      </c>
      <c r="D13399">
        <f>LOG10(3.577749)</f>
        <v>0.55360986900423304</v>
      </c>
    </row>
    <row r="13400" spans="1:4">
      <c r="A13400">
        <v>1.0058609999999999</v>
      </c>
      <c r="B13400">
        <v>3.3557079999999999</v>
      </c>
      <c r="C13400">
        <f>LOG10(1.005861)</f>
        <v>2.5379696822865586E-3</v>
      </c>
      <c r="D13400">
        <f>LOG10(3.355708)</f>
        <v>0.52578416326930466</v>
      </c>
    </row>
    <row r="13401" spans="1:4">
      <c r="A13401">
        <v>1.0107790000000001</v>
      </c>
      <c r="B13401">
        <v>3.1351969999999998</v>
      </c>
      <c r="C13401">
        <f>LOG10(1.010779)</f>
        <v>4.6562104156056819E-3</v>
      </c>
      <c r="D13401">
        <f>LOG10(3.135197)</f>
        <v>0.49626483490355311</v>
      </c>
    </row>
    <row r="13402" spans="1:4">
      <c r="A13402">
        <v>1.013503</v>
      </c>
      <c r="B13402">
        <v>3.2177039999999999</v>
      </c>
      <c r="C13402">
        <f>LOG10(1.013503)</f>
        <v>5.8250385559317462E-3</v>
      </c>
      <c r="D13402">
        <f>LOG10(3.217704)</f>
        <v>0.50754609039096565</v>
      </c>
    </row>
    <row r="13403" spans="1:4">
      <c r="A13403">
        <v>1.0454870000000001</v>
      </c>
      <c r="B13403">
        <v>3.235538</v>
      </c>
      <c r="C13403">
        <f>LOG10(1.045487)</f>
        <v>1.9318636997434514E-2</v>
      </c>
      <c r="D13403">
        <f>LOG10(3.235538)</f>
        <v>0.50994650478978265</v>
      </c>
    </row>
    <row r="13404" spans="1:4">
      <c r="A13404">
        <v>1.046125</v>
      </c>
      <c r="B13404">
        <v>3.2609050000000002</v>
      </c>
      <c r="C13404">
        <f>LOG10(1.046125)</f>
        <v>1.9583580866610627E-2</v>
      </c>
      <c r="D13404">
        <f>LOG10(3.260905)</f>
        <v>0.51333814668183564</v>
      </c>
    </row>
    <row r="13405" spans="1:4">
      <c r="A13405">
        <v>1.01247</v>
      </c>
      <c r="B13405">
        <v>3.270667</v>
      </c>
      <c r="C13405">
        <f>LOG10(1.01247)</f>
        <v>5.3821637114165946E-3</v>
      </c>
      <c r="D13405">
        <f>LOG10(3.270667)</f>
        <v>0.51463632907624901</v>
      </c>
    </row>
    <row r="13406" spans="1:4">
      <c r="A13406">
        <v>1.008926</v>
      </c>
      <c r="B13406">
        <v>3.0805310000000001</v>
      </c>
      <c r="C13406">
        <f>LOG10(1.008926)</f>
        <v>3.8593139373958208E-3</v>
      </c>
      <c r="D13406">
        <f>LOG10(3.080531)</f>
        <v>0.48862558354371105</v>
      </c>
    </row>
    <row r="13407" spans="1:4">
      <c r="A13407">
        <v>1.0171049999999999</v>
      </c>
      <c r="B13407">
        <v>3.0186130000000002</v>
      </c>
      <c r="C13407">
        <f>LOG10(1.017105)</f>
        <v>7.365789271546957E-3</v>
      </c>
      <c r="D13407">
        <f>LOG10(3.018613)</f>
        <v>0.47980743805197035</v>
      </c>
    </row>
    <row r="13408" spans="1:4">
      <c r="A13408">
        <v>1.007722</v>
      </c>
      <c r="B13408">
        <v>3.280608</v>
      </c>
      <c r="C13408">
        <f>LOG10(1.007722)</f>
        <v>3.3407399291020602E-3</v>
      </c>
      <c r="D13408">
        <f>LOG10(3.280608)</f>
        <v>0.51595433961869053</v>
      </c>
    </row>
    <row r="13409" spans="1:4">
      <c r="A13409">
        <v>1.009968</v>
      </c>
      <c r="B13409">
        <v>3.2088230000000002</v>
      </c>
      <c r="C13409">
        <f>LOG10(1.009968)</f>
        <v>4.3076137394913198E-3</v>
      </c>
      <c r="D13409">
        <f>LOG10(3.208823)</f>
        <v>0.50634576189346236</v>
      </c>
    </row>
    <row r="13410" spans="1:4">
      <c r="A13410">
        <v>1.013393</v>
      </c>
      <c r="B13410">
        <v>3.4077510000000002</v>
      </c>
      <c r="C13410">
        <f>LOG10(1.013393)</f>
        <v>5.7779000810852009E-3</v>
      </c>
      <c r="D13410">
        <f>LOG10(3.407751)</f>
        <v>0.5324678539125326</v>
      </c>
    </row>
    <row r="13411" spans="1:4">
      <c r="A13411">
        <v>1.009096</v>
      </c>
      <c r="B13411">
        <v>3.4824039999999998</v>
      </c>
      <c r="C13411">
        <f>LOG10(1.009096)</f>
        <v>3.9324846581294893E-3</v>
      </c>
      <c r="D13411">
        <f>LOG10(3.482404)</f>
        <v>0.54187915299408396</v>
      </c>
    </row>
    <row r="13412" spans="1:4">
      <c r="A13412">
        <v>1.005738</v>
      </c>
      <c r="B13412">
        <v>3.3963130000000001</v>
      </c>
      <c r="C13412">
        <f>LOG10(1.005738)</f>
        <v>2.4848594736012119E-3</v>
      </c>
      <c r="D13412">
        <f>LOG10(3.396313)</f>
        <v>0.53100770745792236</v>
      </c>
    </row>
    <row r="13413" spans="1:4">
      <c r="A13413">
        <v>1.0150319999999999</v>
      </c>
      <c r="B13413">
        <v>3.2639819999999999</v>
      </c>
      <c r="C13413">
        <f>LOG10(1.015032)</f>
        <v>6.4797340761802895E-3</v>
      </c>
      <c r="D13413">
        <f>LOG10(3.263982)</f>
        <v>0.51374775506888559</v>
      </c>
    </row>
    <row r="13414" spans="1:4">
      <c r="A13414">
        <v>1.010572</v>
      </c>
      <c r="B13414">
        <v>3.377284</v>
      </c>
      <c r="C13414">
        <f>LOG10(1.010572)</f>
        <v>4.5672610366326444E-3</v>
      </c>
      <c r="D13414">
        <f>LOG10(3.377284)</f>
        <v>0.52856758253260538</v>
      </c>
    </row>
    <row r="13415" spans="1:4">
      <c r="A13415">
        <v>1.018194</v>
      </c>
      <c r="B13415">
        <v>3.2031100000000001</v>
      </c>
      <c r="C13415">
        <f>LOG10(1.018194)</f>
        <v>7.8305335041391113E-3</v>
      </c>
      <c r="D13415">
        <f>LOG10(3.20311)</f>
        <v>0.50557185329782406</v>
      </c>
    </row>
    <row r="13416" spans="1:4">
      <c r="A13416">
        <v>1.0165960000000001</v>
      </c>
      <c r="B13416">
        <v>3.2247710000000001</v>
      </c>
      <c r="C13416">
        <f>LOG10(1.016596)</f>
        <v>7.1483965516688152E-3</v>
      </c>
      <c r="D13416">
        <f>LOG10(3.224771)</f>
        <v>0.50849887960151741</v>
      </c>
    </row>
    <row r="13417" spans="1:4">
      <c r="A13417">
        <v>1.0169550000000001</v>
      </c>
      <c r="B13417">
        <v>3.002567</v>
      </c>
      <c r="C13417">
        <f>LOG10(1.016955)</f>
        <v>7.3017359275910059E-3</v>
      </c>
      <c r="D13417">
        <f>LOG10(3.002567)</f>
        <v>0.47749270713427361</v>
      </c>
    </row>
    <row r="13418" spans="1:4">
      <c r="A13418">
        <v>1.0107250000000001</v>
      </c>
      <c r="B13418">
        <v>3.1836769999999999</v>
      </c>
      <c r="C13418">
        <f>LOG10(1.010725)</f>
        <v>4.6330079860993799E-3</v>
      </c>
      <c r="D13418">
        <f>LOG10(3.183677)</f>
        <v>0.50292899994712559</v>
      </c>
    </row>
    <row r="13419" spans="1:4">
      <c r="A13419">
        <v>1.022</v>
      </c>
      <c r="B13419">
        <v>3.058643</v>
      </c>
      <c r="C13419">
        <f>LOG10(1.022)</f>
        <v>9.4508957986939347E-3</v>
      </c>
      <c r="D13419">
        <f>LOG10(3.058643)</f>
        <v>0.48552878977386382</v>
      </c>
    </row>
    <row r="13420" spans="1:4">
      <c r="A13420">
        <v>1.0114300000000001</v>
      </c>
      <c r="B13420">
        <v>3.3706160000000001</v>
      </c>
      <c r="C13420">
        <f>LOG10(1.01143)</f>
        <v>4.9358310853641844E-3</v>
      </c>
      <c r="D13420">
        <f>LOG10(3.370616)</f>
        <v>0.52770927800885759</v>
      </c>
    </row>
    <row r="13421" spans="1:4">
      <c r="A13421">
        <v>1.005045</v>
      </c>
      <c r="B13421">
        <v>3.120314</v>
      </c>
      <c r="C13421">
        <f>LOG10(1.005045)</f>
        <v>2.1855073427397226E-3</v>
      </c>
      <c r="D13421">
        <f>LOG10(3.120314)</f>
        <v>0.49419829966127832</v>
      </c>
    </row>
    <row r="13422" spans="1:4">
      <c r="A13422">
        <v>1.0083260000000001</v>
      </c>
      <c r="B13422">
        <v>3.183837</v>
      </c>
      <c r="C13422">
        <f>LOG10(1.008326)</f>
        <v>3.6009657520168154E-3</v>
      </c>
      <c r="D13422">
        <f>LOG10(3.183837)</f>
        <v>0.502950825456145</v>
      </c>
    </row>
    <row r="13423" spans="1:4">
      <c r="A13423">
        <v>1.0066010000000001</v>
      </c>
      <c r="B13423">
        <v>3.3736259999999998</v>
      </c>
      <c r="C13423">
        <f>LOG10(1.006601)</f>
        <v>2.85735750783851E-3</v>
      </c>
      <c r="D13423">
        <f>LOG10(3.373626)</f>
        <v>0.52809693505833</v>
      </c>
    </row>
    <row r="13424" spans="1:4">
      <c r="A13424">
        <v>1.0052049999999999</v>
      </c>
      <c r="B13424">
        <v>3.379464</v>
      </c>
      <c r="C13424">
        <f>LOG10(1.005205)</f>
        <v>2.2546401543315389E-3</v>
      </c>
      <c r="D13424">
        <f>LOG10(3.379464)</f>
        <v>0.52884782444880563</v>
      </c>
    </row>
    <row r="13425" spans="1:4">
      <c r="A13425">
        <v>1.002381</v>
      </c>
      <c r="B13425">
        <v>3.2213240000000001</v>
      </c>
      <c r="C13425">
        <f>LOG10(1.002381)</f>
        <v>1.0328260693341759E-3</v>
      </c>
      <c r="D13425">
        <f>LOG10(3.221324)</f>
        <v>0.50803440825202273</v>
      </c>
    </row>
    <row r="13426" spans="1:4">
      <c r="A13426">
        <v>1.0070749999999999</v>
      </c>
      <c r="B13426">
        <v>3.172574</v>
      </c>
      <c r="C13426">
        <f>LOG10(1.007075)</f>
        <v>3.0618150156244113E-3</v>
      </c>
      <c r="D13426">
        <f>LOG10(3.172574)</f>
        <v>0.50141176076417415</v>
      </c>
    </row>
    <row r="13427" spans="1:4">
      <c r="A13427">
        <v>1.0043059999999999</v>
      </c>
      <c r="B13427">
        <v>3.2348219999999999</v>
      </c>
      <c r="C13427">
        <f>LOG10(1.004306)</f>
        <v>1.8660572948416055E-3</v>
      </c>
      <c r="D13427">
        <f>LOG10(3.234822)</f>
        <v>0.50985038808211502</v>
      </c>
    </row>
    <row r="13428" spans="1:4">
      <c r="A13428">
        <v>1.013498</v>
      </c>
      <c r="B13428">
        <v>3.1237159999999999</v>
      </c>
      <c r="C13428">
        <f>LOG10(1.013498)</f>
        <v>5.8228960089773685E-3</v>
      </c>
      <c r="D13428">
        <f>LOG10(3.123716)</f>
        <v>0.49467154209401198</v>
      </c>
    </row>
    <row r="13429" spans="1:4">
      <c r="A13429">
        <v>1.005109</v>
      </c>
      <c r="B13429">
        <v>3.0818970000000001</v>
      </c>
      <c r="C13429">
        <f>LOG10(1.005109)</f>
        <v>2.2131617879725032E-3</v>
      </c>
      <c r="D13429">
        <f>LOG10(3.081897)</f>
        <v>0.4888181200802828</v>
      </c>
    </row>
    <row r="13430" spans="1:4">
      <c r="A13430">
        <v>1.0081329999999999</v>
      </c>
      <c r="B13430">
        <v>3.2421180000000001</v>
      </c>
      <c r="C13430">
        <f>LOG10(1.008133)</f>
        <v>3.5178310735896061E-3</v>
      </c>
      <c r="D13430">
        <f>LOG10(3.242118)</f>
        <v>0.5108288173651383</v>
      </c>
    </row>
    <row r="13431" spans="1:4">
      <c r="A13431">
        <v>1.005074</v>
      </c>
      <c r="B13431">
        <v>3.197238</v>
      </c>
      <c r="C13431">
        <f>LOG10(1.005074)</f>
        <v>2.1980384814196639E-3</v>
      </c>
      <c r="D13431">
        <f>LOG10(3.197238)</f>
        <v>0.50477496603068062</v>
      </c>
    </row>
    <row r="13432" spans="1:4">
      <c r="A13432">
        <v>1.0173669999999999</v>
      </c>
      <c r="B13432">
        <v>3.3373520000000001</v>
      </c>
      <c r="C13432">
        <f>LOG10(1.017367)</f>
        <v>7.4776464560033307E-3</v>
      </c>
      <c r="D13432">
        <f>LOG10(3.337352)</f>
        <v>0.52340201534386754</v>
      </c>
    </row>
    <row r="13433" spans="1:4">
      <c r="A13433">
        <v>1.014411</v>
      </c>
      <c r="B13433">
        <v>3.2596799999999999</v>
      </c>
      <c r="C13433">
        <f>LOG10(1.014411)</f>
        <v>6.2139499357245767E-3</v>
      </c>
      <c r="D13433">
        <f>LOG10(3.25968)</f>
        <v>0.51317496784233263</v>
      </c>
    </row>
    <row r="13434" spans="1:4">
      <c r="A13434">
        <v>1.0169790000000001</v>
      </c>
      <c r="B13434">
        <v>3.238213</v>
      </c>
      <c r="C13434">
        <f>LOG10(1.016979)</f>
        <v>7.3119850974914767E-3</v>
      </c>
      <c r="D13434">
        <f>LOG10(3.238213)</f>
        <v>0.51030541195356127</v>
      </c>
    </row>
    <row r="13435" spans="1:4">
      <c r="A13435">
        <v>1.0025569999999999</v>
      </c>
      <c r="B13435">
        <v>3.1249169999999999</v>
      </c>
      <c r="C13435">
        <f>LOG10(1.002557)</f>
        <v>1.1090736430858709E-3</v>
      </c>
      <c r="D13435">
        <f>LOG10(3.124917)</f>
        <v>0.49483848666546898</v>
      </c>
    </row>
    <row r="13436" spans="1:4">
      <c r="A13436">
        <v>1.0069490000000001</v>
      </c>
      <c r="B13436">
        <v>3.202645</v>
      </c>
      <c r="C13436">
        <f>LOG10(1.006949)</f>
        <v>3.0074749434195764E-3</v>
      </c>
      <c r="D13436">
        <f>LOG10(3.202645)</f>
        <v>0.50550880157810019</v>
      </c>
    </row>
    <row r="13437" spans="1:4">
      <c r="A13437">
        <v>1.0027870000000001</v>
      </c>
      <c r="B13437">
        <v>3.2915610000000002</v>
      </c>
      <c r="C13437">
        <f>LOG10(1.002787)</f>
        <v>1.2086951856000914E-3</v>
      </c>
      <c r="D13437">
        <f>LOG10(3.291561)</f>
        <v>0.51740190795245333</v>
      </c>
    </row>
    <row r="13438" spans="1:4">
      <c r="A13438">
        <v>1.009657</v>
      </c>
      <c r="B13438">
        <v>3.183649</v>
      </c>
      <c r="C13438">
        <f>LOG10(1.009657)</f>
        <v>4.173860607162818E-3</v>
      </c>
      <c r="D13438">
        <f>LOG10(3.183649)</f>
        <v>0.50292518037027545</v>
      </c>
    </row>
    <row r="13439" spans="1:4">
      <c r="A13439">
        <v>1.009684</v>
      </c>
      <c r="B13439">
        <v>3.2101600000000001</v>
      </c>
      <c r="C13439">
        <f>LOG10(1.009684)</f>
        <v>4.1854742484567706E-3</v>
      </c>
      <c r="D13439">
        <f>LOG10(3.21016)</f>
        <v>0.50652667894237857</v>
      </c>
    </row>
    <row r="13440" spans="1:4">
      <c r="A13440">
        <v>1.0083530000000001</v>
      </c>
      <c r="B13440">
        <v>3.3779849999999998</v>
      </c>
      <c r="C13440">
        <f>LOG10(1.008353)</f>
        <v>3.6125947232235251E-3</v>
      </c>
      <c r="D13440">
        <f>LOG10(3.377985)</f>
        <v>0.52865771674721829</v>
      </c>
    </row>
    <row r="13441" spans="1:4">
      <c r="A13441">
        <v>1.0032570000000001</v>
      </c>
      <c r="B13441">
        <v>3.4643579999999998</v>
      </c>
      <c r="C13441">
        <f>LOG10(1.003257)</f>
        <v>1.4121986084855191E-3</v>
      </c>
      <c r="D13441">
        <f>LOG10(3.464358)</f>
        <v>0.53962276480918825</v>
      </c>
    </row>
    <row r="13442" spans="1:4">
      <c r="A13442">
        <v>1.006278</v>
      </c>
      <c r="B13442">
        <v>3.3650389999999999</v>
      </c>
      <c r="C13442">
        <f>LOG10(1.006278)</f>
        <v>2.7179779238110484E-3</v>
      </c>
      <c r="D13442">
        <f>LOG10(3.365039)</f>
        <v>0.52699010195870089</v>
      </c>
    </row>
    <row r="13443" spans="1:4">
      <c r="A13443">
        <v>1.0058050000000001</v>
      </c>
      <c r="B13443">
        <v>3.2700770000000001</v>
      </c>
      <c r="C13443">
        <f>LOG10(1.005805)</f>
        <v>2.5137902300387282E-3</v>
      </c>
      <c r="D13443">
        <f>LOG10(3.270077)</f>
        <v>0.51455797904603295</v>
      </c>
    </row>
    <row r="13444" spans="1:4">
      <c r="A13444">
        <v>1.00403</v>
      </c>
      <c r="B13444">
        <v>3.4760659999999999</v>
      </c>
      <c r="C13444">
        <f>LOG10(1.00403)</f>
        <v>1.7466895418760918E-3</v>
      </c>
      <c r="D13444">
        <f>LOG10(3.476066)</f>
        <v>0.54108801379610172</v>
      </c>
    </row>
    <row r="13445" spans="1:4">
      <c r="A13445">
        <v>1.0031099999999999</v>
      </c>
      <c r="B13445">
        <v>3.3194029999999999</v>
      </c>
      <c r="C13445">
        <f>LOG10(1.00311)</f>
        <v>1.348559913317523E-3</v>
      </c>
      <c r="D13445">
        <f>LOG10(3.319403)</f>
        <v>0.52105998216195637</v>
      </c>
    </row>
    <row r="13446" spans="1:4">
      <c r="A13446">
        <v>1.0145329999999999</v>
      </c>
      <c r="B13446">
        <v>3.1878690000000001</v>
      </c>
      <c r="C13446">
        <f>LOG10(1.014533)</f>
        <v>6.2661780177771451E-3</v>
      </c>
      <c r="D13446">
        <f>LOG10(3.187869)</f>
        <v>0.50350046650510838</v>
      </c>
    </row>
    <row r="13447" spans="1:4">
      <c r="A13447">
        <v>1.0057780000000001</v>
      </c>
      <c r="B13447">
        <v>3.1445759999999998</v>
      </c>
      <c r="C13447">
        <f>LOG10(1.005778)</f>
        <v>2.5021317988309761E-3</v>
      </c>
      <c r="D13447">
        <f>LOG10(3.144576)</f>
        <v>0.49756209548109132</v>
      </c>
    </row>
    <row r="13448" spans="1:4">
      <c r="A13448">
        <v>1.006778</v>
      </c>
      <c r="B13448">
        <v>3.2164649999999999</v>
      </c>
      <c r="C13448">
        <f>LOG10(1.006778)</f>
        <v>2.9337168256766818E-3</v>
      </c>
      <c r="D13448">
        <f>LOG10(3.216465)</f>
        <v>0.50737882998181905</v>
      </c>
    </row>
    <row r="13449" spans="1:4">
      <c r="A13449">
        <v>1.0134669999999999</v>
      </c>
      <c r="B13449">
        <v>3.4150960000000001</v>
      </c>
      <c r="C13449">
        <f>LOG10(1.013467)</f>
        <v>5.8096119819319092E-3</v>
      </c>
      <c r="D13449">
        <f>LOG10(3.415096)</f>
        <v>0.53340291641704252</v>
      </c>
    </row>
    <row r="13450" spans="1:4">
      <c r="A13450">
        <v>1.0064979999999999</v>
      </c>
      <c r="B13450">
        <v>3.4850449999999999</v>
      </c>
      <c r="C13450">
        <f>LOG10(1.006498)</f>
        <v>2.8129162442194332E-3</v>
      </c>
      <c r="D13450">
        <f>LOG10(3.485045)</f>
        <v>0.54220839021753209</v>
      </c>
    </row>
    <row r="13451" spans="1:4">
      <c r="A13451">
        <v>1.0086280000000001</v>
      </c>
      <c r="B13451">
        <v>3.2136239999999998</v>
      </c>
      <c r="C13451">
        <f>LOG10(1.008628)</f>
        <v>3.731020214850317E-3</v>
      </c>
      <c r="D13451">
        <f>LOG10(3.213624)</f>
        <v>0.50699506213556567</v>
      </c>
    </row>
    <row r="13452" spans="1:4">
      <c r="A13452">
        <v>1.004729</v>
      </c>
      <c r="B13452">
        <v>3.190795</v>
      </c>
      <c r="C13452">
        <f>LOG10(1.004729)</f>
        <v>2.0489377011657594E-3</v>
      </c>
      <c r="D13452">
        <f>LOG10(3.190795)</f>
        <v>0.50389890283697336</v>
      </c>
    </row>
    <row r="13453" spans="1:4">
      <c r="A13453">
        <v>1.0061530000000001</v>
      </c>
      <c r="B13453">
        <v>3.2734329999999998</v>
      </c>
      <c r="C13453">
        <f>LOG10(1.006153)</f>
        <v>2.6640264488956931E-3</v>
      </c>
      <c r="D13453">
        <f>LOG10(3.273433)</f>
        <v>0.51500345629266675</v>
      </c>
    </row>
    <row r="13454" spans="1:4">
      <c r="A13454">
        <v>1.001231</v>
      </c>
      <c r="B13454">
        <v>3.3753009999999999</v>
      </c>
      <c r="C13454">
        <f>LOG10(1.001231)</f>
        <v>5.3428772055929348E-4</v>
      </c>
      <c r="D13454">
        <f>LOG10(3.375301)</f>
        <v>0.5283125080737513</v>
      </c>
    </row>
    <row r="13455" spans="1:4">
      <c r="A13455">
        <v>1.010392</v>
      </c>
      <c r="B13455">
        <v>3.4195139999999999</v>
      </c>
      <c r="C13455">
        <f>LOG10(1.010392)</f>
        <v>4.489898939188725E-3</v>
      </c>
      <c r="D13455">
        <f>LOG10(3.419514)</f>
        <v>0.53396438613902975</v>
      </c>
    </row>
    <row r="13456" spans="1:4">
      <c r="A13456">
        <v>1.0008379999999999</v>
      </c>
      <c r="B13456">
        <v>3.4425940000000002</v>
      </c>
      <c r="C13456">
        <f>LOG10(1.000838)</f>
        <v>3.6378637062557141E-4</v>
      </c>
      <c r="D13456">
        <f>LOG10(3.442594)</f>
        <v>0.53688580749800963</v>
      </c>
    </row>
    <row r="13457" spans="1:4">
      <c r="A13457">
        <v>1.0129870000000001</v>
      </c>
      <c r="B13457">
        <v>3.57179</v>
      </c>
      <c r="C13457">
        <f>LOG10(1.012987)</f>
        <v>5.6038719501205567E-3</v>
      </c>
      <c r="D13457">
        <f>LOG10(3.57179)</f>
        <v>0.55288591703559897</v>
      </c>
    </row>
    <row r="13458" spans="1:4">
      <c r="A13458">
        <v>1.0039199999999999</v>
      </c>
      <c r="B13458">
        <v>3.3354469999999998</v>
      </c>
      <c r="C13458">
        <f>LOG10(1.00392)</f>
        <v>1.699106292236239E-3</v>
      </c>
      <c r="D13458">
        <f>LOG10(3.335447)</f>
        <v>0.52315404413703137</v>
      </c>
    </row>
    <row r="13459" spans="1:4">
      <c r="A13459">
        <v>1.024624</v>
      </c>
      <c r="B13459">
        <v>3.078354</v>
      </c>
      <c r="C13459">
        <f>LOG10(1.024624)</f>
        <v>1.0564524237466332E-2</v>
      </c>
      <c r="D13459">
        <f>LOG10(3.078354)</f>
        <v>0.48831856072172963</v>
      </c>
    </row>
    <row r="13460" spans="1:4">
      <c r="A13460">
        <v>1.034996</v>
      </c>
      <c r="B13460">
        <v>3.3683580000000002</v>
      </c>
      <c r="C13460">
        <f>LOG10(1.034996)</f>
        <v>1.4938671356912911E-2</v>
      </c>
      <c r="D13460">
        <f>LOG10(3.368358)</f>
        <v>0.52741824350513755</v>
      </c>
    </row>
    <row r="13461" spans="1:4">
      <c r="A13461">
        <v>1.0638179999999999</v>
      </c>
      <c r="B13461">
        <v>3.5148039999999998</v>
      </c>
      <c r="C13461">
        <f>LOG10(1.063818)</f>
        <v>2.6867334390783242E-2</v>
      </c>
      <c r="D13461">
        <f>LOG10(3.514804)</f>
        <v>0.54590111197553592</v>
      </c>
    </row>
    <row r="13462" spans="1:4">
      <c r="A13462">
        <v>1.016116</v>
      </c>
      <c r="B13462">
        <v>3.467578</v>
      </c>
      <c r="C13462">
        <f>LOG10(1.016116)</f>
        <v>6.9432899205393193E-3</v>
      </c>
      <c r="D13462">
        <f>LOG10(3.467578)</f>
        <v>0.54002623891290502</v>
      </c>
    </row>
    <row r="13463" spans="1:4">
      <c r="A13463">
        <v>1.0183819999999999</v>
      </c>
      <c r="B13463">
        <v>3.6515040000000001</v>
      </c>
      <c r="C13463">
        <f>LOG10(1.018382)</f>
        <v>7.9107145166126634E-3</v>
      </c>
      <c r="D13463">
        <f>LOG10(3.651504)</f>
        <v>0.56247178072085546</v>
      </c>
    </row>
    <row r="13464" spans="1:4">
      <c r="A13464">
        <v>1.0246329999999999</v>
      </c>
      <c r="B13464">
        <v>3.427225</v>
      </c>
      <c r="C13464">
        <f>LOG10(1.024633)</f>
        <v>1.0568338937464547E-2</v>
      </c>
      <c r="D13464">
        <f>LOG10(3.427225)</f>
        <v>0.5349426171380034</v>
      </c>
    </row>
    <row r="13465" spans="1:4">
      <c r="A13465">
        <v>1.0321610000000001</v>
      </c>
      <c r="B13465">
        <v>3.4863170000000001</v>
      </c>
      <c r="C13465">
        <f>LOG10(1.032161)</f>
        <v>1.3747445312522534E-2</v>
      </c>
      <c r="D13465">
        <f>LOG10(3.486317)</f>
        <v>0.54236687362066371</v>
      </c>
    </row>
    <row r="13466" spans="1:4">
      <c r="A13466">
        <v>1.031952</v>
      </c>
      <c r="B13466">
        <v>1.2852920000000001</v>
      </c>
      <c r="C13466">
        <f>LOG10(1.031952)</f>
        <v>1.3659497078072165E-2</v>
      </c>
      <c r="D13466">
        <f>LOG10(1.285292)</f>
        <v>0.10900180438518148</v>
      </c>
    </row>
    <row r="13467" spans="1:4">
      <c r="A13467">
        <v>1.010456</v>
      </c>
      <c r="B13467">
        <v>3.4595950000000002</v>
      </c>
      <c r="C13467">
        <f>LOG10(1.010456)</f>
        <v>4.5174070415805222E-3</v>
      </c>
      <c r="D13467">
        <f>LOG10(3.459595)</f>
        <v>0.53902526076963464</v>
      </c>
    </row>
    <row r="13468" spans="1:4">
      <c r="A13468">
        <v>1.011387</v>
      </c>
      <c r="B13468">
        <v>3.4247269999999999</v>
      </c>
      <c r="C13468">
        <f>LOG10(1.011387)</f>
        <v>4.9173670693660396E-3</v>
      </c>
      <c r="D13468">
        <f>LOG10(3.424727)</f>
        <v>0.53462595769151067</v>
      </c>
    </row>
    <row r="13469" spans="1:4">
      <c r="A13469">
        <v>1.032141</v>
      </c>
      <c r="B13469">
        <v>3.3497150000000002</v>
      </c>
      <c r="C13469">
        <f>LOG10(1.032141)</f>
        <v>1.3739029984107996E-2</v>
      </c>
      <c r="D13469">
        <f>LOG10(3.349715)</f>
        <v>0.52500785802411354</v>
      </c>
    </row>
    <row r="13470" spans="1:4">
      <c r="A13470">
        <v>1.0188280000000001</v>
      </c>
      <c r="B13470">
        <v>3.2122480000000002</v>
      </c>
      <c r="C13470">
        <f>LOG10(1.018828)</f>
        <v>8.1008719790475244E-3</v>
      </c>
      <c r="D13470">
        <f>LOG10(3.212248)</f>
        <v>0.50680906738925491</v>
      </c>
    </row>
    <row r="13471" spans="1:4">
      <c r="A13471">
        <v>1.020295</v>
      </c>
      <c r="B13471">
        <v>3.3266089999999999</v>
      </c>
      <c r="C13471">
        <f>LOG10(1.020295)</f>
        <v>8.7257583786119267E-3</v>
      </c>
      <c r="D13471">
        <f>LOG10(3.326609)</f>
        <v>0.52200175815121774</v>
      </c>
    </row>
    <row r="13472" spans="1:4">
      <c r="A13472">
        <v>1.0208410000000001</v>
      </c>
      <c r="B13472">
        <v>3.459473</v>
      </c>
      <c r="C13472">
        <f>LOG10(1.020841)</f>
        <v>8.9581042808693796E-3</v>
      </c>
      <c r="D13472">
        <f>LOG10(3.459473)</f>
        <v>0.53900994543329228</v>
      </c>
    </row>
    <row r="13473" spans="1:4">
      <c r="A13473">
        <v>1.024035</v>
      </c>
      <c r="B13473">
        <v>3.9305249999999998</v>
      </c>
      <c r="C13473">
        <f>LOG10(1.024035)</f>
        <v>1.0314800435809682E-2</v>
      </c>
      <c r="D13473">
        <f>LOG10(3.930525)</f>
        <v>0.59445056293905019</v>
      </c>
    </row>
    <row r="13474" spans="1:4">
      <c r="A13474">
        <v>1.023266</v>
      </c>
      <c r="B13474">
        <v>3.343445</v>
      </c>
      <c r="C13474">
        <f>LOG10(1.023266)</f>
        <v>9.9885440892440499E-3</v>
      </c>
      <c r="D13474">
        <f>LOG10(3.343445)</f>
        <v>0.5241941834076197</v>
      </c>
    </row>
    <row r="13475" spans="1:4">
      <c r="A13475">
        <v>1.021938</v>
      </c>
      <c r="B13475">
        <v>3.4474990000000001</v>
      </c>
      <c r="C13475">
        <f>LOG10(1.021938)</f>
        <v>9.4245483675230654E-3</v>
      </c>
      <c r="D13475">
        <f>LOG10(3.447499)</f>
        <v>0.53750414887412523</v>
      </c>
    </row>
    <row r="13476" spans="1:4">
      <c r="A13476">
        <v>1.027747</v>
      </c>
      <c r="B13476">
        <v>3.478926</v>
      </c>
      <c r="C13476">
        <f>LOG10(1.027747)</f>
        <v>1.1886217745895242E-2</v>
      </c>
      <c r="D13476">
        <f>LOG10(3.478926)</f>
        <v>0.54144519099724153</v>
      </c>
    </row>
    <row r="13477" spans="1:4">
      <c r="A13477">
        <v>1.0261180000000001</v>
      </c>
      <c r="B13477">
        <v>3.35562</v>
      </c>
      <c r="C13477">
        <f>LOG10(1.026118)</f>
        <v>1.1197306002067208E-2</v>
      </c>
      <c r="D13477">
        <f>LOG10(3.35562)</f>
        <v>0.52577277419268387</v>
      </c>
    </row>
    <row r="13478" spans="1:4">
      <c r="A13478">
        <v>1.0200450000000001</v>
      </c>
      <c r="B13478">
        <v>3.4078270000000002</v>
      </c>
      <c r="C13478">
        <f>LOG10(1.020045)</f>
        <v>8.6193313899540561E-3</v>
      </c>
      <c r="D13478">
        <f>LOG10(3.407827)</f>
        <v>0.53247753948303778</v>
      </c>
    </row>
    <row r="13479" spans="1:4">
      <c r="A13479">
        <v>1.034977</v>
      </c>
      <c r="B13479">
        <v>3.5245769999999998</v>
      </c>
      <c r="C13479">
        <f>LOG10(1.034977)</f>
        <v>1.493069869721504E-2</v>
      </c>
      <c r="D13479">
        <f>LOG10(3.524577)</f>
        <v>0.54710700286241865</v>
      </c>
    </row>
    <row r="13480" spans="1:4">
      <c r="A13480">
        <v>1.021706</v>
      </c>
      <c r="B13480">
        <v>3.6645919999999998</v>
      </c>
      <c r="C13480">
        <f>LOG10(1.021706)</f>
        <v>9.3259437962431475E-3</v>
      </c>
      <c r="D13480">
        <f>LOG10(3.664592)</f>
        <v>0.56402562917846777</v>
      </c>
    </row>
    <row r="13481" spans="1:4">
      <c r="A13481">
        <v>1.0241359999999999</v>
      </c>
      <c r="B13481">
        <v>3.044689</v>
      </c>
      <c r="C13481">
        <f>LOG10(1.024136)</f>
        <v>1.0357632545733847E-2</v>
      </c>
      <c r="D13481">
        <f>LOG10(3.044689)</f>
        <v>0.48354293818998467</v>
      </c>
    </row>
    <row r="13482" spans="1:4">
      <c r="A13482">
        <v>1.017887</v>
      </c>
      <c r="B13482">
        <v>2.870771</v>
      </c>
      <c r="C13482">
        <f>LOG10(1.017887)</f>
        <v>7.6995677842539891E-3</v>
      </c>
      <c r="D13482">
        <f>LOG10(2.870771)</f>
        <v>0.45799855041955495</v>
      </c>
    </row>
    <row r="13483" spans="1:4">
      <c r="A13483">
        <v>1.0085059999999999</v>
      </c>
      <c r="B13483">
        <v>2.8019050000000001</v>
      </c>
      <c r="C13483">
        <f>LOG10(1.008506)</f>
        <v>3.6784863456508689E-3</v>
      </c>
      <c r="D13483">
        <f>LOG10(2.801905)</f>
        <v>0.44745340622626933</v>
      </c>
    </row>
    <row r="13484" spans="1:4">
      <c r="A13484">
        <v>1.014505</v>
      </c>
      <c r="B13484">
        <v>3.0482749999999998</v>
      </c>
      <c r="C13484">
        <f>LOG10(1.014505)</f>
        <v>6.2541918001764625E-3</v>
      </c>
      <c r="D13484">
        <f>LOG10(3.048275)</f>
        <v>0.48405414429326199</v>
      </c>
    </row>
    <row r="13485" spans="1:4">
      <c r="A13485">
        <v>1.0217210000000001</v>
      </c>
      <c r="B13485">
        <v>3.4782660000000001</v>
      </c>
      <c r="C13485">
        <f>LOG10(1.021721)</f>
        <v>9.3323197687919177E-3</v>
      </c>
      <c r="D13485">
        <f>LOG10(3.478266)</f>
        <v>0.54136279155823908</v>
      </c>
    </row>
    <row r="13486" spans="1:4">
      <c r="A13486">
        <v>1.021547</v>
      </c>
      <c r="B13486">
        <v>3.4503849999999998</v>
      </c>
      <c r="C13486">
        <f>LOG10(1.021547)</f>
        <v>9.2583527316397827E-3</v>
      </c>
      <c r="D13486">
        <f>LOG10(3.450385)</f>
        <v>0.53786755711581413</v>
      </c>
    </row>
    <row r="13487" spans="1:4">
      <c r="A13487">
        <v>1.117577</v>
      </c>
      <c r="B13487">
        <v>3.1128499999999999</v>
      </c>
      <c r="C13487">
        <f>LOG10(1.117577)</f>
        <v>4.8277455314546469E-2</v>
      </c>
      <c r="D13487">
        <f>LOG10(3.11285)</f>
        <v>0.49315819368546326</v>
      </c>
    </row>
    <row r="13488" spans="1:4">
      <c r="A13488">
        <v>1.0189349999999999</v>
      </c>
      <c r="B13488">
        <v>3.3115269999999999</v>
      </c>
      <c r="C13488">
        <f>LOG10(1.018935)</f>
        <v>8.1464803344905214E-3</v>
      </c>
      <c r="D13488">
        <f>LOG10(3.311527)</f>
        <v>0.5200283003471855</v>
      </c>
    </row>
    <row r="13489" spans="1:4">
      <c r="A13489">
        <v>1.017102</v>
      </c>
      <c r="B13489">
        <v>3.4069690000000001</v>
      </c>
      <c r="C13489">
        <f>LOG10(1.017102)</f>
        <v>7.3645082972452272E-3</v>
      </c>
      <c r="D13489">
        <f>LOG10(3.406969)</f>
        <v>0.53236818194175783</v>
      </c>
    </row>
    <row r="13490" spans="1:4">
      <c r="A13490">
        <v>1.0189379999999999</v>
      </c>
      <c r="B13490">
        <v>3.3338519999999998</v>
      </c>
      <c r="C13490">
        <f>LOG10(1.018938)</f>
        <v>8.1477590044034161E-3</v>
      </c>
      <c r="D13490">
        <f>LOG10(3.333852)</f>
        <v>0.52294631624483701</v>
      </c>
    </row>
    <row r="13491" spans="1:4">
      <c r="A13491">
        <v>1.020092</v>
      </c>
      <c r="B13491">
        <v>3.2951139999999999</v>
      </c>
      <c r="C13491">
        <f>LOG10(1.020092)</f>
        <v>8.6393416546108152E-3</v>
      </c>
      <c r="D13491">
        <f>LOG10(3.295114)</f>
        <v>0.51787044433655183</v>
      </c>
    </row>
    <row r="13492" spans="1:4">
      <c r="A13492">
        <v>1.0223329999999999</v>
      </c>
      <c r="B13492">
        <v>3.41852</v>
      </c>
      <c r="C13492">
        <f>LOG10(1.022333)</f>
        <v>9.5923796604256706E-3</v>
      </c>
      <c r="D13492">
        <f>LOG10(3.41852)</f>
        <v>0.53383812507684358</v>
      </c>
    </row>
    <row r="13493" spans="1:4">
      <c r="A13493">
        <v>1.019145</v>
      </c>
      <c r="B13493">
        <v>3.0826910000000001</v>
      </c>
      <c r="C13493">
        <f>LOG10(1.019145)</f>
        <v>8.2359781378372604E-3</v>
      </c>
      <c r="D13493">
        <f>LOG10(3.082691)</f>
        <v>0.48892999448958252</v>
      </c>
    </row>
    <row r="13494" spans="1:4">
      <c r="A13494">
        <v>1.02494</v>
      </c>
      <c r="B13494">
        <v>3.2422110000000002</v>
      </c>
      <c r="C13494">
        <f>LOG10(1.02494)</f>
        <v>1.0698442531668269E-2</v>
      </c>
      <c r="D13494">
        <f>LOG10(3.242211)</f>
        <v>0.51084127490294051</v>
      </c>
    </row>
    <row r="13495" spans="1:4">
      <c r="A13495">
        <v>1.0178499999999999</v>
      </c>
      <c r="B13495">
        <v>3.1742919999999999</v>
      </c>
      <c r="C13495">
        <f>LOG10(1.01785)</f>
        <v>7.6837809750225231E-3</v>
      </c>
      <c r="D13495">
        <f>LOG10(3.174292)</f>
        <v>0.50164687457881352</v>
      </c>
    </row>
    <row r="13496" spans="1:4">
      <c r="A13496">
        <v>1.0190440000000001</v>
      </c>
      <c r="B13496">
        <v>3.2288220000000001</v>
      </c>
      <c r="C13496">
        <f>LOG10(1.019044)</f>
        <v>8.1929362582980319E-3</v>
      </c>
      <c r="D13496">
        <f>LOG10(3.228822)</f>
        <v>0.50904410368901776</v>
      </c>
    </row>
    <row r="13497" spans="1:4">
      <c r="A13497">
        <v>1.0204530000000001</v>
      </c>
      <c r="B13497">
        <v>3.2255530000000001</v>
      </c>
      <c r="C13497">
        <f>LOG10(1.020453)</f>
        <v>8.7930067878009728E-3</v>
      </c>
      <c r="D13497">
        <f>LOG10(3.225553)</f>
        <v>0.50860418230771087</v>
      </c>
    </row>
    <row r="13498" spans="1:4">
      <c r="A13498">
        <v>1.020276</v>
      </c>
      <c r="B13498">
        <v>3.2324229999999998</v>
      </c>
      <c r="C13498">
        <f>LOG10(1.020276)</f>
        <v>8.717670843156021E-3</v>
      </c>
      <c r="D13498">
        <f>LOG10(3.232423)</f>
        <v>0.50952818828610502</v>
      </c>
    </row>
    <row r="13499" spans="1:4">
      <c r="A13499">
        <v>1.019722</v>
      </c>
      <c r="B13499">
        <v>3.019676</v>
      </c>
      <c r="C13499">
        <f>LOG10(1.019722)</f>
        <v>8.481789093380699E-3</v>
      </c>
      <c r="D13499">
        <f>LOG10(3.019676)</f>
        <v>0.47996034727477577</v>
      </c>
    </row>
    <row r="13500" spans="1:4">
      <c r="A13500">
        <v>1.010265</v>
      </c>
      <c r="B13500">
        <v>3.1544629999999998</v>
      </c>
      <c r="C13500">
        <f>LOG10(1.010265)</f>
        <v>4.435307388743169E-3</v>
      </c>
      <c r="D13500">
        <f>LOG10(3.154463)</f>
        <v>0.49892543775244153</v>
      </c>
    </row>
    <row r="13501" spans="1:4">
      <c r="A13501">
        <v>1.020767</v>
      </c>
      <c r="B13501">
        <v>3.1824110000000001</v>
      </c>
      <c r="C13501">
        <f>LOG10(1.020767)</f>
        <v>8.9266214578446156E-3</v>
      </c>
      <c r="D13501">
        <f>LOG10(3.182411)</f>
        <v>0.50275626692133724</v>
      </c>
    </row>
    <row r="13502" spans="1:4">
      <c r="A13502">
        <v>1.0156160000000001</v>
      </c>
      <c r="B13502">
        <v>3.0250180000000002</v>
      </c>
      <c r="C13502">
        <f>LOG10(1.015616)</f>
        <v>6.7295341246614224E-3</v>
      </c>
      <c r="D13502">
        <f>LOG10(3.025018)</f>
        <v>0.480727963212427</v>
      </c>
    </row>
    <row r="13503" spans="1:4">
      <c r="A13503">
        <v>1.0093730000000001</v>
      </c>
      <c r="B13503">
        <v>3.132231</v>
      </c>
      <c r="C13503">
        <f>LOG10(1.009373)</f>
        <v>4.0516834887703666E-3</v>
      </c>
      <c r="D13503">
        <f>LOG10(3.132231)</f>
        <v>0.49585378350272785</v>
      </c>
    </row>
    <row r="13504" spans="1:4">
      <c r="A13504">
        <v>1.0141279999999999</v>
      </c>
      <c r="B13504">
        <v>3.188383</v>
      </c>
      <c r="C13504">
        <f>LOG10(1.014128)</f>
        <v>6.0927737205509992E-3</v>
      </c>
      <c r="D13504">
        <f>LOG10(3.188383)</f>
        <v>0.50357048486830414</v>
      </c>
    </row>
    <row r="13505" spans="1:4">
      <c r="A13505">
        <v>1.0126839999999999</v>
      </c>
      <c r="B13505">
        <v>3.1257459999999999</v>
      </c>
      <c r="C13505">
        <f>LOG10(1.012684)</f>
        <v>5.4739483554221355E-3</v>
      </c>
      <c r="D13505">
        <f>LOG10(3.125746)</f>
        <v>0.49495368408616142</v>
      </c>
    </row>
    <row r="13506" spans="1:4">
      <c r="A13506">
        <v>1.010737</v>
      </c>
      <c r="B13506">
        <v>3.3948659999999999</v>
      </c>
      <c r="C13506">
        <f>LOG10(1.010737)</f>
        <v>4.6381641886724259E-3</v>
      </c>
      <c r="D13506">
        <f>LOG10(3.394866)</f>
        <v>0.53082263675817376</v>
      </c>
    </row>
    <row r="13507" spans="1:4">
      <c r="A13507">
        <v>1.0115620000000001</v>
      </c>
      <c r="B13507">
        <v>3.4028239999999998</v>
      </c>
      <c r="C13507">
        <f>LOG10(1.011562)</f>
        <v>4.9925064174392454E-3</v>
      </c>
      <c r="D13507">
        <f>LOG10(3.402824)</f>
        <v>0.53183948720762886</v>
      </c>
    </row>
    <row r="13508" spans="1:4">
      <c r="A13508">
        <v>1.0185299999999999</v>
      </c>
      <c r="B13508">
        <v>3.5515750000000001</v>
      </c>
      <c r="C13508">
        <f>LOG10(1.01853)</f>
        <v>7.9738253269322126E-3</v>
      </c>
      <c r="D13508">
        <f>LOG10(3.551575)</f>
        <v>0.55042099027154612</v>
      </c>
    </row>
    <row r="13509" spans="1:4">
      <c r="A13509">
        <v>1.017053</v>
      </c>
      <c r="B13509">
        <v>3.6451090000000002</v>
      </c>
      <c r="C13509">
        <f>LOG10(1.017053)</f>
        <v>7.3435851821263094E-3</v>
      </c>
      <c r="D13509">
        <f>LOG10(3.645109)</f>
        <v>0.56171051959246887</v>
      </c>
    </row>
    <row r="13510" spans="1:4">
      <c r="A13510">
        <v>1.0349299999999999</v>
      </c>
      <c r="B13510">
        <v>3.6195970000000002</v>
      </c>
      <c r="C13510">
        <f>LOG10(1.03493)</f>
        <v>1.4910976225961001E-2</v>
      </c>
      <c r="D13510">
        <f>LOG10(3.619597)</f>
        <v>0.55866021958866208</v>
      </c>
    </row>
    <row r="13511" spans="1:4">
      <c r="A13511">
        <v>1.024597</v>
      </c>
      <c r="B13511">
        <v>3.5378620000000001</v>
      </c>
      <c r="C13511">
        <f>LOG10(1.024597)</f>
        <v>1.0553079936425042E-2</v>
      </c>
      <c r="D13511">
        <f>LOG10(3.537862)</f>
        <v>0.54874088854900904</v>
      </c>
    </row>
    <row r="13512" spans="1:4">
      <c r="A13512">
        <v>1.018842</v>
      </c>
      <c r="B13512">
        <v>3.5803029999999998</v>
      </c>
      <c r="C13512">
        <f>LOG10(1.018842)</f>
        <v>8.1068396997743576E-3</v>
      </c>
      <c r="D13512">
        <f>LOG10(3.580303)</f>
        <v>0.55391978241471118</v>
      </c>
    </row>
    <row r="13513" spans="1:4">
      <c r="A13513">
        <v>1.0150520000000001</v>
      </c>
      <c r="B13513">
        <v>3.622798</v>
      </c>
      <c r="C13513">
        <f>LOG10(1.015052)</f>
        <v>6.4882912488277303E-3</v>
      </c>
      <c r="D13513">
        <f>LOG10(3.622798)</f>
        <v>0.55904411931440046</v>
      </c>
    </row>
    <row r="13514" spans="1:4">
      <c r="A13514">
        <v>1.014106</v>
      </c>
      <c r="B13514">
        <v>3.6633239999999998</v>
      </c>
      <c r="C13514">
        <f>LOG10(1.014106)</f>
        <v>6.0833522449202466E-3</v>
      </c>
      <c r="D13514">
        <f>LOG10(3.663324)</f>
        <v>0.56387533121966216</v>
      </c>
    </row>
    <row r="13515" spans="1:4">
      <c r="A13515">
        <v>1.038923</v>
      </c>
      <c r="B13515">
        <v>3.595256</v>
      </c>
      <c r="C13515">
        <f>LOG10(1.038923)</f>
        <v>1.6583360921655462E-2</v>
      </c>
      <c r="D13515">
        <f>LOG10(3.595256)</f>
        <v>0.55572981973392566</v>
      </c>
    </row>
    <row r="13516" spans="1:4">
      <c r="A13516">
        <v>1.0204489999999999</v>
      </c>
      <c r="B13516">
        <v>3.6545390000000002</v>
      </c>
      <c r="C13516">
        <f>LOG10(1.020449)</f>
        <v>8.7913044248970566E-3</v>
      </c>
      <c r="D13516">
        <f>LOG10(3.654539)</f>
        <v>0.56283260088804987</v>
      </c>
    </row>
    <row r="13517" spans="1:4">
      <c r="A13517">
        <v>1.0200739999999999</v>
      </c>
      <c r="B13517">
        <v>3.664202</v>
      </c>
      <c r="C13517">
        <f>LOG10(1.020074)</f>
        <v>8.6316782579318272E-3</v>
      </c>
      <c r="D13517">
        <f>LOG10(3.664202)</f>
        <v>0.56397940742681196</v>
      </c>
    </row>
    <row r="13518" spans="1:4">
      <c r="A13518">
        <v>1.0276959999999999</v>
      </c>
      <c r="B13518">
        <v>3.6357930000000001</v>
      </c>
      <c r="C13518">
        <f>LOG10(1.027696)</f>
        <v>1.1864666169343013E-2</v>
      </c>
      <c r="D13518">
        <f>LOG10(3.635793)</f>
        <v>0.56059914916025544</v>
      </c>
    </row>
    <row r="13519" spans="1:4">
      <c r="A13519">
        <v>1.0167759999999999</v>
      </c>
      <c r="B13519">
        <v>3.569096</v>
      </c>
      <c r="C13519">
        <f>LOG10(1.016776)</f>
        <v>7.2252865717406124E-3</v>
      </c>
      <c r="D13519">
        <f>LOG10(3.569096)</f>
        <v>0.55255822957783673</v>
      </c>
    </row>
    <row r="13520" spans="1:4">
      <c r="A13520">
        <v>1.0130950000000001</v>
      </c>
      <c r="B13520">
        <v>3.5961479999999999</v>
      </c>
      <c r="C13520">
        <f>LOG10(1.013095)</f>
        <v>5.6501719558359953E-3</v>
      </c>
      <c r="D13520">
        <f>LOG10(3.596148)</f>
        <v>0.55583755688228897</v>
      </c>
    </row>
    <row r="13521" spans="1:4">
      <c r="A13521">
        <v>1.0131680000000001</v>
      </c>
      <c r="B13521">
        <v>3.5349430000000002</v>
      </c>
      <c r="C13521">
        <f>LOG10(1.013168)</f>
        <v>5.6814645345315048E-3</v>
      </c>
      <c r="D13521">
        <f>LOG10(3.534943)</f>
        <v>0.54838241530829324</v>
      </c>
    </row>
    <row r="13522" spans="1:4">
      <c r="A13522">
        <v>1.0202059999999999</v>
      </c>
      <c r="B13522">
        <v>3.5014759999999998</v>
      </c>
      <c r="C13522">
        <f>LOG10(1.020206)</f>
        <v>8.6878733602621175E-3</v>
      </c>
      <c r="D13522">
        <f>LOG10(3.501476)</f>
        <v>0.54425115393025136</v>
      </c>
    </row>
    <row r="13523" spans="1:4">
      <c r="A13523">
        <v>1.0185280000000001</v>
      </c>
      <c r="B13523">
        <v>3.4733960000000002</v>
      </c>
      <c r="C13523">
        <f>LOG10(1.018528)</f>
        <v>7.9729725392710515E-3</v>
      </c>
      <c r="D13523">
        <f>LOG10(3.473396)</f>
        <v>0.54075429981256273</v>
      </c>
    </row>
    <row r="13524" spans="1:4">
      <c r="A13524">
        <v>1.016443</v>
      </c>
      <c r="B13524">
        <v>3.561283</v>
      </c>
      <c r="C13524">
        <f>LOG10(1.016443)</f>
        <v>7.0830293296365076E-3</v>
      </c>
      <c r="D13524">
        <f>LOG10(3.561283)</f>
        <v>0.55160648657929923</v>
      </c>
    </row>
    <row r="13525" spans="1:4">
      <c r="A13525">
        <v>1.017107</v>
      </c>
      <c r="B13525">
        <v>3.5750500000000001</v>
      </c>
      <c r="C13525">
        <f>LOG10(1.017107)</f>
        <v>7.3666432523157577E-3</v>
      </c>
      <c r="D13525">
        <f>LOG10(3.57505)</f>
        <v>0.5532821201433219</v>
      </c>
    </row>
    <row r="13526" spans="1:4">
      <c r="A13526">
        <v>1.025639</v>
      </c>
      <c r="B13526">
        <v>3.5944660000000002</v>
      </c>
      <c r="C13526">
        <f>LOG10(1.025639)</f>
        <v>1.0994526569014401E-2</v>
      </c>
      <c r="D13526">
        <f>LOG10(3.594466)</f>
        <v>0.55563437998198972</v>
      </c>
    </row>
    <row r="13527" spans="1:4">
      <c r="A13527">
        <v>1.035277</v>
      </c>
      <c r="B13527">
        <v>3.603685</v>
      </c>
      <c r="C13527">
        <f>LOG10(1.035277)</f>
        <v>1.5056565712067255E-2</v>
      </c>
      <c r="D13527">
        <f>LOG10(3.603685)</f>
        <v>0.55674682205712911</v>
      </c>
    </row>
    <row r="13528" spans="1:4">
      <c r="A13528">
        <v>1.0179210000000001</v>
      </c>
      <c r="B13528">
        <v>3.5145580000000001</v>
      </c>
      <c r="C13528">
        <f>LOG10(1.017921)</f>
        <v>7.7140740759928193E-3</v>
      </c>
      <c r="D13528">
        <f>LOG10(3.514558)</f>
        <v>0.54587071478085691</v>
      </c>
    </row>
    <row r="13529" spans="1:4">
      <c r="A13529">
        <v>1.019288</v>
      </c>
      <c r="B13529">
        <v>3.4574799999999999</v>
      </c>
      <c r="C13529">
        <f>LOG10(1.019288)</f>
        <v>8.2969113262364325E-3</v>
      </c>
      <c r="D13529">
        <f>LOG10(3.45748)</f>
        <v>0.53875967658618984</v>
      </c>
    </row>
    <row r="13530" spans="1:4">
      <c r="A13530">
        <v>1.022008</v>
      </c>
      <c r="B13530">
        <v>3.433716</v>
      </c>
      <c r="C13530">
        <f>LOG10(1.022008)</f>
        <v>9.4542953508045414E-3</v>
      </c>
      <c r="D13530">
        <f>LOG10(3.433716)</f>
        <v>0.53576437214889805</v>
      </c>
    </row>
    <row r="13531" spans="1:4">
      <c r="A13531">
        <v>1.0314049999999999</v>
      </c>
      <c r="B13531">
        <v>3.4767229999999998</v>
      </c>
      <c r="C13531">
        <f>LOG10(1.031405)</f>
        <v>1.3429232429573378E-2</v>
      </c>
      <c r="D13531">
        <f>LOG10(3.476723)</f>
        <v>0.54117009063618982</v>
      </c>
    </row>
    <row r="13532" spans="1:4">
      <c r="A13532">
        <v>1.032975</v>
      </c>
      <c r="B13532">
        <v>3.4230589999999999</v>
      </c>
      <c r="C13532">
        <f>LOG10(1.032975)</f>
        <v>1.4089810877383261E-2</v>
      </c>
      <c r="D13532">
        <f>LOG10(3.423059)</f>
        <v>0.53441438472175329</v>
      </c>
    </row>
    <row r="13533" spans="1:4">
      <c r="A13533">
        <v>1.023628</v>
      </c>
      <c r="B13533">
        <v>3.5665840000000002</v>
      </c>
      <c r="C13533">
        <f>LOG10(1.023628)</f>
        <v>1.0142156932984895E-2</v>
      </c>
      <c r="D13533">
        <f>LOG10(3.566584)</f>
        <v>0.55225245695809844</v>
      </c>
    </row>
    <row r="13534" spans="1:4">
      <c r="A13534">
        <v>1.017738</v>
      </c>
      <c r="B13534">
        <v>3.6498330000000001</v>
      </c>
      <c r="C13534">
        <f>LOG10(1.017738)</f>
        <v>7.6359903788682914E-3</v>
      </c>
      <c r="D13534">
        <f>LOG10(3.649833)</f>
        <v>0.56227299354203308</v>
      </c>
    </row>
    <row r="13535" spans="1:4">
      <c r="A13535">
        <v>1.0171209999999999</v>
      </c>
      <c r="B13535">
        <v>3.4502470000000001</v>
      </c>
      <c r="C13535">
        <f>LOG10(1.017121)</f>
        <v>7.3726210706790123E-3</v>
      </c>
      <c r="D13535">
        <f>LOG10(3.450247)</f>
        <v>0.53785018692754427</v>
      </c>
    </row>
    <row r="13536" spans="1:4">
      <c r="A13536">
        <v>1.026162</v>
      </c>
      <c r="B13536">
        <v>3.5510950000000001</v>
      </c>
      <c r="C13536">
        <f>LOG10(1.026162)</f>
        <v>1.1215928175656233E-2</v>
      </c>
      <c r="D13536">
        <f>LOG10(3.551095)</f>
        <v>0.55036229083833832</v>
      </c>
    </row>
    <row r="13537" spans="1:4">
      <c r="A13537">
        <v>1.021865</v>
      </c>
      <c r="B13537">
        <v>3.6048710000000002</v>
      </c>
      <c r="C13537">
        <f>LOG10(1.021865)</f>
        <v>9.3935243430036622E-3</v>
      </c>
      <c r="D13537">
        <f>LOG10(3.604871)</f>
        <v>0.55688972814267101</v>
      </c>
    </row>
    <row r="13538" spans="1:4">
      <c r="A13538">
        <v>1.0174700000000001</v>
      </c>
      <c r="B13538">
        <v>3.5815419999999998</v>
      </c>
      <c r="C13538">
        <f>LOG10(1.01747)</f>
        <v>7.5216129571769588E-3</v>
      </c>
      <c r="D13538">
        <f>LOG10(3.581542)</f>
        <v>0.5540700484057921</v>
      </c>
    </row>
    <row r="13539" spans="1:4">
      <c r="A13539">
        <v>1.0201709999999999</v>
      </c>
      <c r="B13539">
        <v>3.6252010000000001</v>
      </c>
      <c r="C13539">
        <f>LOG10(1.020171)</f>
        <v>8.6729738521142529E-3</v>
      </c>
      <c r="D13539">
        <f>LOG10(3.625201)</f>
        <v>0.55933209111965354</v>
      </c>
    </row>
    <row r="13540" spans="1:4">
      <c r="A13540">
        <v>1.027007</v>
      </c>
      <c r="B13540">
        <v>3.6136509999999999</v>
      </c>
      <c r="C13540">
        <f>LOG10(1.027007)</f>
        <v>1.1573403724846736E-2</v>
      </c>
      <c r="D13540">
        <f>LOG10(3.613651)</f>
        <v>0.55794620685992402</v>
      </c>
    </row>
    <row r="13541" spans="1:4">
      <c r="A13541">
        <v>1.024214</v>
      </c>
      <c r="B13541">
        <v>3.655888</v>
      </c>
      <c r="C13541">
        <f>LOG10(1.024214)</f>
        <v>1.0390707918209095E-2</v>
      </c>
      <c r="D13541">
        <f>LOG10(3.655888)</f>
        <v>0.56299288243186052</v>
      </c>
    </row>
    <row r="13542" spans="1:4">
      <c r="A13542">
        <v>1.019406</v>
      </c>
      <c r="B13542">
        <v>3.6425169999999998</v>
      </c>
      <c r="C13542">
        <f>LOG10(1.019406)</f>
        <v>8.3471854222232147E-3</v>
      </c>
      <c r="D13542">
        <f>LOG10(3.642517)</f>
        <v>0.56140158734359635</v>
      </c>
    </row>
    <row r="13543" spans="1:4">
      <c r="A13543">
        <v>1.018297</v>
      </c>
      <c r="B13543">
        <v>3.6490119999999999</v>
      </c>
      <c r="C13543">
        <f>LOG10(1.018297)</f>
        <v>7.8744642965405138E-3</v>
      </c>
      <c r="D13543">
        <f>LOG10(3.649012)</f>
        <v>0.56217529157106472</v>
      </c>
    </row>
    <row r="13544" spans="1:4">
      <c r="A13544">
        <v>1.014613</v>
      </c>
      <c r="B13544">
        <v>3.6674440000000001</v>
      </c>
      <c r="C13544">
        <f>LOG10(1.014613)</f>
        <v>6.3004225310554366E-3</v>
      </c>
      <c r="D13544">
        <f>LOG10(3.667444)</f>
        <v>0.56436349111063966</v>
      </c>
    </row>
    <row r="13545" spans="1:4">
      <c r="A13545">
        <v>1.023312</v>
      </c>
      <c r="B13545">
        <v>3.774006</v>
      </c>
      <c r="C13545">
        <f>LOG10(1.023312)</f>
        <v>1.0008066967112286E-2</v>
      </c>
      <c r="D13545">
        <f>LOG10(3.774006)</f>
        <v>0.57680258628064018</v>
      </c>
    </row>
    <row r="13546" spans="1:4">
      <c r="A13546">
        <v>1.046527</v>
      </c>
      <c r="B13546">
        <v>3.8183199999999999</v>
      </c>
      <c r="C13546">
        <f>LOG10(1.046527)</f>
        <v>1.9750437452294902E-2</v>
      </c>
      <c r="D13546">
        <f>LOG10(3.81832)</f>
        <v>0.58187232227938057</v>
      </c>
    </row>
    <row r="13547" spans="1:4">
      <c r="A13547">
        <v>1.0237259999999999</v>
      </c>
      <c r="B13547">
        <v>3.911975</v>
      </c>
      <c r="C13547">
        <f>LOG10(1.023726)</f>
        <v>1.0183733386552764E-2</v>
      </c>
      <c r="D13547">
        <f>LOG10(3.911975)</f>
        <v>0.59239607070739919</v>
      </c>
    </row>
    <row r="13548" spans="1:4">
      <c r="A13548">
        <v>1.0183340000000001</v>
      </c>
      <c r="B13548">
        <v>3.711773</v>
      </c>
      <c r="C13548">
        <f>LOG10(1.018334)</f>
        <v>7.8902441759906607E-3</v>
      </c>
      <c r="D13548">
        <f>LOG10(3.711773)</f>
        <v>0.56958140831678794</v>
      </c>
    </row>
    <row r="13549" spans="1:4">
      <c r="A13549">
        <v>1.0206029999999999</v>
      </c>
      <c r="B13549">
        <v>3.766804</v>
      </c>
      <c r="C13549">
        <f>LOG10(1.020603)</f>
        <v>8.8568405801150631E-3</v>
      </c>
      <c r="D13549">
        <f>LOG10(3.766804)</f>
        <v>0.57597302292877728</v>
      </c>
    </row>
    <row r="13550" spans="1:4">
      <c r="A13550">
        <v>1.0335810000000001</v>
      </c>
      <c r="B13550">
        <v>3.5405980000000001</v>
      </c>
      <c r="C13550">
        <f>LOG10(1.033581)</f>
        <v>1.4344517223184831E-2</v>
      </c>
      <c r="D13550">
        <f>LOG10(3.540598)</f>
        <v>0.54907661970003951</v>
      </c>
    </row>
    <row r="13551" spans="1:4">
      <c r="A13551">
        <v>1.018591</v>
      </c>
      <c r="B13551">
        <v>3.2725610000000001</v>
      </c>
      <c r="C13551">
        <f>LOG10(1.018591)</f>
        <v>7.9998345462216468E-3</v>
      </c>
      <c r="D13551">
        <f>LOG10(3.272561)</f>
        <v>0.51488775047611401</v>
      </c>
    </row>
    <row r="13552" spans="1:4">
      <c r="A13552">
        <v>1.0235019999999999</v>
      </c>
      <c r="B13552">
        <v>3.0971540000000002</v>
      </c>
      <c r="C13552">
        <f>LOG10(1.023502)</f>
        <v>1.0088695643483065E-2</v>
      </c>
      <c r="D13552">
        <f>LOG10(3.097154)</f>
        <v>0.49096280034787898</v>
      </c>
    </row>
    <row r="13553" spans="1:4">
      <c r="A13553">
        <v>1.0371490000000001</v>
      </c>
      <c r="B13553">
        <v>3.0460229999999999</v>
      </c>
      <c r="C13553">
        <f>LOG10(1.037149)</f>
        <v>1.5841152945811898E-2</v>
      </c>
      <c r="D13553">
        <f>LOG10(3.046023)</f>
        <v>0.48373317829594364</v>
      </c>
    </row>
    <row r="13554" spans="1:4">
      <c r="A13554">
        <v>1.0168299999999999</v>
      </c>
      <c r="B13554">
        <v>3.1081509999999999</v>
      </c>
      <c r="C13554">
        <f>LOG10(1.01683)</f>
        <v>7.2483509234668436E-3</v>
      </c>
      <c r="D13554">
        <f>LOG10(3.108151)</f>
        <v>0.49250210950911377</v>
      </c>
    </row>
    <row r="13555" spans="1:4">
      <c r="A13555">
        <v>1.0176400000000001</v>
      </c>
      <c r="B13555">
        <v>3.0055580000000002</v>
      </c>
      <c r="C13555">
        <f>LOG10(1.01764)</f>
        <v>7.5941692928003695E-3</v>
      </c>
      <c r="D13555">
        <f>LOG10(3.005558)</f>
        <v>0.47792511321859488</v>
      </c>
    </row>
    <row r="13556" spans="1:4">
      <c r="A13556">
        <v>1.0138609999999999</v>
      </c>
      <c r="B13556">
        <v>3.0314429999999999</v>
      </c>
      <c r="C13556">
        <f>LOG10(1.013861)</f>
        <v>5.9784174520128939E-3</v>
      </c>
      <c r="D13556">
        <f>LOG10(3.031443)</f>
        <v>0.48164940664052236</v>
      </c>
    </row>
    <row r="13557" spans="1:4">
      <c r="A13557">
        <v>1.0155160000000001</v>
      </c>
      <c r="B13557">
        <v>2.9857469999999999</v>
      </c>
      <c r="C13557">
        <f>LOG10(1.015516)</f>
        <v>6.6867703375462469E-3</v>
      </c>
      <c r="D13557">
        <f>LOG10(2.985747)</f>
        <v>0.47505300460835254</v>
      </c>
    </row>
    <row r="13558" spans="1:4">
      <c r="A13558">
        <v>1.0128349999999999</v>
      </c>
      <c r="B13558">
        <v>3.0470890000000002</v>
      </c>
      <c r="C13558">
        <f>LOG10(1.012835)</f>
        <v>5.5387006158441618E-3</v>
      </c>
      <c r="D13558">
        <f>LOG10(3.047089)</f>
        <v>0.48388513937016397</v>
      </c>
    </row>
    <row r="13559" spans="1:4">
      <c r="A13559">
        <v>1.0326059999999999</v>
      </c>
      <c r="B13559">
        <v>2.963317</v>
      </c>
      <c r="C13559">
        <f>LOG10(1.032606)</f>
        <v>1.3934644204638821E-2</v>
      </c>
      <c r="D13559">
        <f>LOG10(2.963317)</f>
        <v>0.47177811249484142</v>
      </c>
    </row>
    <row r="13560" spans="1:4">
      <c r="A13560">
        <v>1.0404329999999999</v>
      </c>
      <c r="B13560">
        <v>3.172145</v>
      </c>
      <c r="C13560">
        <f>LOG10(1.040433)</f>
        <v>1.7214118505204587E-2</v>
      </c>
      <c r="D13560">
        <f>LOG10(3.172145)</f>
        <v>0.50135303087148064</v>
      </c>
    </row>
    <row r="13561" spans="1:4">
      <c r="A13561">
        <v>1.0368580000000001</v>
      </c>
      <c r="B13561">
        <v>2.9722719999999998</v>
      </c>
      <c r="C13561">
        <f>LOG10(1.036858)</f>
        <v>1.5719282870095486E-2</v>
      </c>
      <c r="D13561">
        <f>LOG10(2.972272)</f>
        <v>0.47308855027488178</v>
      </c>
    </row>
    <row r="13562" spans="1:4">
      <c r="A13562">
        <v>1.051191</v>
      </c>
      <c r="B13562">
        <v>3.0886710000000002</v>
      </c>
      <c r="C13562">
        <f>LOG10(1.051191)</f>
        <v>2.1681633925114359E-2</v>
      </c>
      <c r="D13562">
        <f>LOG10(3.088671)</f>
        <v>0.48977165045292448</v>
      </c>
    </row>
    <row r="13563" spans="1:4">
      <c r="A13563">
        <v>1.03389</v>
      </c>
      <c r="B13563">
        <v>3.18364</v>
      </c>
      <c r="C13563">
        <f>LOG10(1.03389)</f>
        <v>1.4474334759592622E-2</v>
      </c>
      <c r="D13563">
        <f>LOG10(3.18364)</f>
        <v>0.50292395264201084</v>
      </c>
    </row>
    <row r="13564" spans="1:4">
      <c r="A13564">
        <v>1.028421</v>
      </c>
      <c r="B13564">
        <v>3.1088689999999999</v>
      </c>
      <c r="C13564">
        <f>LOG10(1.028421)</f>
        <v>1.2170936204004487E-2</v>
      </c>
      <c r="D13564">
        <f>LOG10(3.108869)</f>
        <v>0.49260242234046803</v>
      </c>
    </row>
    <row r="13565" spans="1:4">
      <c r="A13565">
        <v>1.0185709999999999</v>
      </c>
      <c r="B13565">
        <v>3.1436320000000002</v>
      </c>
      <c r="C13565">
        <f>LOG10(1.018571)</f>
        <v>7.9913071049691579E-3</v>
      </c>
      <c r="D13565">
        <f>LOG10(3.143632)</f>
        <v>0.49743170094134448</v>
      </c>
    </row>
    <row r="13566" spans="1:4">
      <c r="A13566">
        <v>1.0149630000000001</v>
      </c>
      <c r="B13566">
        <v>3.0653090000000001</v>
      </c>
      <c r="C13566">
        <f>LOG10(1.014963)</f>
        <v>6.4502105362082103E-3</v>
      </c>
      <c r="D13566">
        <f>LOG10(3.065309)</f>
        <v>0.48647426033266661</v>
      </c>
    </row>
    <row r="13567" spans="1:4">
      <c r="A13567">
        <v>1.012305</v>
      </c>
      <c r="B13567">
        <v>3.1506180000000001</v>
      </c>
      <c r="C13567">
        <f>LOG10(1.012305)</f>
        <v>5.3113819310482624E-3</v>
      </c>
      <c r="D13567">
        <f>LOG10(3.150618)</f>
        <v>0.49839574987375512</v>
      </c>
    </row>
    <row r="13568" spans="1:4">
      <c r="A13568">
        <v>1.0210319999999999</v>
      </c>
      <c r="B13568">
        <v>3.053369</v>
      </c>
      <c r="C13568">
        <f>LOG10(1.021032)</f>
        <v>9.0393534538447673E-3</v>
      </c>
      <c r="D13568">
        <f>LOG10(3.053369)</f>
        <v>0.48477929200912195</v>
      </c>
    </row>
    <row r="13569" spans="1:4">
      <c r="A13569">
        <v>1.0106269999999999</v>
      </c>
      <c r="B13569">
        <v>3.1207509999999998</v>
      </c>
      <c r="C13569">
        <f>LOG10(1.010627)</f>
        <v>4.5908967068566432E-3</v>
      </c>
      <c r="D13569">
        <f>LOG10(3.120751)</f>
        <v>0.49425911834812158</v>
      </c>
    </row>
    <row r="13570" spans="1:4">
      <c r="A13570">
        <v>1.0139149999999999</v>
      </c>
      <c r="B13570">
        <v>3.0293939999999999</v>
      </c>
      <c r="C13570">
        <f>LOG10(1.013915)</f>
        <v>6.0015481153882552E-3</v>
      </c>
      <c r="D13570">
        <f>LOG10(3.029394)</f>
        <v>0.48135576091887644</v>
      </c>
    </row>
    <row r="13571" spans="1:4">
      <c r="A13571">
        <v>1.020162</v>
      </c>
      <c r="B13571">
        <v>3.0389750000000002</v>
      </c>
      <c r="C13571">
        <f>LOG10(1.020162)</f>
        <v>8.6691424673970303E-3</v>
      </c>
      <c r="D13571">
        <f>LOG10(3.038975)</f>
        <v>0.48272712738935181</v>
      </c>
    </row>
    <row r="13572" spans="1:4">
      <c r="A13572">
        <v>1.0114190000000001</v>
      </c>
      <c r="B13572">
        <v>3.5598480000000001</v>
      </c>
      <c r="C13572">
        <f>LOG10(1.011419)</f>
        <v>4.9311078071551081E-3</v>
      </c>
      <c r="D13572">
        <f>LOG10(3.559848)</f>
        <v>0.55143145466654075</v>
      </c>
    </row>
    <row r="13573" spans="1:4">
      <c r="A13573">
        <v>1.0073559999999999</v>
      </c>
      <c r="B13573">
        <v>3.5139680000000002</v>
      </c>
      <c r="C13573">
        <f>LOG10(1.007356)</f>
        <v>3.182977517796341E-3</v>
      </c>
      <c r="D13573">
        <f>LOG10(3.513968)</f>
        <v>0.54579780226835439</v>
      </c>
    </row>
    <row r="13574" spans="1:4">
      <c r="A13574">
        <v>1.1515150000000001</v>
      </c>
      <c r="B13574">
        <v>3.99268</v>
      </c>
      <c r="C13574">
        <f>LOG10(1.151515)</f>
        <v>6.1269599594908165E-2</v>
      </c>
      <c r="D13574">
        <f>LOG10(3.99268)</f>
        <v>0.60126450433327538</v>
      </c>
    </row>
    <row r="13575" spans="1:4">
      <c r="A13575">
        <v>1.2721819999999999</v>
      </c>
      <c r="B13575">
        <v>4.0083159999999998</v>
      </c>
      <c r="C13575">
        <f>LOG10(1.272182)</f>
        <v>0.104549246486562</v>
      </c>
      <c r="D13575">
        <f>LOG10(4.008316)</f>
        <v>0.60296195229195426</v>
      </c>
    </row>
    <row r="13576" spans="1:4">
      <c r="A13576">
        <v>1.3307519999999999</v>
      </c>
      <c r="B13576">
        <v>3.859381</v>
      </c>
      <c r="C13576">
        <f>LOG10(1.330752)</f>
        <v>0.12409712755064337</v>
      </c>
      <c r="D13576">
        <f>LOG10(3.859381)</f>
        <v>0.58651765445371951</v>
      </c>
    </row>
    <row r="13577" spans="1:4">
      <c r="A13577">
        <v>1.077548</v>
      </c>
      <c r="B13577">
        <v>3.953478</v>
      </c>
      <c r="C13577">
        <f>LOG10(1.077548)</f>
        <v>3.2436625162999243E-2</v>
      </c>
      <c r="D13577">
        <f>LOG10(3.953478)</f>
        <v>0.59697932641284612</v>
      </c>
    </row>
    <row r="13578" spans="1:4">
      <c r="A13578">
        <v>1.009919</v>
      </c>
      <c r="B13578">
        <v>4.0118159999999996</v>
      </c>
      <c r="C13578">
        <f>LOG10(1.009919)</f>
        <v>4.286542828477566E-3</v>
      </c>
      <c r="D13578">
        <f>LOG10(4.011816)</f>
        <v>0.60334100609883834</v>
      </c>
    </row>
    <row r="13579" spans="1:4">
      <c r="A13579">
        <v>1.0048950000000001</v>
      </c>
      <c r="B13579">
        <v>3.9721790000000001</v>
      </c>
      <c r="C13579">
        <f>LOG10(1.004895)</f>
        <v>2.120685335708296E-3</v>
      </c>
      <c r="D13579">
        <f>LOG10(3.972179)</f>
        <v>0.59902881106217742</v>
      </c>
    </row>
    <row r="13580" spans="1:4">
      <c r="A13580">
        <v>1.0077469999999999</v>
      </c>
      <c r="B13580">
        <v>4.0066839999999999</v>
      </c>
      <c r="C13580">
        <f>LOG10(1.007747)</f>
        <v>3.351513959412735E-3</v>
      </c>
      <c r="D13580">
        <f>LOG10(4.006684)</f>
        <v>0.60278509175439687</v>
      </c>
    </row>
    <row r="13581" spans="1:4">
      <c r="A13581">
        <v>1.0140629999999999</v>
      </c>
      <c r="B13581">
        <v>4.0352309999999996</v>
      </c>
      <c r="C13581">
        <f>LOG10(1.014063)</f>
        <v>6.0649369523833379E-3</v>
      </c>
      <c r="D13581">
        <f>LOG10(4.035231)</f>
        <v>0.60586840130189534</v>
      </c>
    </row>
    <row r="13582" spans="1:4">
      <c r="A13582">
        <v>1.030351</v>
      </c>
      <c r="B13582">
        <v>3.8580540000000001</v>
      </c>
      <c r="C13582">
        <f>LOG10(1.030351)</f>
        <v>1.2985196933809697E-2</v>
      </c>
      <c r="D13582">
        <f>LOG10(3.858054)</f>
        <v>0.58636830203723256</v>
      </c>
    </row>
    <row r="13583" spans="1:4">
      <c r="A13583">
        <v>1.0162530000000001</v>
      </c>
      <c r="B13583">
        <v>4.1298550000000001</v>
      </c>
      <c r="C13583">
        <f>LOG10(1.016253)</f>
        <v>7.0018406503633713E-3</v>
      </c>
      <c r="D13583">
        <f>LOG10(4.129855)</f>
        <v>0.615934803761642</v>
      </c>
    </row>
    <row r="13584" spans="1:4">
      <c r="A13584">
        <v>1.004448</v>
      </c>
      <c r="B13584">
        <v>4.0092559999999997</v>
      </c>
      <c r="C13584">
        <f>LOG10(1.004448)</f>
        <v>1.9274583589171707E-3</v>
      </c>
      <c r="D13584">
        <f>LOG10(4.009256)</f>
        <v>0.6030637878139451</v>
      </c>
    </row>
    <row r="13585" spans="1:4">
      <c r="A13585">
        <v>1.0029250000000001</v>
      </c>
      <c r="B13585">
        <v>4.2390869999999996</v>
      </c>
      <c r="C13585">
        <f>LOG10(1.002925)</f>
        <v>1.268457144043984E-3</v>
      </c>
      <c r="D13585">
        <f>LOG10(4.239087)</f>
        <v>0.62727232981007075</v>
      </c>
    </row>
    <row r="13586" spans="1:4">
      <c r="A13586">
        <v>1.003511</v>
      </c>
      <c r="B13586">
        <v>3.954024</v>
      </c>
      <c r="C13586">
        <f>LOG10(1.003511)</f>
        <v>1.5221373746931624E-3</v>
      </c>
      <c r="D13586">
        <f>LOG10(3.954024)</f>
        <v>0.59703930105148573</v>
      </c>
    </row>
    <row r="13587" spans="1:4">
      <c r="A13587">
        <v>1.012967</v>
      </c>
      <c r="B13587">
        <v>4.0779069999999997</v>
      </c>
      <c r="C13587">
        <f>LOG10(1.012967)</f>
        <v>5.5952973332848294E-3</v>
      </c>
      <c r="D13587">
        <f>LOG10(4.077907)</f>
        <v>0.61043731711466409</v>
      </c>
    </row>
    <row r="13588" spans="1:4">
      <c r="A13588">
        <v>1.0058400000000001</v>
      </c>
      <c r="B13588">
        <v>4.0802420000000001</v>
      </c>
      <c r="C13588">
        <f>LOG10(1.00584)</f>
        <v>2.5289025454503945E-3</v>
      </c>
      <c r="D13588">
        <f>LOG10(4.080242)</f>
        <v>0.61068592194964211</v>
      </c>
    </row>
    <row r="13589" spans="1:4">
      <c r="A13589">
        <v>1.0113209999999999</v>
      </c>
      <c r="B13589">
        <v>3.6492339999999999</v>
      </c>
      <c r="C13589">
        <f>LOG10(1.011321)</f>
        <v>4.8890254245850433E-3</v>
      </c>
      <c r="D13589">
        <f>LOG10(3.649234)</f>
        <v>0.56220171254262752</v>
      </c>
    </row>
    <row r="13590" spans="1:4">
      <c r="A13590">
        <v>1.0267299999999999</v>
      </c>
      <c r="B13590">
        <v>3.375629</v>
      </c>
      <c r="C13590">
        <f>LOG10(1.02673)</f>
        <v>1.1456251847837445E-2</v>
      </c>
      <c r="D13590">
        <f>LOG10(3.375629)</f>
        <v>0.52835470924904904</v>
      </c>
    </row>
    <row r="13591" spans="1:4">
      <c r="A13591">
        <v>1.0376460000000001</v>
      </c>
      <c r="B13591">
        <v>3.0737770000000002</v>
      </c>
      <c r="C13591">
        <f>LOG10(1.037646)</f>
        <v>1.6049216259666332E-2</v>
      </c>
      <c r="D13591">
        <f>LOG10(3.073777)</f>
        <v>0.4876723565981802</v>
      </c>
    </row>
    <row r="13592" spans="1:4">
      <c r="A13592">
        <v>1.0483800000000001</v>
      </c>
      <c r="B13592">
        <v>3.3661729999999999</v>
      </c>
      <c r="C13592">
        <f>LOG10(1.04838)</f>
        <v>2.0518727295081658E-2</v>
      </c>
      <c r="D13592">
        <f>LOG10(3.366173)</f>
        <v>0.52713643220268591</v>
      </c>
    </row>
    <row r="13593" spans="1:4">
      <c r="A13593">
        <v>1.0367919999999999</v>
      </c>
      <c r="B13593">
        <v>3.2896000000000001</v>
      </c>
      <c r="C13593">
        <f>LOG10(1.036792)</f>
        <v>1.5691637475920631E-2</v>
      </c>
      <c r="D13593">
        <f>LOG10(3.2896)</f>
        <v>0.51714309297916294</v>
      </c>
    </row>
    <row r="13594" spans="1:4">
      <c r="A13594">
        <v>1.0283580000000001</v>
      </c>
      <c r="B13594">
        <v>3.2844720000000001</v>
      </c>
      <c r="C13594">
        <f>LOG10(1.028358)</f>
        <v>1.2144330961177301E-2</v>
      </c>
      <c r="D13594">
        <f>LOG10(3.284472)</f>
        <v>0.5164655638754696</v>
      </c>
    </row>
    <row r="13595" spans="1:4">
      <c r="A13595">
        <v>1.013352</v>
      </c>
      <c r="B13595">
        <v>3.272691</v>
      </c>
      <c r="C13595">
        <f>LOG10(1.013352)</f>
        <v>5.7603289769152695E-3</v>
      </c>
      <c r="D13595">
        <f>LOG10(3.272691)</f>
        <v>0.51490500215187984</v>
      </c>
    </row>
    <row r="13596" spans="1:4">
      <c r="A13596">
        <v>1.0072129999999999</v>
      </c>
      <c r="B13596">
        <v>3.4019050000000002</v>
      </c>
      <c r="C13596">
        <f>LOG10(1.007213)</f>
        <v>3.1213225325201137E-3</v>
      </c>
      <c r="D13596">
        <f>LOG10(3.401905)</f>
        <v>0.53172218154232009</v>
      </c>
    </row>
    <row r="13597" spans="1:4">
      <c r="A13597">
        <v>1.0077199999999999</v>
      </c>
      <c r="B13597">
        <v>3.6608740000000002</v>
      </c>
      <c r="C13597">
        <f>LOG10(1.00772)</f>
        <v>3.3398779951304232E-3</v>
      </c>
      <c r="D13597">
        <f>LOG10(3.660874)</f>
        <v>0.56358478158669234</v>
      </c>
    </row>
    <row r="13598" spans="1:4">
      <c r="A13598">
        <v>1.0132760000000001</v>
      </c>
      <c r="B13598">
        <v>3.5522800000000001</v>
      </c>
      <c r="C13598">
        <f>LOG10(1.013276)</f>
        <v>5.7277562693042973E-3</v>
      </c>
      <c r="D13598">
        <f>LOG10(3.55228)</f>
        <v>0.55050719068266007</v>
      </c>
    </row>
    <row r="13599" spans="1:4">
      <c r="A13599">
        <v>1.015144</v>
      </c>
      <c r="B13599">
        <v>3.566459</v>
      </c>
      <c r="C13599">
        <f>LOG10(1.015144)</f>
        <v>6.5276520714896208E-3</v>
      </c>
      <c r="D13599">
        <f>LOG10(3.566459)</f>
        <v>0.55223723573757766</v>
      </c>
    </row>
    <row r="13600" spans="1:4">
      <c r="A13600">
        <v>1.0206789999999999</v>
      </c>
      <c r="B13600">
        <v>3.3333010000000001</v>
      </c>
      <c r="C13600">
        <f>LOG10(1.020679)</f>
        <v>8.8891794540578925E-3</v>
      </c>
      <c r="D13600">
        <f>LOG10(3.333301)</f>
        <v>0.52287453260343164</v>
      </c>
    </row>
    <row r="13601" spans="1:4">
      <c r="A13601">
        <v>1.0176350000000001</v>
      </c>
      <c r="B13601">
        <v>3.389669</v>
      </c>
      <c r="C13601">
        <f>LOG10(1.017635)</f>
        <v>7.5920354559384853E-3</v>
      </c>
      <c r="D13601">
        <f>LOG10(3.389669)</f>
        <v>0.53015729156829683</v>
      </c>
    </row>
    <row r="13602" spans="1:4">
      <c r="A13602">
        <v>1.015342</v>
      </c>
      <c r="B13602">
        <v>3.4029829999999999</v>
      </c>
      <c r="C13602">
        <f>LOG10(1.015342)</f>
        <v>6.6123513087060978E-3</v>
      </c>
      <c r="D13602">
        <f>LOG10(3.402983)</f>
        <v>0.53185977953229668</v>
      </c>
    </row>
    <row r="13603" spans="1:4">
      <c r="A13603">
        <v>1.00796</v>
      </c>
      <c r="B13603">
        <v>3.4313449999999999</v>
      </c>
      <c r="C13603">
        <f>LOG10(1.00796)</f>
        <v>3.4432978595427726E-3</v>
      </c>
      <c r="D13603">
        <f>LOG10(3.431345)</f>
        <v>0.53546438581009215</v>
      </c>
    </row>
    <row r="13604" spans="1:4">
      <c r="A13604">
        <v>1.0067980000000001</v>
      </c>
      <c r="B13604">
        <v>3.149975</v>
      </c>
      <c r="C13604">
        <f>LOG10(1.006798)</f>
        <v>2.9423441530171024E-3</v>
      </c>
      <c r="D13604">
        <f>LOG10(3.149975)</f>
        <v>0.49830710699432035</v>
      </c>
    </row>
    <row r="13605" spans="1:4">
      <c r="A13605">
        <v>1.0137910000000001</v>
      </c>
      <c r="B13605">
        <v>3.289361</v>
      </c>
      <c r="C13605">
        <f>LOG10(1.013791)</f>
        <v>5.9484314250761068E-3</v>
      </c>
      <c r="D13605">
        <f>LOG10(3.289361)</f>
        <v>0.51711153894465178</v>
      </c>
    </row>
    <row r="13606" spans="1:4">
      <c r="A13606">
        <v>1.0308440000000001</v>
      </c>
      <c r="B13606">
        <v>3.5792380000000001</v>
      </c>
      <c r="C13606">
        <f>LOG10(1.030844)</f>
        <v>1.3192947470426764E-2</v>
      </c>
      <c r="D13606">
        <f>LOG10(3.579238)</f>
        <v>0.5537905775881341</v>
      </c>
    </row>
    <row r="13607" spans="1:4">
      <c r="A13607">
        <v>1.014173</v>
      </c>
      <c r="B13607">
        <v>3.4863179999999998</v>
      </c>
      <c r="C13607">
        <f>LOG10(1.014173)</f>
        <v>6.1120442841299596E-3</v>
      </c>
      <c r="D13607">
        <f>LOG10(3.486318)</f>
        <v>0.54236699819178547</v>
      </c>
    </row>
    <row r="13608" spans="1:4">
      <c r="A13608">
        <v>1.008805</v>
      </c>
      <c r="B13608">
        <v>3.5832660000000001</v>
      </c>
      <c r="C13608">
        <f>LOG10(1.008805)</f>
        <v>3.8072260898350677E-3</v>
      </c>
      <c r="D13608">
        <f>LOG10(3.583266)</f>
        <v>0.55427904875897704</v>
      </c>
    </row>
    <row r="13609" spans="1:4">
      <c r="A13609">
        <v>1.0108919999999999</v>
      </c>
      <c r="B13609">
        <v>3.4856479999999999</v>
      </c>
      <c r="C13609">
        <f>LOG10(1.010892)</f>
        <v>4.7047596370231037E-3</v>
      </c>
      <c r="D13609">
        <f>LOG10(3.485648)</f>
        <v>0.54228352753120823</v>
      </c>
    </row>
    <row r="13610" spans="1:4">
      <c r="A13610">
        <v>1.010486</v>
      </c>
      <c r="B13610">
        <v>3.4498380000000002</v>
      </c>
      <c r="C13610">
        <f>LOG10(1.010486)</f>
        <v>4.530300864815472E-3</v>
      </c>
      <c r="D13610">
        <f>LOG10(3.449838)</f>
        <v>0.53779870163618726</v>
      </c>
    </row>
    <row r="13611" spans="1:4">
      <c r="A13611">
        <v>1.0050779999999999</v>
      </c>
      <c r="B13611">
        <v>1.353113</v>
      </c>
      <c r="C13611">
        <f>LOG10(1.005078)</f>
        <v>2.1997668859657571E-3</v>
      </c>
      <c r="D13611">
        <f>LOG10(1.353113)</f>
        <v>0.13133406653644933</v>
      </c>
    </row>
    <row r="13612" spans="1:4">
      <c r="A13612">
        <v>1.0389820000000001</v>
      </c>
      <c r="B13612">
        <v>3.379753</v>
      </c>
      <c r="C13612">
        <f>LOG10(1.038982)</f>
        <v>1.6608023622249755E-2</v>
      </c>
      <c r="D13612">
        <f>LOG10(3.379753)</f>
        <v>0.52888496221353376</v>
      </c>
    </row>
    <row r="13613" spans="1:4">
      <c r="A13613">
        <v>1.0290630000000001</v>
      </c>
      <c r="B13613">
        <v>3.3570609999999999</v>
      </c>
      <c r="C13613">
        <f>LOG10(1.029063)</f>
        <v>1.2441963406578884E-2</v>
      </c>
      <c r="D13613">
        <f>LOG10(3.357061)</f>
        <v>0.5259592327352649</v>
      </c>
    </row>
    <row r="13614" spans="1:4">
      <c r="A13614">
        <v>1.011944</v>
      </c>
      <c r="B13614">
        <v>3.3867690000000001</v>
      </c>
      <c r="C13614">
        <f>LOG10(1.011944)</f>
        <v>5.1564797331178731E-3</v>
      </c>
      <c r="D13614">
        <f>LOG10(3.386769)</f>
        <v>0.52978557590457898</v>
      </c>
    </row>
    <row r="13615" spans="1:4">
      <c r="A13615">
        <v>1.0060359999999999</v>
      </c>
      <c r="B13615">
        <v>3.201508</v>
      </c>
      <c r="C13615">
        <f>LOG10(1.006036)</f>
        <v>2.6135217950684357E-3</v>
      </c>
      <c r="D13615">
        <f>LOG10(3.201508)</f>
        <v>0.50535459138633487</v>
      </c>
    </row>
    <row r="13616" spans="1:4">
      <c r="A13616">
        <v>1.0047809999999999</v>
      </c>
      <c r="B13616">
        <v>3.399273</v>
      </c>
      <c r="C13616">
        <f>LOG10(1.004781)</f>
        <v>2.0714141387689405E-3</v>
      </c>
      <c r="D13616">
        <f>LOG10(3.399273)</f>
        <v>0.53138604473383422</v>
      </c>
    </row>
    <row r="13617" spans="1:4">
      <c r="A13617">
        <v>1.00345</v>
      </c>
      <c r="B13617">
        <v>3.4299750000000002</v>
      </c>
      <c r="C13617">
        <f>LOG10(1.00345)</f>
        <v>1.4957372967601135E-3</v>
      </c>
      <c r="D13617">
        <f>LOG10(3.429975)</f>
        <v>0.535290954619559</v>
      </c>
    </row>
    <row r="13618" spans="1:4">
      <c r="A13618">
        <v>1.005088</v>
      </c>
      <c r="B13618">
        <v>3.8302260000000001</v>
      </c>
      <c r="C13618">
        <f>LOG10(1.005088)</f>
        <v>2.2040878672370517E-3</v>
      </c>
      <c r="D13618">
        <f>LOG10(3.830226)</f>
        <v>0.58322439998877895</v>
      </c>
    </row>
    <row r="13619" spans="1:4">
      <c r="A13619">
        <v>1.0012669999999999</v>
      </c>
      <c r="B13619">
        <v>3.3030629999999999</v>
      </c>
      <c r="C13619">
        <f>LOG10(1.001267)</f>
        <v>5.4990281865194464E-4</v>
      </c>
      <c r="D13619">
        <f>LOG10(3.303063)</f>
        <v>0.5189168571583932</v>
      </c>
    </row>
    <row r="13620" spans="1:4">
      <c r="A13620">
        <v>1.024157</v>
      </c>
      <c r="B13620">
        <v>3.493236</v>
      </c>
      <c r="C13620">
        <f>LOG10(1.024157)</f>
        <v>1.0366537701510203E-2</v>
      </c>
      <c r="D13620">
        <f>LOG10(3.493236)</f>
        <v>0.54322792718802326</v>
      </c>
    </row>
    <row r="13621" spans="1:4">
      <c r="A13621">
        <v>1.0018590000000001</v>
      </c>
      <c r="B13621">
        <v>3.4436460000000002</v>
      </c>
      <c r="C13621">
        <f>LOG10(1.001859)</f>
        <v>8.0660393557832025E-4</v>
      </c>
      <c r="D13621">
        <f>LOG10(3.443646)</f>
        <v>0.53701850046209931</v>
      </c>
    </row>
    <row r="13622" spans="1:4">
      <c r="A13622">
        <v>1.005585</v>
      </c>
      <c r="B13622">
        <v>3.3998780000000002</v>
      </c>
      <c r="C13622">
        <f>LOG10(1.005585)</f>
        <v>2.4187864899388222E-3</v>
      </c>
      <c r="D13622">
        <f>LOG10(3.399878)</f>
        <v>0.5314633332547819</v>
      </c>
    </row>
    <row r="13623" spans="1:4">
      <c r="A13623">
        <v>1</v>
      </c>
      <c r="B13623">
        <v>3.3339129999999999</v>
      </c>
      <c r="C13623">
        <f>LOG10(1)</f>
        <v>0</v>
      </c>
      <c r="D13623">
        <f>LOG10(3.333913)</f>
        <v>0.52295426252470645</v>
      </c>
    </row>
    <row r="13624" spans="1:4">
      <c r="A13624">
        <v>1.0086660000000001</v>
      </c>
      <c r="B13624">
        <v>3.527104</v>
      </c>
      <c r="C13624">
        <f>LOG10(1.008666)</f>
        <v>3.7473819254530034E-3</v>
      </c>
      <c r="D13624">
        <f>LOG10(3.527104)</f>
        <v>0.54741826544016359</v>
      </c>
    </row>
    <row r="13625" spans="1:4">
      <c r="A13625">
        <v>1.001263</v>
      </c>
      <c r="B13625">
        <v>3.5897489999999999</v>
      </c>
      <c r="C13625">
        <f>LOG10(1.001263)</f>
        <v>5.4816783547809069E-4</v>
      </c>
      <c r="D13625">
        <f>LOG10(3.589749)</f>
        <v>0.55506408319507183</v>
      </c>
    </row>
    <row r="13626" spans="1:4">
      <c r="A13626">
        <v>1.0059130000000001</v>
      </c>
      <c r="B13626">
        <v>3.1611229999999999</v>
      </c>
      <c r="C13626">
        <f>LOG10(1.005913)</f>
        <v>2.560420825470703E-3</v>
      </c>
      <c r="D13626">
        <f>LOG10(3.161123)</f>
        <v>0.49984139466337063</v>
      </c>
    </row>
    <row r="13627" spans="1:4">
      <c r="A13627">
        <v>1.002632</v>
      </c>
      <c r="B13627">
        <v>2.7949769999999998</v>
      </c>
      <c r="C13627">
        <f>LOG10(1.002632)</f>
        <v>1.1415614396556243E-3</v>
      </c>
      <c r="D13627">
        <f>LOG10(2.794977)</f>
        <v>0.44637823840699209</v>
      </c>
    </row>
    <row r="13628" spans="1:4">
      <c r="A13628">
        <v>1.0044150000000001</v>
      </c>
      <c r="B13628">
        <v>2.9149039999999999</v>
      </c>
      <c r="C13628">
        <f>LOG10(1.004415)</f>
        <v>1.9131898718136953E-3</v>
      </c>
      <c r="D13628">
        <f>LOG10(2.914904)</f>
        <v>0.46462425619389885</v>
      </c>
    </row>
    <row r="13629" spans="1:4">
      <c r="A13629">
        <v>1.0008349999999999</v>
      </c>
      <c r="B13629">
        <v>2.966736</v>
      </c>
      <c r="C13629">
        <f>LOG10(1.000835)</f>
        <v>3.6248457613096617E-4</v>
      </c>
      <c r="D13629">
        <f>LOG10(2.966736)</f>
        <v>0.47227890161026975</v>
      </c>
    </row>
    <row r="13630" spans="1:4">
      <c r="A13630">
        <v>1.003242</v>
      </c>
      <c r="B13630">
        <v>3.3893879999999998</v>
      </c>
      <c r="C13630">
        <f>LOG10(1.003242)</f>
        <v>1.4057052912910299E-3</v>
      </c>
      <c r="D13630">
        <f>LOG10(3.389388)</f>
        <v>0.53012128751950816</v>
      </c>
    </row>
    <row r="13631" spans="1:4">
      <c r="A13631">
        <v>1.0043519999999999</v>
      </c>
      <c r="B13631">
        <v>3.378873</v>
      </c>
      <c r="C13631">
        <f>LOG10(1.004352)</f>
        <v>1.8859487309855762E-3</v>
      </c>
      <c r="D13631">
        <f>LOG10(3.378873)</f>
        <v>0.5287718684734054</v>
      </c>
    </row>
    <row r="13632" spans="1:4">
      <c r="A13632">
        <v>1.010672</v>
      </c>
      <c r="B13632">
        <v>3.1787030000000001</v>
      </c>
      <c r="C13632">
        <f>LOG10(1.010672)</f>
        <v>4.6102340257678058E-3</v>
      </c>
      <c r="D13632">
        <f>LOG10(3.178703)</f>
        <v>0.50224995179436616</v>
      </c>
    </row>
    <row r="13633" spans="1:4">
      <c r="A13633">
        <v>1.000308</v>
      </c>
      <c r="B13633">
        <v>3.1620620000000002</v>
      </c>
      <c r="C13633">
        <f>LOG10(1.000308)</f>
        <v>1.3374210519910315E-4</v>
      </c>
      <c r="D13633">
        <f>LOG10(3.162062)</f>
        <v>0.49997038109078185</v>
      </c>
    </row>
    <row r="13634" spans="1:4">
      <c r="A13634">
        <v>1.0027680000000001</v>
      </c>
      <c r="B13634">
        <v>3.361939</v>
      </c>
      <c r="C13634">
        <f>LOG10(1.002768)</f>
        <v>1.2004664457685686E-3</v>
      </c>
      <c r="D13634">
        <f>LOG10(3.361939)</f>
        <v>0.52658982920942077</v>
      </c>
    </row>
    <row r="13635" spans="1:4">
      <c r="A13635">
        <v>1.001471</v>
      </c>
      <c r="B13635">
        <v>3.2726829999999998</v>
      </c>
      <c r="C13635">
        <f>LOG10(1.001471)</f>
        <v>6.3837777105681776E-4</v>
      </c>
      <c r="D13635">
        <f>LOG10(3.272683)</f>
        <v>0.51490394053008237</v>
      </c>
    </row>
    <row r="13636" spans="1:4">
      <c r="A13636">
        <v>1.005479</v>
      </c>
      <c r="B13636">
        <v>3.2335880000000001</v>
      </c>
      <c r="C13636">
        <f>LOG10(1.005479)</f>
        <v>2.373004540558445E-3</v>
      </c>
      <c r="D13636">
        <f>LOG10(3.233588)</f>
        <v>0.50968468448658844</v>
      </c>
    </row>
    <row r="13637" spans="1:4">
      <c r="A13637">
        <v>1.003665</v>
      </c>
      <c r="B13637">
        <v>3.3036189999999999</v>
      </c>
      <c r="C13637">
        <f>LOG10(1.003665)</f>
        <v>1.58877961268757E-3</v>
      </c>
      <c r="D13637">
        <f>LOG10(3.303619)</f>
        <v>0.5189899551923256</v>
      </c>
    </row>
    <row r="13638" spans="1:4">
      <c r="A13638">
        <v>1.0037910000000001</v>
      </c>
      <c r="B13638">
        <v>3.0684840000000002</v>
      </c>
      <c r="C13638">
        <f>LOG10(1.003791)</f>
        <v>1.6432974748889829E-3</v>
      </c>
      <c r="D13638">
        <f>LOG10(3.068484)</f>
        <v>0.4869238630835887</v>
      </c>
    </row>
    <row r="13639" spans="1:4">
      <c r="A13639">
        <v>1.003601</v>
      </c>
      <c r="B13639">
        <v>3.1999469999999999</v>
      </c>
      <c r="C13639">
        <f>LOG10(1.003601)</f>
        <v>1.5610853789873483E-3</v>
      </c>
      <c r="D13639">
        <f>LOG10(3.199947)</f>
        <v>0.50514278525798173</v>
      </c>
    </row>
    <row r="13640" spans="1:4">
      <c r="A13640">
        <v>1.00424</v>
      </c>
      <c r="B13640">
        <v>3.2025060000000001</v>
      </c>
      <c r="C13640">
        <f>LOG10(1.00424)</f>
        <v>1.8375158167615543E-3</v>
      </c>
      <c r="D13640">
        <f>LOG10(3.202506)</f>
        <v>0.5054899520824383</v>
      </c>
    </row>
    <row r="13641" spans="1:4">
      <c r="A13641">
        <v>1.003091</v>
      </c>
      <c r="B13641">
        <v>3.1358109999999999</v>
      </c>
      <c r="C13641">
        <f>LOG10(1.003091)</f>
        <v>1.3403338231536713E-3</v>
      </c>
      <c r="D13641">
        <f>LOG10(3.135811)</f>
        <v>0.4963498792258505</v>
      </c>
    </row>
    <row r="13642" spans="1:4">
      <c r="A13642">
        <v>1.0038309999999999</v>
      </c>
      <c r="B13642">
        <v>3.2371059999999998</v>
      </c>
      <c r="C13642">
        <f>LOG10(1.003831)</f>
        <v>1.6606033016615025E-3</v>
      </c>
      <c r="D13642">
        <f>LOG10(3.237106)</f>
        <v>0.5101569207375608</v>
      </c>
    </row>
    <row r="13643" spans="1:4">
      <c r="A13643">
        <v>1.007795</v>
      </c>
      <c r="B13643">
        <v>3.1443629999999998</v>
      </c>
      <c r="C13643">
        <f>LOG10(1.007795)</f>
        <v>3.3721993483903081E-3</v>
      </c>
      <c r="D13643">
        <f>LOG10(3.144363)</f>
        <v>0.49753267725182221</v>
      </c>
    </row>
    <row r="13644" spans="1:4">
      <c r="A13644">
        <v>1.007835</v>
      </c>
      <c r="B13644">
        <v>3.0451060000000001</v>
      </c>
      <c r="C13644">
        <f>LOG10(1.007835)</f>
        <v>3.3894364199544623E-3</v>
      </c>
      <c r="D13644">
        <f>LOG10(3.045106)</f>
        <v>0.48360241500299289</v>
      </c>
    </row>
    <row r="13645" spans="1:4">
      <c r="A13645">
        <v>1.0058069999999999</v>
      </c>
      <c r="B13645">
        <v>3.1937959999999999</v>
      </c>
      <c r="C13645">
        <f>LOG10(1.005807)</f>
        <v>2.5146538050857402E-3</v>
      </c>
      <c r="D13645">
        <f>LOG10(3.193796)</f>
        <v>0.50430717263410674</v>
      </c>
    </row>
    <row r="13646" spans="1:4">
      <c r="A13646">
        <v>1.004453</v>
      </c>
      <c r="B13646">
        <v>3.1009739999999999</v>
      </c>
      <c r="C13646">
        <f>LOG10(1.004453)</f>
        <v>1.9296202100084242E-3</v>
      </c>
      <c r="D13646">
        <f>LOG10(3.100974)</f>
        <v>0.49149812492682443</v>
      </c>
    </row>
    <row r="13647" spans="1:4">
      <c r="A13647">
        <v>1.009274</v>
      </c>
      <c r="B13647">
        <v>2.998103</v>
      </c>
      <c r="C13647">
        <f>LOG10(1.009274)</f>
        <v>4.0090854973999848E-3</v>
      </c>
      <c r="D13647">
        <f>LOG10(2.998103)</f>
        <v>0.47684654898031814</v>
      </c>
    </row>
    <row r="13648" spans="1:4">
      <c r="A13648">
        <v>1.005063</v>
      </c>
      <c r="B13648">
        <v>3.095396</v>
      </c>
      <c r="C13648">
        <f>LOG10(1.005063)</f>
        <v>2.1932853334491764E-3</v>
      </c>
      <c r="D13648">
        <f>LOG10(3.095396)</f>
        <v>0.49071621704384538</v>
      </c>
    </row>
    <row r="13649" spans="1:4">
      <c r="A13649">
        <v>1.0061359999999999</v>
      </c>
      <c r="B13649">
        <v>3.179735</v>
      </c>
      <c r="C13649">
        <f>LOG10(1.006136)</f>
        <v>2.6566885305424159E-3</v>
      </c>
      <c r="D13649">
        <f>LOG10(3.179735)</f>
        <v>0.5023909272695567</v>
      </c>
    </row>
    <row r="13650" spans="1:4">
      <c r="A13650">
        <v>1.007126</v>
      </c>
      <c r="B13650">
        <v>3.0997210000000002</v>
      </c>
      <c r="C13650">
        <f>LOG10(1.007126)</f>
        <v>3.0838078739159219E-3</v>
      </c>
      <c r="D13650">
        <f>LOG10(3.099721)</f>
        <v>0.49132260557190321</v>
      </c>
    </row>
    <row r="13651" spans="1:4">
      <c r="A13651">
        <v>1.0082519999999999</v>
      </c>
      <c r="B13651">
        <v>3.3043439999999999</v>
      </c>
      <c r="C13651">
        <f>LOG10(1.008252)</f>
        <v>3.5690921605412342E-3</v>
      </c>
      <c r="D13651">
        <f>LOG10(3.304344)</f>
        <v>0.51908525339561251</v>
      </c>
    </row>
    <row r="13652" spans="1:4">
      <c r="A13652">
        <v>1.005657</v>
      </c>
      <c r="B13652">
        <v>3.3448310000000001</v>
      </c>
      <c r="C13652">
        <f>LOG10(1.005657)</f>
        <v>2.4498809109089721E-3</v>
      </c>
      <c r="D13652">
        <f>LOG10(3.344831)</f>
        <v>0.52437417961606991</v>
      </c>
    </row>
    <row r="13653" spans="1:4">
      <c r="A13653">
        <v>1.018715</v>
      </c>
      <c r="B13653">
        <v>3.4856479999999999</v>
      </c>
      <c r="C13653">
        <f>LOG10(1.018715)</f>
        <v>8.0527009451057691E-3</v>
      </c>
      <c r="D13653">
        <f>LOG10(3.485648)</f>
        <v>0.54228352753120823</v>
      </c>
    </row>
    <row r="13654" spans="1:4">
      <c r="A13654">
        <v>1.01895</v>
      </c>
      <c r="B13654">
        <v>3.6382020000000002</v>
      </c>
      <c r="C13654">
        <f>LOG10(1.01895)</f>
        <v>8.1528736464082305E-3</v>
      </c>
      <c r="D13654">
        <f>LOG10(3.638202)</f>
        <v>0.56088680826509529</v>
      </c>
    </row>
    <row r="13655" spans="1:4">
      <c r="A13655">
        <v>1.03122</v>
      </c>
      <c r="B13655">
        <v>3.5556299999999998</v>
      </c>
      <c r="C13655">
        <f>LOG10(1.03122)</f>
        <v>1.3351327352918635E-2</v>
      </c>
      <c r="D13655">
        <f>LOG10(3.55563)</f>
        <v>0.55091656182610449</v>
      </c>
    </row>
    <row r="13656" spans="1:4">
      <c r="A13656">
        <v>1.0284199999999999</v>
      </c>
      <c r="B13656">
        <v>3.5220310000000001</v>
      </c>
      <c r="C13656">
        <f>LOG10(1.02842)</f>
        <v>1.2170513911292542E-2</v>
      </c>
      <c r="D13656">
        <f>LOG10(3.522031)</f>
        <v>0.54679317419505413</v>
      </c>
    </row>
    <row r="13657" spans="1:4">
      <c r="A13657">
        <v>1.0171809999999999</v>
      </c>
      <c r="B13657">
        <v>3.536279</v>
      </c>
      <c r="C13657">
        <f>LOG10(1.017181)</f>
        <v>7.3982393603151909E-3</v>
      </c>
      <c r="D13657">
        <f>LOG10(3.536279)</f>
        <v>0.54854652200292853</v>
      </c>
    </row>
    <row r="13658" spans="1:4">
      <c r="A13658">
        <v>1.025623</v>
      </c>
      <c r="B13658">
        <v>3.5670739999999999</v>
      </c>
      <c r="C13658">
        <f>LOG10(1.025623)</f>
        <v>1.0987751508870353E-2</v>
      </c>
      <c r="D13658">
        <f>LOG10(3.567074)</f>
        <v>0.55231211899865806</v>
      </c>
    </row>
    <row r="13659" spans="1:4">
      <c r="A13659">
        <v>1.0222739999999999</v>
      </c>
      <c r="B13659">
        <v>3.5530949999999999</v>
      </c>
      <c r="C13659">
        <f>LOG10(1.022274)</f>
        <v>9.5673153087537672E-3</v>
      </c>
      <c r="D13659">
        <f>LOG10(3.553095)</f>
        <v>0.55060681948601053</v>
      </c>
    </row>
    <row r="13660" spans="1:4">
      <c r="A13660">
        <v>1.03898</v>
      </c>
      <c r="B13660">
        <v>3.5424359999999999</v>
      </c>
      <c r="C13660">
        <f>LOG10(1.03898)</f>
        <v>1.6607187621433733E-2</v>
      </c>
      <c r="D13660">
        <f>LOG10(3.542436)</f>
        <v>0.54930201273801027</v>
      </c>
    </row>
    <row r="13661" spans="1:4">
      <c r="A13661">
        <v>1.0258240000000001</v>
      </c>
      <c r="B13661">
        <v>3.5974699999999999</v>
      </c>
      <c r="C13661">
        <f>LOG10(1.025824)</f>
        <v>1.1072855526806905E-2</v>
      </c>
      <c r="D13661">
        <f>LOG10(3.59747)</f>
        <v>0.55599718095783479</v>
      </c>
    </row>
    <row r="13662" spans="1:4">
      <c r="A13662">
        <v>1.017927</v>
      </c>
      <c r="B13662">
        <v>3.5852819999999999</v>
      </c>
      <c r="C13662">
        <f>LOG10(1.017927)</f>
        <v>7.7166339595316743E-3</v>
      </c>
      <c r="D13662">
        <f>LOG10(3.585282)</f>
        <v>0.55452332073667709</v>
      </c>
    </row>
    <row r="13663" spans="1:4">
      <c r="A13663">
        <v>1.018122</v>
      </c>
      <c r="B13663">
        <v>3.5760420000000002</v>
      </c>
      <c r="C13663">
        <f>LOG10(1.018122)</f>
        <v>7.7998219616181126E-3</v>
      </c>
      <c r="D13663">
        <f>LOG10(3.576042)</f>
        <v>0.55340261086804243</v>
      </c>
    </row>
    <row r="13664" spans="1:4">
      <c r="A13664">
        <v>1.012974</v>
      </c>
      <c r="B13664">
        <v>3.5195850000000002</v>
      </c>
      <c r="C13664">
        <f>LOG10(1.012974)</f>
        <v>5.5982984684347422E-3</v>
      </c>
      <c r="D13664">
        <f>LOG10(3.519585)</f>
        <v>0.54649145812719102</v>
      </c>
    </row>
    <row r="13665" spans="1:4">
      <c r="A13665">
        <v>1.0112019999999999</v>
      </c>
      <c r="B13665">
        <v>3.5746440000000002</v>
      </c>
      <c r="C13665">
        <f>LOG10(1.011202)</f>
        <v>4.837919905976735E-3</v>
      </c>
      <c r="D13665">
        <f>LOG10(3.574644)</f>
        <v>0.55323279675693859</v>
      </c>
    </row>
    <row r="13666" spans="1:4">
      <c r="A13666">
        <v>1.0086459999999999</v>
      </c>
      <c r="B13666">
        <v>3.477865</v>
      </c>
      <c r="C13666">
        <f>LOG10(1.008646)</f>
        <v>3.7387705756584191E-3</v>
      </c>
      <c r="D13666">
        <f>LOG10(3.477865)</f>
        <v>0.54131272002064557</v>
      </c>
    </row>
    <row r="13667" spans="1:4">
      <c r="A13667">
        <v>1.014839</v>
      </c>
      <c r="B13667">
        <v>3.4657640000000001</v>
      </c>
      <c r="C13667">
        <f>LOG10(1.014839)</f>
        <v>6.3971486948827998E-3</v>
      </c>
      <c r="D13667">
        <f>LOG10(3.465764)</f>
        <v>0.5397989862523126</v>
      </c>
    </row>
    <row r="13668" spans="1:4">
      <c r="A13668">
        <v>1.0149060000000001</v>
      </c>
      <c r="B13668">
        <v>3.374355</v>
      </c>
      <c r="C13668">
        <f>LOG10(1.014906)</f>
        <v>6.4258200110314818E-3</v>
      </c>
      <c r="D13668">
        <f>LOG10(3.374355)</f>
        <v>0.52819077073407927</v>
      </c>
    </row>
    <row r="13669" spans="1:4">
      <c r="A13669">
        <v>1.013468</v>
      </c>
      <c r="B13669">
        <v>3.4820350000000002</v>
      </c>
      <c r="C13669">
        <f>LOG10(1.013468)</f>
        <v>5.8100405052757403E-3</v>
      </c>
      <c r="D13669">
        <f>LOG10(3.482035)</f>
        <v>0.54183313215479678</v>
      </c>
    </row>
    <row r="13670" spans="1:4">
      <c r="A13670">
        <v>1.017034</v>
      </c>
      <c r="B13670">
        <v>3.4846889999999999</v>
      </c>
      <c r="C13670">
        <f>LOG10(1.017034)</f>
        <v>7.33547186626873E-3</v>
      </c>
      <c r="D13670">
        <f>LOG10(3.484689)</f>
        <v>0.54216402443952905</v>
      </c>
    </row>
    <row r="13671" spans="1:4">
      <c r="A13671">
        <v>1.0282910000000001</v>
      </c>
      <c r="B13671">
        <v>3.526411</v>
      </c>
      <c r="C13671">
        <f>LOG10(1.028291)</f>
        <v>1.2116034708099768E-2</v>
      </c>
      <c r="D13671">
        <f>LOG10(3.526411)</f>
        <v>0.54733292754071139</v>
      </c>
    </row>
    <row r="13672" spans="1:4">
      <c r="A13672">
        <v>1.040292</v>
      </c>
      <c r="B13672">
        <v>3.5489009999999999</v>
      </c>
      <c r="C13672">
        <f>LOG10(1.040292)</f>
        <v>1.7155258711582588E-2</v>
      </c>
      <c r="D13672">
        <f>LOG10(3.548901)</f>
        <v>0.55009388445511653</v>
      </c>
    </row>
    <row r="13673" spans="1:4">
      <c r="A13673">
        <v>1.0181439999999999</v>
      </c>
      <c r="B13673">
        <v>3.412004</v>
      </c>
      <c r="C13673">
        <f>LOG10(1.018144)</f>
        <v>7.8092062744753018E-3</v>
      </c>
      <c r="D13673">
        <f>LOG10(3.412004)</f>
        <v>0.53300953163291487</v>
      </c>
    </row>
    <row r="13674" spans="1:4">
      <c r="A13674">
        <v>1.026748</v>
      </c>
      <c r="B13674">
        <v>3.3554520000000001</v>
      </c>
      <c r="C13674">
        <f>LOG10(1.026748)</f>
        <v>1.1463865565320164E-2</v>
      </c>
      <c r="D13674">
        <f>LOG10(3.355452)</f>
        <v>0.52575103058064254</v>
      </c>
    </row>
    <row r="13675" spans="1:4">
      <c r="A13675">
        <v>1.0336810000000001</v>
      </c>
      <c r="B13675">
        <v>3.3720949999999998</v>
      </c>
      <c r="C13675">
        <f>LOG10(1.033681)</f>
        <v>1.4386533618033858E-2</v>
      </c>
      <c r="D13675">
        <f>LOG10(3.372095)</f>
        <v>0.52789980124173419</v>
      </c>
    </row>
    <row r="13676" spans="1:4">
      <c r="A13676">
        <v>1.0401879999999999</v>
      </c>
      <c r="B13676">
        <v>3.3493029999999999</v>
      </c>
      <c r="C13676">
        <f>LOG10(1.040188)</f>
        <v>1.7111839283224125E-2</v>
      </c>
      <c r="D13676">
        <f>LOG10(3.349303)</f>
        <v>0.52495443845522449</v>
      </c>
    </row>
    <row r="13677" spans="1:4">
      <c r="A13677">
        <v>1.030697</v>
      </c>
      <c r="B13677">
        <v>3.3581159999999999</v>
      </c>
      <c r="C13677">
        <f>LOG10(1.030697)</f>
        <v>1.3131011967860449E-2</v>
      </c>
      <c r="D13677">
        <f>LOG10(3.358116)</f>
        <v>0.52609569397289946</v>
      </c>
    </row>
    <row r="13678" spans="1:4">
      <c r="A13678">
        <v>1.0304009999999999</v>
      </c>
      <c r="B13678">
        <v>3.4881850000000001</v>
      </c>
      <c r="C13678">
        <f>LOG10(1.030401)</f>
        <v>1.3006271496978262E-2</v>
      </c>
      <c r="D13678">
        <f>LOG10(3.488185)</f>
        <v>0.54259951019072816</v>
      </c>
    </row>
    <row r="13679" spans="1:4">
      <c r="A13679">
        <v>1.0249809999999999</v>
      </c>
      <c r="B13679">
        <v>3.5936050000000002</v>
      </c>
      <c r="C13679">
        <f>LOG10(1.024981)</f>
        <v>1.0715814980421552E-2</v>
      </c>
      <c r="D13679">
        <f>LOG10(3.593605)</f>
        <v>0.55553033884196568</v>
      </c>
    </row>
    <row r="13680" spans="1:4">
      <c r="A13680">
        <v>1.01335</v>
      </c>
      <c r="B13680">
        <v>3.3865780000000001</v>
      </c>
      <c r="C13680">
        <f>LOG10(1.01335)</f>
        <v>5.7594718316972436E-3</v>
      </c>
      <c r="D13680">
        <f>LOG10(3.386578)</f>
        <v>0.52976108277110578</v>
      </c>
    </row>
    <row r="13681" spans="1:4">
      <c r="A13681">
        <v>1.0145660000000001</v>
      </c>
      <c r="B13681">
        <v>3.4860039999999999</v>
      </c>
      <c r="C13681">
        <f>LOG10(1.014566)</f>
        <v>6.2803042066956211E-3</v>
      </c>
      <c r="D13681">
        <f>LOG10(3.486004)</f>
        <v>0.54232788110355867</v>
      </c>
    </row>
    <row r="13682" spans="1:4">
      <c r="A13682">
        <v>1.0150269999999999</v>
      </c>
      <c r="B13682">
        <v>3.5260340000000001</v>
      </c>
      <c r="C13682">
        <f>LOG10(1.015027)</f>
        <v>6.4775947566732854E-3</v>
      </c>
      <c r="D13682">
        <f>LOG10(3.526034)</f>
        <v>0.54728649569478183</v>
      </c>
    </row>
    <row r="13683" spans="1:4">
      <c r="A13683">
        <v>1.0124599999999999</v>
      </c>
      <c r="B13683">
        <v>3.5357699999999999</v>
      </c>
      <c r="C13683">
        <f>LOG10(1.01246)</f>
        <v>5.3778742349220032E-3</v>
      </c>
      <c r="D13683">
        <f>LOG10(3.53577)</f>
        <v>0.54848400662961305</v>
      </c>
    </row>
    <row r="13684" spans="1:4">
      <c r="A13684">
        <v>1.0162990000000001</v>
      </c>
      <c r="B13684">
        <v>3.5608960000000001</v>
      </c>
      <c r="C13684">
        <f>LOG10(1.016299)</f>
        <v>7.0214982494515672E-3</v>
      </c>
      <c r="D13684">
        <f>LOG10(3.560896)</f>
        <v>0.55155928979734192</v>
      </c>
    </row>
    <row r="13685" spans="1:4">
      <c r="A13685">
        <v>1.0264249999999999</v>
      </c>
      <c r="B13685">
        <v>3.494472</v>
      </c>
      <c r="C13685">
        <f>LOG10(1.026425)</f>
        <v>1.1327221338251123E-2</v>
      </c>
      <c r="D13685">
        <f>LOG10(3.494472)</f>
        <v>0.54338156497175172</v>
      </c>
    </row>
    <row r="13686" spans="1:4">
      <c r="A13686">
        <v>1.0219579999999999</v>
      </c>
      <c r="B13686">
        <v>3.5953029999999999</v>
      </c>
      <c r="C13686">
        <f>LOG10(1.021958)</f>
        <v>9.4330477135155261E-3</v>
      </c>
      <c r="D13686">
        <f>LOG10(3.595303)</f>
        <v>0.55573549713415282</v>
      </c>
    </row>
    <row r="13687" spans="1:4">
      <c r="A13687">
        <v>1.018643</v>
      </c>
      <c r="B13687">
        <v>3.6046100000000001</v>
      </c>
      <c r="C13687">
        <f>LOG10(1.018643)</f>
        <v>8.0220051099014669E-3</v>
      </c>
      <c r="D13687">
        <f>LOG10(3.60461)</f>
        <v>0.55685828319959507</v>
      </c>
    </row>
    <row r="13688" spans="1:4">
      <c r="A13688">
        <v>1.0133259999999999</v>
      </c>
      <c r="B13688">
        <v>3.6065559999999999</v>
      </c>
      <c r="C13688">
        <f>LOG10(1.013326)</f>
        <v>5.7491859571260975E-3</v>
      </c>
      <c r="D13688">
        <f>LOG10(3.606556)</f>
        <v>0.5570926799898781</v>
      </c>
    </row>
    <row r="13689" spans="1:4">
      <c r="A13689">
        <v>1.007495</v>
      </c>
      <c r="B13689">
        <v>3.5768430000000002</v>
      </c>
      <c r="C13689">
        <f>LOG10(1.007495)</f>
        <v>3.2428995001963982E-3</v>
      </c>
      <c r="D13689">
        <f>LOG10(3.576843)</f>
        <v>0.55349987788169042</v>
      </c>
    </row>
    <row r="13690" spans="1:4">
      <c r="A13690">
        <v>1.0112350000000001</v>
      </c>
      <c r="B13690">
        <v>3.7040320000000002</v>
      </c>
      <c r="C13690">
        <f>LOG10(1.011235)</f>
        <v>4.8520926272077585E-3</v>
      </c>
      <c r="D13690">
        <f>LOG10(3.704032)</f>
        <v>0.56867472999785273</v>
      </c>
    </row>
    <row r="13691" spans="1:4">
      <c r="A13691">
        <v>1.0347029999999999</v>
      </c>
      <c r="B13691">
        <v>3.7202459999999999</v>
      </c>
      <c r="C13691">
        <f>LOG10(1.034703)</f>
        <v>1.4815708274795406E-2</v>
      </c>
      <c r="D13691">
        <f>LOG10(3.720246)</f>
        <v>0.5705716584061471</v>
      </c>
    </row>
    <row r="13692" spans="1:4">
      <c r="A13692">
        <v>1.0104519999999999</v>
      </c>
      <c r="B13692">
        <v>3.8292730000000001</v>
      </c>
      <c r="C13692">
        <f>LOG10(1.010452)</f>
        <v>4.5156878362256365E-3</v>
      </c>
      <c r="D13692">
        <f>LOG10(3.829273)</f>
        <v>0.58311632956710013</v>
      </c>
    </row>
    <row r="13693" spans="1:4">
      <c r="A13693">
        <v>1.011463</v>
      </c>
      <c r="B13693">
        <v>3.6827589999999999</v>
      </c>
      <c r="C13693">
        <f>LOG10(1.011463)</f>
        <v>4.9500006117840761E-3</v>
      </c>
      <c r="D13693">
        <f>LOG10(3.682759)</f>
        <v>0.5661732995242843</v>
      </c>
    </row>
    <row r="13694" spans="1:4">
      <c r="A13694">
        <v>1.013401</v>
      </c>
      <c r="B13694">
        <v>3.6480090000000001</v>
      </c>
      <c r="C13694">
        <f>LOG10(1.013401)</f>
        <v>5.781328506327477E-3</v>
      </c>
      <c r="D13694">
        <f>LOG10(3.648009)</f>
        <v>0.56205590110525894</v>
      </c>
    </row>
    <row r="13695" spans="1:4">
      <c r="A13695">
        <v>1.014305</v>
      </c>
      <c r="B13695">
        <v>3.5159159999999998</v>
      </c>
      <c r="C13695">
        <f>LOG10(1.014305)</f>
        <v>6.1685663382928897E-3</v>
      </c>
      <c r="D13695">
        <f>LOG10(3.515916)</f>
        <v>0.54603849064170484</v>
      </c>
    </row>
    <row r="13696" spans="1:4">
      <c r="A13696">
        <v>1.0095799999999999</v>
      </c>
      <c r="B13696">
        <v>3.2414459999999998</v>
      </c>
      <c r="C13696">
        <f>LOG10(1.00958)</f>
        <v>4.1407385168655371E-3</v>
      </c>
      <c r="D13696">
        <f>LOG10(3.241446)</f>
        <v>0.51073879098678099</v>
      </c>
    </row>
    <row r="13697" spans="1:4">
      <c r="A13697">
        <v>1.024856</v>
      </c>
      <c r="B13697">
        <v>3.0486219999999999</v>
      </c>
      <c r="C13697">
        <f>LOG10(1.024856)</f>
        <v>1.0662848027141689E-2</v>
      </c>
      <c r="D13697">
        <f>LOG10(3.048622)</f>
        <v>0.48410357933714843</v>
      </c>
    </row>
    <row r="13698" spans="1:4">
      <c r="A13698">
        <v>1.037606</v>
      </c>
      <c r="B13698">
        <v>3.0370159999999999</v>
      </c>
      <c r="C13698">
        <f>LOG10(1.037606)</f>
        <v>1.6032474409251731E-2</v>
      </c>
      <c r="D13698">
        <f>LOG10(3.037016)</f>
        <v>0.48244707993058206</v>
      </c>
    </row>
    <row r="13699" spans="1:4">
      <c r="A13699">
        <v>1.0105170000000001</v>
      </c>
      <c r="B13699">
        <v>3.0850490000000002</v>
      </c>
      <c r="C13699">
        <f>LOG10(1.010517)</f>
        <v>4.5436240800112004E-3</v>
      </c>
      <c r="D13699">
        <f>LOG10(3.085049)</f>
        <v>0.48926206634676883</v>
      </c>
    </row>
    <row r="13700" spans="1:4">
      <c r="A13700">
        <v>1.0033840000000001</v>
      </c>
      <c r="B13700">
        <v>2.933595</v>
      </c>
      <c r="C13700">
        <f>LOG10(1.003384)</f>
        <v>1.4671714703729734E-3</v>
      </c>
      <c r="D13700">
        <f>LOG10(2.933595)</f>
        <v>0.46740015674452201</v>
      </c>
    </row>
    <row r="13701" spans="1:4">
      <c r="A13701">
        <v>1.0054860000000001</v>
      </c>
      <c r="B13701">
        <v>3.0173570000000001</v>
      </c>
      <c r="C13701">
        <f>LOG10(1.005486)</f>
        <v>2.3760280256746695E-3</v>
      </c>
      <c r="D13701">
        <f>LOG10(3.017357)</f>
        <v>0.47962669696904797</v>
      </c>
    </row>
    <row r="13702" spans="1:4">
      <c r="A13702">
        <v>1.0034099999999999</v>
      </c>
      <c r="B13702">
        <v>2.9600780000000002</v>
      </c>
      <c r="C13702">
        <f>LOG10(1.00341)</f>
        <v>1.4784248990059624E-3</v>
      </c>
      <c r="D13702">
        <f>LOG10(2.960078)</f>
        <v>0.47130315515463816</v>
      </c>
    </row>
    <row r="13703" spans="1:4">
      <c r="A13703">
        <v>1.0037450000000001</v>
      </c>
      <c r="B13703">
        <v>3.0185650000000002</v>
      </c>
      <c r="C13703">
        <f>LOG10(1.003745)</f>
        <v>1.6233949215389639E-3</v>
      </c>
      <c r="D13703">
        <f>LOG10(3.018565)</f>
        <v>0.47980053213164409</v>
      </c>
    </row>
    <row r="13704" spans="1:4">
      <c r="A13704">
        <v>1.0136160000000001</v>
      </c>
      <c r="B13704">
        <v>2.9366279999999998</v>
      </c>
      <c r="C13704">
        <f>LOG10(1.013616)</f>
        <v>5.8734572984978344E-3</v>
      </c>
      <c r="D13704">
        <f>LOG10(2.936628)</f>
        <v>0.46784893536190136</v>
      </c>
    </row>
    <row r="13705" spans="1:4">
      <c r="A13705">
        <v>1.0185580000000001</v>
      </c>
      <c r="B13705">
        <v>3.0907209999999998</v>
      </c>
      <c r="C13705">
        <f>LOG10(1.018558)</f>
        <v>7.9857641783653548E-3</v>
      </c>
      <c r="D13705">
        <f>LOG10(3.090721)</f>
        <v>0.49005980298332319</v>
      </c>
    </row>
    <row r="13706" spans="1:4">
      <c r="A13706">
        <v>1.0165550000000001</v>
      </c>
      <c r="B13706">
        <v>2.9727769999999998</v>
      </c>
      <c r="C13706">
        <f>LOG10(1.016555)</f>
        <v>7.1308808100830415E-3</v>
      </c>
      <c r="D13706">
        <f>LOG10(2.972777)</f>
        <v>0.47316233224501819</v>
      </c>
    </row>
    <row r="13707" spans="1:4">
      <c r="A13707">
        <v>1.0270950000000001</v>
      </c>
      <c r="B13707">
        <v>3.078373</v>
      </c>
      <c r="C13707">
        <f>LOG10(1.027095)</f>
        <v>1.161061503609701E-2</v>
      </c>
      <c r="D13707">
        <f>LOG10(3.078373)</f>
        <v>0.48832124123530646</v>
      </c>
    </row>
    <row r="13708" spans="1:4">
      <c r="A13708">
        <v>1.0167079999999999</v>
      </c>
      <c r="B13708">
        <v>3.1525370000000001</v>
      </c>
      <c r="C13708">
        <f>LOG10(1.016708)</f>
        <v>7.1962408307557702E-3</v>
      </c>
      <c r="D13708">
        <f>LOG10(3.152537)</f>
        <v>0.49866019240658893</v>
      </c>
    </row>
    <row r="13709" spans="1:4">
      <c r="A13709">
        <v>1.01</v>
      </c>
      <c r="B13709">
        <v>3.107955</v>
      </c>
      <c r="C13709">
        <f>LOG10(1.01)</f>
        <v>4.3213737826425782E-3</v>
      </c>
      <c r="D13709">
        <f>LOG10(3.107955)</f>
        <v>0.49247472203583675</v>
      </c>
    </row>
    <row r="13710" spans="1:4">
      <c r="A13710">
        <v>1.0061960000000001</v>
      </c>
      <c r="B13710">
        <v>3.0719059999999998</v>
      </c>
      <c r="C13710">
        <f>LOG10(1.006196)</f>
        <v>2.68258651250761E-3</v>
      </c>
      <c r="D13710">
        <f>LOG10(3.071906)</f>
        <v>0.48740792219739992</v>
      </c>
    </row>
    <row r="13711" spans="1:4">
      <c r="A13711">
        <v>1.0050269999999999</v>
      </c>
      <c r="B13711">
        <v>3.0679569999999998</v>
      </c>
      <c r="C13711">
        <f>LOG10(1.005027)</f>
        <v>2.1777292127279622E-3</v>
      </c>
      <c r="D13711">
        <f>LOG10(3.067957)</f>
        <v>0.48684926831684172</v>
      </c>
    </row>
    <row r="13712" spans="1:4">
      <c r="A13712">
        <v>1.005277</v>
      </c>
      <c r="B13712">
        <v>3.1275650000000002</v>
      </c>
      <c r="C13712">
        <f>LOG10(1.005277)</f>
        <v>2.285746329577508E-3</v>
      </c>
      <c r="D13712">
        <f>LOG10(3.127565)</f>
        <v>0.49520634437600253</v>
      </c>
    </row>
    <row r="13713" spans="1:4">
      <c r="A13713">
        <v>1.005835</v>
      </c>
      <c r="B13713">
        <v>2.9293390000000001</v>
      </c>
      <c r="C13713">
        <f>LOG10(1.005835)</f>
        <v>2.5267436754445186E-3</v>
      </c>
      <c r="D13713">
        <f>LOG10(2.929339)</f>
        <v>0.46676963365159718</v>
      </c>
    </row>
    <row r="13714" spans="1:4">
      <c r="A13714">
        <v>1.0018629999999999</v>
      </c>
      <c r="B13714">
        <v>3.1313930000000001</v>
      </c>
      <c r="C13714">
        <f>LOG10(1.001863)</f>
        <v>8.0833788662299498E-4</v>
      </c>
      <c r="D13714">
        <f>LOG10(3.131393)</f>
        <v>0.49573757640664212</v>
      </c>
    </row>
    <row r="13715" spans="1:4">
      <c r="A13715">
        <v>1.00495</v>
      </c>
      <c r="B13715">
        <v>2.984445</v>
      </c>
      <c r="C13715">
        <f>LOG10(1.00495)</f>
        <v>2.1444545283680334E-3</v>
      </c>
      <c r="D13715">
        <f>LOG10(2.984445)</f>
        <v>0.4748635797374598</v>
      </c>
    </row>
    <row r="13716" spans="1:4">
      <c r="A13716">
        <v>1.0078689999999999</v>
      </c>
      <c r="B13716">
        <v>3.039412</v>
      </c>
      <c r="C13716">
        <f>LOG10(1.007869)</f>
        <v>3.4040873929009397E-3</v>
      </c>
      <c r="D13716">
        <f>LOG10(3.039412)</f>
        <v>0.48278957378801601</v>
      </c>
    </row>
    <row r="13717" spans="1:4">
      <c r="A13717">
        <v>1.002874</v>
      </c>
      <c r="B13717">
        <v>4.0184100000000003</v>
      </c>
      <c r="C13717">
        <f>LOG10(1.002874)</f>
        <v>1.2463721608708454E-3</v>
      </c>
      <c r="D13717">
        <f>LOG10(4.01841)</f>
        <v>0.60405424591483536</v>
      </c>
    </row>
    <row r="13718" spans="1:4">
      <c r="A13718">
        <v>1.006794</v>
      </c>
      <c r="B13718">
        <v>3.9371800000000001</v>
      </c>
      <c r="C13718">
        <f>LOG10(1.006794)</f>
        <v>2.9406187012595815E-3</v>
      </c>
      <c r="D13718">
        <f>LOG10(3.93718)</f>
        <v>0.59518527031975932</v>
      </c>
    </row>
    <row r="13719" spans="1:4">
      <c r="A13719">
        <v>1.035736</v>
      </c>
      <c r="B13719">
        <v>4.3292799999999998</v>
      </c>
      <c r="C13719">
        <f>LOG10(1.035736)</f>
        <v>1.5249071669738672E-2</v>
      </c>
      <c r="D13719">
        <f>LOG10(4.32928)</f>
        <v>0.63641567509993768</v>
      </c>
    </row>
    <row r="13720" spans="1:4">
      <c r="A13720">
        <v>1.119103</v>
      </c>
      <c r="B13720">
        <v>4.5543170000000002</v>
      </c>
      <c r="C13720">
        <f>LOG10(1.119103)</f>
        <v>4.8870059962698324E-2</v>
      </c>
      <c r="D13720">
        <f>LOG10(4.554317)</f>
        <v>0.65842325609014596</v>
      </c>
    </row>
    <row r="13721" spans="1:4">
      <c r="A13721">
        <v>1.113067</v>
      </c>
      <c r="B13721">
        <v>4.2435349999999996</v>
      </c>
      <c r="C13721">
        <f>LOG10(1.113067)</f>
        <v>4.6521307061136871E-2</v>
      </c>
      <c r="D13721">
        <f>LOG10(4.243535)</f>
        <v>0.62772778851907751</v>
      </c>
    </row>
    <row r="13722" spans="1:4">
      <c r="A13722">
        <v>1.045482</v>
      </c>
      <c r="B13722">
        <v>4.5340350000000003</v>
      </c>
      <c r="C13722">
        <f>LOG10(1.045482)</f>
        <v>1.9316559996379466E-2</v>
      </c>
      <c r="D13722">
        <f>LOG10(4.534035)</f>
        <v>0.65648486829340946</v>
      </c>
    </row>
    <row r="13723" spans="1:4">
      <c r="A13723">
        <v>1.0078739999999999</v>
      </c>
      <c r="B13723">
        <v>4.5747869999999997</v>
      </c>
      <c r="C13723">
        <f>LOG10(1.007874)</f>
        <v>3.4062419060601422E-3</v>
      </c>
      <c r="D13723">
        <f>LOG10(4.574787)</f>
        <v>0.660370878319822</v>
      </c>
    </row>
    <row r="13724" spans="1:4">
      <c r="A13724">
        <v>1.0067429999999999</v>
      </c>
      <c r="B13724">
        <v>4.477786</v>
      </c>
      <c r="C13724">
        <f>LOG10(1.006743)</f>
        <v>2.9186185904279331E-3</v>
      </c>
      <c r="D13724">
        <f>LOG10(4.477786)</f>
        <v>0.65106333416486539</v>
      </c>
    </row>
    <row r="13725" spans="1:4">
      <c r="A13725">
        <v>1.008348</v>
      </c>
      <c r="B13725">
        <v>4.5167289999999998</v>
      </c>
      <c r="C13725">
        <f>LOG10(1.008348)</f>
        <v>3.6104412335296785E-3</v>
      </c>
      <c r="D13725">
        <f>LOG10(4.516729)</f>
        <v>0.65482403403376732</v>
      </c>
    </row>
    <row r="13726" spans="1:4">
      <c r="A13726">
        <v>1.010499</v>
      </c>
      <c r="B13726">
        <v>4.6489520000000004</v>
      </c>
      <c r="C13726">
        <f>LOG10(1.010499)</f>
        <v>4.5358880693368697E-3</v>
      </c>
      <c r="D13726">
        <f>LOG10(4.648952)</f>
        <v>0.66735506215582363</v>
      </c>
    </row>
    <row r="13727" spans="1:4">
      <c r="A13727">
        <v>1.0124580000000001</v>
      </c>
      <c r="B13727">
        <v>4.6539320000000002</v>
      </c>
      <c r="C13727">
        <f>LOG10(1.012458)</f>
        <v>5.3770163345391387E-3</v>
      </c>
      <c r="D13727">
        <f>LOG10(4.653932)</f>
        <v>0.66782003338979168</v>
      </c>
    </row>
    <row r="13728" spans="1:4">
      <c r="A13728">
        <v>1.021671</v>
      </c>
      <c r="B13728">
        <v>4.4396139999999997</v>
      </c>
      <c r="C13728">
        <f>LOG10(1.021671)</f>
        <v>9.3110661629252599E-3</v>
      </c>
      <c r="D13728">
        <f>LOG10(4.439614)</f>
        <v>0.64734521224133379</v>
      </c>
    </row>
    <row r="13729" spans="1:4">
      <c r="A13729">
        <v>1.085067</v>
      </c>
      <c r="B13729">
        <v>4.6125230000000004</v>
      </c>
      <c r="C13729">
        <f>LOG10(1.085067)</f>
        <v>3.5456555541152297E-2</v>
      </c>
      <c r="D13729">
        <f>LOG10(4.612523)</f>
        <v>0.66393854474937797</v>
      </c>
    </row>
    <row r="13730" spans="1:4">
      <c r="A13730">
        <v>1.110255</v>
      </c>
      <c r="B13730">
        <v>4.7873010000000003</v>
      </c>
      <c r="C13730">
        <f>LOG10(1.110255)</f>
        <v>4.5422737682254806E-2</v>
      </c>
      <c r="D13730">
        <f>LOG10(4.787301)</f>
        <v>0.6800907344653192</v>
      </c>
    </row>
    <row r="13731" spans="1:4">
      <c r="A13731">
        <v>1.075332</v>
      </c>
      <c r="B13731">
        <v>4.6629949999999996</v>
      </c>
      <c r="C13731">
        <f>LOG10(1.075332)</f>
        <v>3.1542569840098428E-2</v>
      </c>
      <c r="D13731">
        <f>LOG10(4.662995)</f>
        <v>0.66866494977283353</v>
      </c>
    </row>
    <row r="13732" spans="1:4">
      <c r="A13732">
        <v>1.0093319999999999</v>
      </c>
      <c r="B13732">
        <v>4.4891810000000003</v>
      </c>
      <c r="C13732">
        <f>LOG10(1.009332)</f>
        <v>4.0340424032620234E-3</v>
      </c>
      <c r="D13732">
        <f>LOG10(4.489181)</f>
        <v>0.65216711614268941</v>
      </c>
    </row>
    <row r="13733" spans="1:4">
      <c r="A13733">
        <v>1.032969</v>
      </c>
      <c r="B13733">
        <v>4.9002119999999998</v>
      </c>
      <c r="C13733">
        <f>LOG10(1.032969)</f>
        <v>1.4087288285394897E-2</v>
      </c>
      <c r="D13733">
        <f>LOG10(4.900212)</f>
        <v>0.69021486950575717</v>
      </c>
    </row>
    <row r="13734" spans="1:4">
      <c r="A13734">
        <v>1.0067470000000001</v>
      </c>
      <c r="B13734">
        <v>4.2388830000000004</v>
      </c>
      <c r="C13734">
        <f>LOG10(1.006747)</f>
        <v>2.9203441295939238E-3</v>
      </c>
      <c r="D13734">
        <f>LOG10(4.238883)</f>
        <v>0.62725142950626567</v>
      </c>
    </row>
    <row r="13735" spans="1:4">
      <c r="A13735">
        <v>1.0015099999999999</v>
      </c>
      <c r="B13735">
        <v>3.2797079999999998</v>
      </c>
      <c r="C13735">
        <f>LOG10(1.00151)</f>
        <v>6.5529004810420258E-4</v>
      </c>
      <c r="D13735">
        <f>LOG10(3.279708)</f>
        <v>0.51583517918917299</v>
      </c>
    </row>
    <row r="13736" spans="1:4">
      <c r="A13736">
        <v>1.0051000000000001</v>
      </c>
      <c r="B13736">
        <v>3.0671059999999999</v>
      </c>
      <c r="C13736">
        <f>LOG10(1.0051)</f>
        <v>2.2092729880147646E-3</v>
      </c>
      <c r="D13736">
        <f>LOG10(3.067106)</f>
        <v>0.4867287855747835</v>
      </c>
    </row>
    <row r="13737" spans="1:4">
      <c r="A13737">
        <v>1.003708</v>
      </c>
      <c r="B13737">
        <v>3.322648</v>
      </c>
      <c r="C13737">
        <f>LOG10(1.003708)</f>
        <v>1.6073856841299008E-3</v>
      </c>
      <c r="D13737">
        <f>LOG10(3.322648)</f>
        <v>0.52148433473193845</v>
      </c>
    </row>
    <row r="13738" spans="1:4">
      <c r="A13738">
        <v>1.0122899999999999</v>
      </c>
      <c r="B13738">
        <v>3.3057799999999999</v>
      </c>
      <c r="C13738">
        <f>LOG10(1.01229)</f>
        <v>5.3049466516677342E-3</v>
      </c>
      <c r="D13738">
        <f>LOG10(3.30578)</f>
        <v>0.51927394785454362</v>
      </c>
    </row>
    <row r="13739" spans="1:4">
      <c r="A13739">
        <v>1.016324</v>
      </c>
      <c r="B13739">
        <v>3.3018550000000002</v>
      </c>
      <c r="C13739">
        <f>LOG10(1.016324)</f>
        <v>7.0321813540391897E-3</v>
      </c>
      <c r="D13739">
        <f>LOG10(3.301855)</f>
        <v>0.51875799742993367</v>
      </c>
    </row>
    <row r="13740" spans="1:4">
      <c r="A13740">
        <v>1.0053049999999999</v>
      </c>
      <c r="B13740">
        <v>3.3343729999999998</v>
      </c>
      <c r="C13740">
        <f>LOG10(1.005305)</f>
        <v>2.2978425738431397E-3</v>
      </c>
      <c r="D13740">
        <f>LOG10(3.334373)</f>
        <v>0.52301418060920135</v>
      </c>
    </row>
    <row r="13741" spans="1:4">
      <c r="A13741">
        <v>1.0444560000000001</v>
      </c>
      <c r="B13741">
        <v>3.4212959999999999</v>
      </c>
      <c r="C13741">
        <f>LOG10(1.044456)</f>
        <v>1.8890149094018684E-2</v>
      </c>
      <c r="D13741">
        <f>LOG10(3.421296)</f>
        <v>0.5341906496324631</v>
      </c>
    </row>
    <row r="13742" spans="1:4">
      <c r="A13742">
        <v>1.043855</v>
      </c>
      <c r="B13742">
        <v>3.5394109999999999</v>
      </c>
      <c r="C13742">
        <f>LOG10(1.043855)</f>
        <v>1.8640175799016247E-2</v>
      </c>
      <c r="D13742">
        <f>LOG10(3.539411)</f>
        <v>0.5489309962820893</v>
      </c>
    </row>
    <row r="13743" spans="1:4">
      <c r="A13743">
        <v>1.0141849999999999</v>
      </c>
      <c r="B13743">
        <v>3.4985919999999999</v>
      </c>
      <c r="C13743">
        <f>LOG10(1.014185)</f>
        <v>6.1171829566748024E-3</v>
      </c>
      <c r="D13743">
        <f>LOG10(3.498592)</f>
        <v>0.54389329873322301</v>
      </c>
    </row>
    <row r="13744" spans="1:4">
      <c r="A13744">
        <v>1.004076</v>
      </c>
      <c r="B13744">
        <v>3.5158489999999998</v>
      </c>
      <c r="C13744">
        <f>LOG10(1.004076)</f>
        <v>1.7665864458951423E-3</v>
      </c>
      <c r="D13744">
        <f>LOG10(3.515849)</f>
        <v>0.54603021456015532</v>
      </c>
    </row>
    <row r="13745" spans="1:4">
      <c r="A13745">
        <v>1.004785</v>
      </c>
      <c r="B13745">
        <v>3.4232670000000001</v>
      </c>
      <c r="C13745">
        <f>LOG10(1.004785)</f>
        <v>2.0731430473269726E-3</v>
      </c>
      <c r="D13745">
        <f>LOG10(3.423267)</f>
        <v>0.53444077354760344</v>
      </c>
    </row>
    <row r="13746" spans="1:4">
      <c r="A13746">
        <v>1.0070190000000001</v>
      </c>
      <c r="B13746">
        <v>3.4407809999999999</v>
      </c>
      <c r="C13746">
        <f>LOG10(1.007019)</f>
        <v>3.0376647118225261E-3</v>
      </c>
      <c r="D13746">
        <f>LOG10(3.440781)</f>
        <v>0.53665703137760401</v>
      </c>
    </row>
    <row r="13747" spans="1:4">
      <c r="A13747">
        <v>1.015137</v>
      </c>
      <c r="B13747">
        <v>3.4189929999999999</v>
      </c>
      <c r="C13747">
        <f>LOG10(1.015137)</f>
        <v>6.5246573516716515E-3</v>
      </c>
      <c r="D13747">
        <f>LOG10(3.418993)</f>
        <v>0.53389821162885975</v>
      </c>
    </row>
    <row r="13748" spans="1:4">
      <c r="A13748">
        <v>1.0163</v>
      </c>
      <c r="B13748">
        <v>3.437049</v>
      </c>
      <c r="C13748">
        <f>LOG10(1.0163)</f>
        <v>7.0219255786806651E-3</v>
      </c>
      <c r="D13748">
        <f>LOG10(3.437049)</f>
        <v>0.53618572366411543</v>
      </c>
    </row>
    <row r="13749" spans="1:4">
      <c r="A13749">
        <v>1.015765</v>
      </c>
      <c r="B13749">
        <v>3.4883600000000001</v>
      </c>
      <c r="C13749">
        <f>LOG10(1.015765)</f>
        <v>6.7932443571777383E-3</v>
      </c>
      <c r="D13749">
        <f>LOG10(3.48836)</f>
        <v>0.54262129791928115</v>
      </c>
    </row>
    <row r="13750" spans="1:4">
      <c r="A13750">
        <v>1.030513</v>
      </c>
      <c r="B13750">
        <v>3.297539</v>
      </c>
      <c r="C13750">
        <f>LOG10(1.030513)</f>
        <v>1.3053474807762795E-2</v>
      </c>
      <c r="D13750">
        <f>LOG10(3.297539)</f>
        <v>0.51818994065043744</v>
      </c>
    </row>
    <row r="13751" spans="1:4">
      <c r="A13751">
        <v>1.0229600000000001</v>
      </c>
      <c r="B13751">
        <v>3.5539480000000001</v>
      </c>
      <c r="C13751">
        <f>LOG10(1.02296)</f>
        <v>9.8586521687494318E-3</v>
      </c>
      <c r="D13751">
        <f>LOG10(3.553948)</f>
        <v>0.55071106908597567</v>
      </c>
    </row>
    <row r="13752" spans="1:4">
      <c r="A13752">
        <v>1.036354</v>
      </c>
      <c r="B13752">
        <v>3.3874849999999999</v>
      </c>
      <c r="C13752">
        <f>LOG10(1.036354)</f>
        <v>1.55081279827119E-2</v>
      </c>
      <c r="D13752">
        <f>LOG10(3.387485)</f>
        <v>0.52987738080300772</v>
      </c>
    </row>
    <row r="13753" spans="1:4">
      <c r="A13753">
        <v>1.02983</v>
      </c>
      <c r="B13753">
        <v>3.2802769999999999</v>
      </c>
      <c r="C13753">
        <f>LOG10(1.02983)</f>
        <v>1.27655391174381E-2</v>
      </c>
      <c r="D13753">
        <f>LOG10(3.280277)</f>
        <v>0.51591051886169448</v>
      </c>
    </row>
    <row r="13754" spans="1:4">
      <c r="A13754">
        <v>1.0257940000000001</v>
      </c>
      <c r="B13754">
        <v>3.4000689999999998</v>
      </c>
      <c r="C13754">
        <f>LOG10(1.025794)</f>
        <v>1.1060154493322099E-2</v>
      </c>
      <c r="D13754">
        <f>LOG10(3.400069)</f>
        <v>0.53148773057613319</v>
      </c>
    </row>
    <row r="13755" spans="1:4">
      <c r="A13755">
        <v>1.0266489999999999</v>
      </c>
      <c r="B13755">
        <v>3.4761959999999998</v>
      </c>
      <c r="C13755">
        <f>LOG10(1.026649)</f>
        <v>1.1421988467280413E-2</v>
      </c>
      <c r="D13755">
        <f>LOG10(3.476196)</f>
        <v>0.54110425549776775</v>
      </c>
    </row>
    <row r="13756" spans="1:4">
      <c r="A13756">
        <v>1.033317</v>
      </c>
      <c r="B13756">
        <v>3.3474159999999999</v>
      </c>
      <c r="C13756">
        <f>LOG10(1.033317)</f>
        <v>1.4233574405642817E-2</v>
      </c>
      <c r="D13756">
        <f>LOG10(3.347416)</f>
        <v>0.5247096876424634</v>
      </c>
    </row>
    <row r="13757" spans="1:4">
      <c r="A13757">
        <v>1.0647230000000001</v>
      </c>
      <c r="B13757">
        <v>3.579434</v>
      </c>
      <c r="C13757">
        <f>LOG10(1.064723)</f>
        <v>2.7236635738331589E-2</v>
      </c>
      <c r="D13757">
        <f>LOG10(3.579434)</f>
        <v>0.55381435901532461</v>
      </c>
    </row>
    <row r="13758" spans="1:4">
      <c r="A13758">
        <v>1.0224329999999999</v>
      </c>
      <c r="B13758">
        <v>3.4800119999999999</v>
      </c>
      <c r="C13758">
        <f>LOG10(1.022433)</f>
        <v>9.6348583090582716E-3</v>
      </c>
      <c r="D13758">
        <f>LOG10(3.480012)</f>
        <v>0.54158074151117785</v>
      </c>
    </row>
    <row r="13759" spans="1:4">
      <c r="A13759">
        <v>1.0321340000000001</v>
      </c>
      <c r="B13759">
        <v>3.5918939999999999</v>
      </c>
      <c r="C13759">
        <f>LOG10(1.032134)</f>
        <v>1.3736084580638713E-2</v>
      </c>
      <c r="D13759">
        <f>LOG10(3.591894)</f>
        <v>0.55532351176632877</v>
      </c>
    </row>
    <row r="13760" spans="1:4">
      <c r="A13760">
        <v>1.026545</v>
      </c>
      <c r="B13760">
        <v>3.6815169999999999</v>
      </c>
      <c r="C13760">
        <f>LOG10(1.026545)</f>
        <v>1.1377992014771283E-2</v>
      </c>
      <c r="D13760">
        <f>LOG10(3.681517)</f>
        <v>0.56602681024234047</v>
      </c>
    </row>
    <row r="13761" spans="1:4">
      <c r="A13761">
        <v>1.024124</v>
      </c>
      <c r="B13761">
        <v>3.2500930000000001</v>
      </c>
      <c r="C13761">
        <f>LOG10(1.024124)</f>
        <v>1.035254380330578E-2</v>
      </c>
      <c r="D13761">
        <f>LOG10(3.250093)</f>
        <v>0.51189578830470484</v>
      </c>
    </row>
    <row r="13762" spans="1:4">
      <c r="A13762">
        <v>1.017647</v>
      </c>
      <c r="B13762">
        <v>3.4303020000000002</v>
      </c>
      <c r="C13762">
        <f>LOG10(1.017647)</f>
        <v>7.5971566467934694E-3</v>
      </c>
      <c r="D13762">
        <f>LOG10(3.430302)</f>
        <v>0.53533235653254008</v>
      </c>
    </row>
    <row r="13763" spans="1:4">
      <c r="A13763">
        <v>1.0227269999999999</v>
      </c>
      <c r="B13763">
        <v>3.6241159999999999</v>
      </c>
      <c r="C13763">
        <f>LOG10(1.022727)</f>
        <v>9.759721477278941E-3</v>
      </c>
      <c r="D13763">
        <f>LOG10(3.624116)</f>
        <v>0.55920209004054944</v>
      </c>
    </row>
    <row r="13764" spans="1:4">
      <c r="A13764">
        <v>1.022014</v>
      </c>
      <c r="B13764">
        <v>3.445757</v>
      </c>
      <c r="C13764">
        <f>LOG10(1.022014)</f>
        <v>9.4568449974242012E-3</v>
      </c>
      <c r="D13764">
        <f>LOG10(3.445757)</f>
        <v>0.53728464708757318</v>
      </c>
    </row>
    <row r="13765" spans="1:4">
      <c r="A13765">
        <v>1.0150250000000001</v>
      </c>
      <c r="B13765">
        <v>3.6823239999999999</v>
      </c>
      <c r="C13765">
        <f>LOG10(1.015025)</f>
        <v>6.4767390259198509E-3</v>
      </c>
      <c r="D13765">
        <f>LOG10(3.682324)</f>
        <v>0.56612199851386857</v>
      </c>
    </row>
    <row r="13766" spans="1:4">
      <c r="A13766">
        <v>1.0229010000000001</v>
      </c>
      <c r="B13766">
        <v>3.6175290000000002</v>
      </c>
      <c r="C13766">
        <f>LOG10(1.022901)</f>
        <v>9.8336031801432577E-3</v>
      </c>
      <c r="D13766">
        <f>LOG10(3.617529)</f>
        <v>0.55841202133620094</v>
      </c>
    </row>
    <row r="13767" spans="1:4">
      <c r="A13767">
        <v>1.028529</v>
      </c>
      <c r="B13767">
        <v>3.6511870000000002</v>
      </c>
      <c r="C13767">
        <f>LOG10(1.028529)</f>
        <v>1.2216541400133368E-2</v>
      </c>
      <c r="D13767">
        <f>LOG10(3.651187)</f>
        <v>0.56243407644147414</v>
      </c>
    </row>
    <row r="13768" spans="1:4">
      <c r="A13768">
        <v>1.0210189999999999</v>
      </c>
      <c r="B13768">
        <v>3.2040299999999999</v>
      </c>
      <c r="C13768">
        <f>LOG10(1.021019)</f>
        <v>9.0338238874775843E-3</v>
      </c>
      <c r="D13768">
        <f>LOG10(3.20403)</f>
        <v>0.50569657382089572</v>
      </c>
    </row>
    <row r="13769" spans="1:4">
      <c r="A13769">
        <v>1.0176559999999999</v>
      </c>
      <c r="B13769">
        <v>3.13788</v>
      </c>
      <c r="C13769">
        <f>LOG10(1.017656)</f>
        <v>7.6009975003048357E-3</v>
      </c>
      <c r="D13769">
        <f>LOG10(3.13788)</f>
        <v>0.49663633111378497</v>
      </c>
    </row>
    <row r="13770" spans="1:4">
      <c r="A13770">
        <v>1.0239480000000001</v>
      </c>
      <c r="B13770">
        <v>3.006275</v>
      </c>
      <c r="C13770">
        <f>LOG10(1.023948)</f>
        <v>1.0277902063168613E-2</v>
      </c>
      <c r="D13770">
        <f>LOG10(3.006275)</f>
        <v>0.47802870529941316</v>
      </c>
    </row>
    <row r="13771" spans="1:4">
      <c r="A13771">
        <v>1.022497</v>
      </c>
      <c r="B13771">
        <v>3.2976670000000001</v>
      </c>
      <c r="C13771">
        <f>LOG10(1.022497)</f>
        <v>9.6620424638713068E-3</v>
      </c>
      <c r="D13771">
        <f>LOG10(3.297667)</f>
        <v>0.51820679825691429</v>
      </c>
    </row>
    <row r="13772" spans="1:4">
      <c r="A13772">
        <v>1.0260910000000001</v>
      </c>
      <c r="B13772">
        <v>3.5936859999999999</v>
      </c>
      <c r="C13772">
        <f>LOG10(1.026091)</f>
        <v>1.1185878363837316E-2</v>
      </c>
      <c r="D13772">
        <f>LOG10(3.593686)</f>
        <v>0.55554012774658512</v>
      </c>
    </row>
    <row r="13773" spans="1:4">
      <c r="A13773">
        <v>1.0305530000000001</v>
      </c>
      <c r="B13773">
        <v>3.576038</v>
      </c>
      <c r="C13773">
        <f>LOG10(1.030553)</f>
        <v>1.3070331889756606E-2</v>
      </c>
      <c r="D13773">
        <f>LOG10(3.576038)</f>
        <v>0.55340212508546516</v>
      </c>
    </row>
    <row r="13774" spans="1:4">
      <c r="A13774">
        <v>1.0195749999999999</v>
      </c>
      <c r="B13774">
        <v>3.3394430000000002</v>
      </c>
      <c r="C13774">
        <f>LOG10(1.019575)</f>
        <v>8.4191780181421209E-3</v>
      </c>
      <c r="D13774">
        <f>LOG10(3.339443)</f>
        <v>0.52367403501538601</v>
      </c>
    </row>
    <row r="13775" spans="1:4">
      <c r="A13775">
        <v>1.020059</v>
      </c>
      <c r="B13775">
        <v>3.543415</v>
      </c>
      <c r="C13775">
        <f>LOG10(1.020059)</f>
        <v>8.6252919907339395E-3</v>
      </c>
      <c r="D13775">
        <f>LOG10(3.543415)</f>
        <v>0.54942201929769907</v>
      </c>
    </row>
    <row r="13776" spans="1:4">
      <c r="A13776">
        <v>1.025128</v>
      </c>
      <c r="B13776">
        <v>3.4272960000000001</v>
      </c>
      <c r="C13776">
        <f>LOG10(1.025128)</f>
        <v>1.0778095853242695E-2</v>
      </c>
      <c r="D13776">
        <f>LOG10(3.427296)</f>
        <v>0.53495161409292302</v>
      </c>
    </row>
    <row r="13777" spans="1:4">
      <c r="A13777">
        <v>1.0285340000000001</v>
      </c>
      <c r="B13777">
        <v>3.4799959999999999</v>
      </c>
      <c r="C13777">
        <f>LOG10(1.028534)</f>
        <v>1.2218652635821857E-2</v>
      </c>
      <c r="D13777">
        <f>LOG10(3.479996)</f>
        <v>0.54157874475723433</v>
      </c>
    </row>
    <row r="13778" spans="1:4">
      <c r="A13778">
        <v>1.0111289999999999</v>
      </c>
      <c r="B13778">
        <v>3.4315769999999999</v>
      </c>
      <c r="C13778">
        <f>LOG10(1.011129)</f>
        <v>4.8065664854014655E-3</v>
      </c>
      <c r="D13778">
        <f>LOG10(3.431577)</f>
        <v>0.53549374832356378</v>
      </c>
    </row>
    <row r="13779" spans="1:4">
      <c r="A13779">
        <v>1.0178050000000001</v>
      </c>
      <c r="B13779">
        <v>3.5763729999999998</v>
      </c>
      <c r="C13779">
        <f>LOG10(1.017805)</f>
        <v>7.6645800282130047E-3</v>
      </c>
      <c r="D13779">
        <f>LOG10(3.576373)</f>
        <v>0.55344280749354935</v>
      </c>
    </row>
    <row r="13780" spans="1:4">
      <c r="A13780">
        <v>1.0138929999999999</v>
      </c>
      <c r="B13780">
        <v>3.3110539999999999</v>
      </c>
      <c r="C13780">
        <f>LOG10(1.013893)</f>
        <v>5.992124660502752E-3</v>
      </c>
      <c r="D13780">
        <f>LOG10(3.311054)</f>
        <v>0.51996626372119648</v>
      </c>
    </row>
    <row r="13781" spans="1:4">
      <c r="A13781">
        <v>1.0184390000000001</v>
      </c>
      <c r="B13781">
        <v>3.4329999999999998</v>
      </c>
      <c r="C13781">
        <f>LOG10(1.018439)</f>
        <v>7.9350217929762042E-3</v>
      </c>
      <c r="D13781">
        <f>LOG10(3.433)</f>
        <v>0.53567380342575011</v>
      </c>
    </row>
    <row r="13782" spans="1:4">
      <c r="A13782">
        <v>1.019474</v>
      </c>
      <c r="B13782">
        <v>3.3671350000000002</v>
      </c>
      <c r="C13782">
        <f>LOG10(1.019474)</f>
        <v>8.3761542921717662E-3</v>
      </c>
      <c r="D13782">
        <f>LOG10(3.367135)</f>
        <v>0.52726052909367438</v>
      </c>
    </row>
    <row r="13783" spans="1:4">
      <c r="A13783">
        <v>1.0156750000000001</v>
      </c>
      <c r="B13783">
        <v>3.4075160000000002</v>
      </c>
      <c r="C13783">
        <f>LOG10(1.015675)</f>
        <v>6.7547627841095378E-3</v>
      </c>
      <c r="D13783">
        <f>LOG10(3.407516)</f>
        <v>0.53243790374233746</v>
      </c>
    </row>
    <row r="13784" spans="1:4">
      <c r="A13784">
        <v>1.02382</v>
      </c>
      <c r="B13784">
        <v>3.281482</v>
      </c>
      <c r="C13784">
        <f>LOG10(1.02382)</f>
        <v>1.0223609102485497E-2</v>
      </c>
      <c r="D13784">
        <f>LOG10(3.281482)</f>
        <v>0.51607002635246824</v>
      </c>
    </row>
    <row r="13785" spans="1:4">
      <c r="A13785">
        <v>1.026667</v>
      </c>
      <c r="B13785">
        <v>3.2432430000000001</v>
      </c>
      <c r="C13785">
        <f>LOG10(1.026667)</f>
        <v>1.142960278546085E-2</v>
      </c>
      <c r="D13785">
        <f>LOG10(3.243243)</f>
        <v>0.51097948940854243</v>
      </c>
    </row>
    <row r="13786" spans="1:4">
      <c r="A13786">
        <v>1.0206850000000001</v>
      </c>
      <c r="B13786">
        <v>3.1634869999999999</v>
      </c>
      <c r="C13786">
        <f>LOG10(1.020685)</f>
        <v>8.8917324204974904E-3</v>
      </c>
      <c r="D13786">
        <f>LOG10(3.163487)</f>
        <v>0.50016605411368664</v>
      </c>
    </row>
    <row r="13787" spans="1:4">
      <c r="A13787">
        <v>1.0139</v>
      </c>
      <c r="B13787">
        <v>3.4516110000000002</v>
      </c>
      <c r="C13787">
        <f>LOG10(1.0139)</f>
        <v>5.9951230546912851E-3</v>
      </c>
      <c r="D13787">
        <f>LOG10(3.451611)</f>
        <v>0.53802184438008183</v>
      </c>
    </row>
    <row r="13788" spans="1:4">
      <c r="A13788">
        <v>1.017717</v>
      </c>
      <c r="B13788">
        <v>3.449465</v>
      </c>
      <c r="C13788">
        <f>LOG10(1.017717)</f>
        <v>7.6270290565886899E-3</v>
      </c>
      <c r="D13788">
        <f>LOG10(3.449465)</f>
        <v>0.53775174273558302</v>
      </c>
    </row>
    <row r="13789" spans="1:4">
      <c r="A13789">
        <v>1.0189360000000001</v>
      </c>
      <c r="B13789">
        <v>3.2927369999999998</v>
      </c>
      <c r="C13789">
        <f>LOG10(1.018936)</f>
        <v>8.1469065582131846E-3</v>
      </c>
      <c r="D13789">
        <f>LOG10(3.292737)</f>
        <v>0.51755704379720058</v>
      </c>
    </row>
    <row r="13790" spans="1:4">
      <c r="A13790">
        <v>1.0195380000000001</v>
      </c>
      <c r="B13790">
        <v>3.1283430000000001</v>
      </c>
      <c r="C13790">
        <f>LOG10(1.019538)</f>
        <v>8.4034173458967711E-3</v>
      </c>
      <c r="D13790">
        <f>LOG10(3.128343)</f>
        <v>0.49531436422177477</v>
      </c>
    </row>
    <row r="13791" spans="1:4">
      <c r="A13791">
        <v>1.015366</v>
      </c>
      <c r="B13791">
        <v>3.2270310000000002</v>
      </c>
      <c r="C13791">
        <f>LOG10(1.015366)</f>
        <v>6.6226167605250436E-3</v>
      </c>
      <c r="D13791">
        <f>LOG10(3.227031)</f>
        <v>0.50880313741018734</v>
      </c>
    </row>
    <row r="13792" spans="1:4">
      <c r="A13792">
        <v>1.011306</v>
      </c>
      <c r="B13792">
        <v>3.2874210000000001</v>
      </c>
      <c r="C13792">
        <f>LOG10(1.011306)</f>
        <v>4.8825838837289045E-3</v>
      </c>
      <c r="D13792">
        <f>LOG10(3.287421)</f>
        <v>0.51685532509437404</v>
      </c>
    </row>
    <row r="13793" spans="1:4">
      <c r="A13793">
        <v>1.007514</v>
      </c>
      <c r="B13793">
        <v>3.4375930000000001</v>
      </c>
      <c r="C13793">
        <f>LOG10(1.007514)</f>
        <v>3.2510896325048913E-3</v>
      </c>
      <c r="D13793">
        <f>LOG10(3.437593)</f>
        <v>0.53625445631918267</v>
      </c>
    </row>
    <row r="13794" spans="1:4">
      <c r="A13794">
        <v>1.015924</v>
      </c>
      <c r="B13794">
        <v>3.4666920000000001</v>
      </c>
      <c r="C13794">
        <f>LOG10(1.015924)</f>
        <v>6.8612201376870583E-3</v>
      </c>
      <c r="D13794">
        <f>LOG10(3.466692)</f>
        <v>0.53991525825796649</v>
      </c>
    </row>
    <row r="13795" spans="1:4">
      <c r="A13795">
        <v>1.009398</v>
      </c>
      <c r="B13795">
        <v>3.4339119999999999</v>
      </c>
      <c r="C13795">
        <f>LOG10(1.009398)</f>
        <v>4.0624398965532311E-3</v>
      </c>
      <c r="D13795">
        <f>LOG10(3.433912)</f>
        <v>0.53578916141193789</v>
      </c>
    </row>
    <row r="13796" spans="1:4">
      <c r="A13796">
        <v>1.009666</v>
      </c>
      <c r="B13796">
        <v>3.429341</v>
      </c>
      <c r="C13796">
        <f>LOG10(1.009666)</f>
        <v>4.1777318554347609E-3</v>
      </c>
      <c r="D13796">
        <f>LOG10(3.429341)</f>
        <v>0.53521067177435677</v>
      </c>
    </row>
    <row r="13797" spans="1:4">
      <c r="A13797">
        <v>1.0081519999999999</v>
      </c>
      <c r="B13797">
        <v>3.6063550000000002</v>
      </c>
      <c r="C13797">
        <f>LOG10(1.008152)</f>
        <v>3.5260160227970866E-3</v>
      </c>
      <c r="D13797">
        <f>LOG10(3.606355)</f>
        <v>0.55706847528504111</v>
      </c>
    </row>
    <row r="13798" spans="1:4">
      <c r="A13798">
        <v>1.0205150000000001</v>
      </c>
      <c r="B13798">
        <v>3.6035729999999999</v>
      </c>
      <c r="C13798">
        <f>LOG10(1.020515)</f>
        <v>8.8193925595389799E-3</v>
      </c>
      <c r="D13798">
        <f>LOG10(3.603573)</f>
        <v>0.55673332427975608</v>
      </c>
    </row>
    <row r="13799" spans="1:4">
      <c r="A13799">
        <v>1.01989</v>
      </c>
      <c r="B13799">
        <v>3.64696</v>
      </c>
      <c r="C13799">
        <f>LOG10(1.01989)</f>
        <v>8.5533335568617214E-3</v>
      </c>
      <c r="D13799">
        <f>LOG10(3.64696)</f>
        <v>0.56193099998103024</v>
      </c>
    </row>
    <row r="13800" spans="1:4">
      <c r="A13800">
        <v>1.0192920000000001</v>
      </c>
      <c r="B13800">
        <v>3.5614699999999999</v>
      </c>
      <c r="C13800">
        <f>LOG10(1.019292)</f>
        <v>8.298615628179613E-3</v>
      </c>
      <c r="D13800">
        <f>LOG10(3.56147)</f>
        <v>0.55162929042161535</v>
      </c>
    </row>
    <row r="13801" spans="1:4">
      <c r="A13801">
        <v>1.0320609999999999</v>
      </c>
      <c r="B13801">
        <v>3.6486390000000002</v>
      </c>
      <c r="C13801">
        <f>LOG10(1.032061)</f>
        <v>1.3705367039716226E-2</v>
      </c>
      <c r="D13801">
        <f>LOG10(3.648639)</f>
        <v>0.56213089595886268</v>
      </c>
    </row>
    <row r="13802" spans="1:4">
      <c r="A13802">
        <v>1.0139279999999999</v>
      </c>
      <c r="B13802">
        <v>3.6140650000000001</v>
      </c>
      <c r="C13802">
        <f>LOG10(1.013928)</f>
        <v>6.0071164244386481E-3</v>
      </c>
      <c r="D13802">
        <f>LOG10(3.614065)</f>
        <v>0.55799595920650347</v>
      </c>
    </row>
    <row r="13803" spans="1:4">
      <c r="A13803">
        <v>1.0112859999999999</v>
      </c>
      <c r="B13803">
        <v>3.5980089999999998</v>
      </c>
      <c r="C13803">
        <f>LOG10(1.011286)</f>
        <v>4.8739950139633711E-3</v>
      </c>
      <c r="D13803">
        <f>LOG10(3.598009)</f>
        <v>0.55606224534790072</v>
      </c>
    </row>
    <row r="13804" spans="1:4">
      <c r="A13804">
        <v>1.0164470000000001</v>
      </c>
      <c r="B13804">
        <v>3.45757</v>
      </c>
      <c r="C13804">
        <f>LOG10(1.016447)</f>
        <v>7.0847384018712716E-3</v>
      </c>
      <c r="D13804">
        <f>LOG10(3.45757)</f>
        <v>0.53877098134996548</v>
      </c>
    </row>
    <row r="13805" spans="1:4">
      <c r="A13805">
        <v>1.01824</v>
      </c>
      <c r="B13805">
        <v>3.5285259999999998</v>
      </c>
      <c r="C13805">
        <f>LOG10(1.01824)</f>
        <v>7.8501536304687088E-3</v>
      </c>
      <c r="D13805">
        <f>LOG10(3.528526)</f>
        <v>0.54759332188774601</v>
      </c>
    </row>
    <row r="13806" spans="1:4">
      <c r="A13806">
        <v>1.0168010000000001</v>
      </c>
      <c r="B13806">
        <v>3.4652880000000001</v>
      </c>
      <c r="C13806">
        <f>LOG10(1.016801)</f>
        <v>7.2359646646263983E-3</v>
      </c>
      <c r="D13806">
        <f>LOG10(3.465288)</f>
        <v>0.53973933465145585</v>
      </c>
    </row>
    <row r="13807" spans="1:4">
      <c r="A13807">
        <v>1.010105</v>
      </c>
      <c r="B13807">
        <v>3.5144259999999998</v>
      </c>
      <c r="C13807">
        <f>LOG10(1.010105)</f>
        <v>4.3665208622655849E-3</v>
      </c>
      <c r="D13807">
        <f>LOG10(3.514426)</f>
        <v>0.54585440321388845</v>
      </c>
    </row>
    <row r="13808" spans="1:4">
      <c r="A13808">
        <v>1.0110539999999999</v>
      </c>
      <c r="B13808">
        <v>3.5556070000000002</v>
      </c>
      <c r="C13808">
        <f>LOG10(1.011054)</f>
        <v>4.7743517094314377E-3</v>
      </c>
      <c r="D13808">
        <f>LOG10(3.555607)</f>
        <v>0.55091375253340802</v>
      </c>
    </row>
    <row r="13809" spans="1:4">
      <c r="A13809">
        <v>1.014937</v>
      </c>
      <c r="B13809">
        <v>3.4710990000000002</v>
      </c>
      <c r="C13809">
        <f>LOG10(1.014937)</f>
        <v>6.4390852034035039E-3</v>
      </c>
      <c r="D13809">
        <f>LOG10(3.471099)</f>
        <v>0.54046700045924412</v>
      </c>
    </row>
    <row r="13810" spans="1:4">
      <c r="A13810">
        <v>1.0186820000000001</v>
      </c>
      <c r="B13810">
        <v>3.3667250000000002</v>
      </c>
      <c r="C13810">
        <f>LOG10(1.018682)</f>
        <v>8.038632289950158E-3</v>
      </c>
      <c r="D13810">
        <f>LOG10(3.366725)</f>
        <v>0.52720764390217933</v>
      </c>
    </row>
    <row r="13811" spans="1:4">
      <c r="A13811">
        <v>1.0175270000000001</v>
      </c>
      <c r="B13811">
        <v>3.4926409999999999</v>
      </c>
      <c r="C13811">
        <f>LOG10(1.017527)</f>
        <v>7.5459420205367059E-3</v>
      </c>
      <c r="D13811">
        <f>LOG10(3.492641)</f>
        <v>0.54315394786735749</v>
      </c>
    </row>
    <row r="13812" spans="1:4">
      <c r="A13812">
        <v>1.021047</v>
      </c>
      <c r="B13812">
        <v>3.5762450000000001</v>
      </c>
      <c r="C13812">
        <f>LOG10(1.021047)</f>
        <v>9.0457336352468658E-3</v>
      </c>
      <c r="D13812">
        <f>LOG10(3.576245)</f>
        <v>0.5534272636203299</v>
      </c>
    </row>
    <row r="13813" spans="1:4">
      <c r="A13813">
        <v>1.0100899999999999</v>
      </c>
      <c r="B13813">
        <v>3.6045219999999998</v>
      </c>
      <c r="C13813">
        <f>LOG10(1.01009)</f>
        <v>4.3600715667978587E-3</v>
      </c>
      <c r="D13813">
        <f>LOG10(3.604522)</f>
        <v>0.55684768055994038</v>
      </c>
    </row>
    <row r="13814" spans="1:4">
      <c r="A13814">
        <v>1.025291</v>
      </c>
      <c r="B13814">
        <v>3.5087000000000002</v>
      </c>
      <c r="C13814">
        <f>LOG10(1.025291)</f>
        <v>1.0847145155555359E-2</v>
      </c>
      <c r="D13814">
        <f>LOG10(3.5087)</f>
        <v>0.5451462368633534</v>
      </c>
    </row>
    <row r="13815" spans="1:4">
      <c r="A13815">
        <v>1.0518099999999999</v>
      </c>
      <c r="B13815">
        <v>3.35683</v>
      </c>
      <c r="C13815">
        <f>LOG10(1.05181)</f>
        <v>2.1937295517345228E-2</v>
      </c>
      <c r="D13815">
        <f>LOG10(3.35683)</f>
        <v>0.52592934782192358</v>
      </c>
    </row>
    <row r="13816" spans="1:4">
      <c r="A13816">
        <v>1.0356019999999999</v>
      </c>
      <c r="B13816">
        <v>3.2673480000000001</v>
      </c>
      <c r="C13816">
        <f>LOG10(1.035602)</f>
        <v>1.519288049219425E-2</v>
      </c>
      <c r="D13816">
        <f>LOG10(3.267348)</f>
        <v>0.51419539294830885</v>
      </c>
    </row>
    <row r="13817" spans="1:4">
      <c r="A13817">
        <v>1.03264</v>
      </c>
      <c r="B13817">
        <v>3.3420239999999999</v>
      </c>
      <c r="C13817">
        <f>LOG10(1.03264)</f>
        <v>1.3948943723810952E-2</v>
      </c>
      <c r="D13817">
        <f>LOG10(3.342024)</f>
        <v>0.5240095643575341</v>
      </c>
    </row>
    <row r="13818" spans="1:4">
      <c r="A13818">
        <v>1.0217579999999999</v>
      </c>
      <c r="B13818">
        <v>3.35982</v>
      </c>
      <c r="C13818">
        <f>LOG10(1.021758)</f>
        <v>9.3480467675348539E-3</v>
      </c>
      <c r="D13818">
        <f>LOG10(3.35982)</f>
        <v>0.52631601099081515</v>
      </c>
    </row>
    <row r="13819" spans="1:4">
      <c r="A13819">
        <v>1.0283059999999999</v>
      </c>
      <c r="B13819">
        <v>3.3540160000000001</v>
      </c>
      <c r="C13819">
        <f>LOG10(1.028306)</f>
        <v>1.2122369850306637E-2</v>
      </c>
      <c r="D13819">
        <f>LOG10(3.354016)</f>
        <v>0.52556513003367344</v>
      </c>
    </row>
    <row r="13820" spans="1:4">
      <c r="A13820">
        <v>1.02214</v>
      </c>
      <c r="B13820">
        <v>3.4288240000000001</v>
      </c>
      <c r="C13820">
        <f>LOG10(1.02214)</f>
        <v>9.5103841190257461E-3</v>
      </c>
      <c r="D13820">
        <f>LOG10(3.428824)</f>
        <v>0.53514519354583079</v>
      </c>
    </row>
    <row r="13821" spans="1:4">
      <c r="A13821">
        <v>1.0242720000000001</v>
      </c>
      <c r="B13821">
        <v>3.4478089999999999</v>
      </c>
      <c r="C13821">
        <f>LOG10(1.024272)</f>
        <v>1.0415300793100277E-2</v>
      </c>
      <c r="D13821">
        <f>LOG10(3.447809)</f>
        <v>0.53754319899037262</v>
      </c>
    </row>
    <row r="13822" spans="1:4">
      <c r="A13822">
        <v>1.0381929999999999</v>
      </c>
      <c r="B13822">
        <v>3.4393359999999999</v>
      </c>
      <c r="C13822">
        <f>LOG10(1.038193)</f>
        <v>1.6278096328977518E-2</v>
      </c>
      <c r="D13822">
        <f>LOG10(3.439336)</f>
        <v>0.53647460554514292</v>
      </c>
    </row>
    <row r="13823" spans="1:4">
      <c r="A13823">
        <v>1.0282800000000001</v>
      </c>
      <c r="B13823">
        <v>3.4954070000000002</v>
      </c>
      <c r="C13823">
        <f>LOG10(1.02828)</f>
        <v>1.2111388878414359E-2</v>
      </c>
      <c r="D13823">
        <f>LOG10(3.495407)</f>
        <v>0.54349775163049108</v>
      </c>
    </row>
    <row r="13824" spans="1:4">
      <c r="A13824">
        <v>1.028513</v>
      </c>
      <c r="B13824">
        <v>3.4517500000000001</v>
      </c>
      <c r="C13824">
        <f>LOG10(1.028513)</f>
        <v>1.2209785376959706E-2</v>
      </c>
      <c r="D13824">
        <f>LOG10(3.45175)</f>
        <v>0.53803933352283206</v>
      </c>
    </row>
    <row r="13825" spans="1:4">
      <c r="A13825">
        <v>1.036184</v>
      </c>
      <c r="B13825">
        <v>3.6072669999999998</v>
      </c>
      <c r="C13825">
        <f>LOG10(1.036184)</f>
        <v>1.5436881943228779E-2</v>
      </c>
      <c r="D13825">
        <f>LOG10(3.607267)</f>
        <v>0.55717828879331921</v>
      </c>
    </row>
    <row r="13826" spans="1:4">
      <c r="A13826">
        <v>1.028545</v>
      </c>
      <c r="B13826">
        <v>3.5905629999999999</v>
      </c>
      <c r="C13826">
        <f>LOG10(1.028545)</f>
        <v>1.2223297318209819E-2</v>
      </c>
      <c r="D13826">
        <f>LOG10(3.590563)</f>
        <v>0.55516255125879488</v>
      </c>
    </row>
    <row r="13827" spans="1:4">
      <c r="A13827">
        <v>1.0209010000000001</v>
      </c>
      <c r="B13827">
        <v>3.5029840000000001</v>
      </c>
      <c r="C13827">
        <f>LOG10(1.020901)</f>
        <v>8.9836292188112676E-3</v>
      </c>
      <c r="D13827">
        <f>LOG10(3.502984)</f>
        <v>0.54443815366722714</v>
      </c>
    </row>
    <row r="13828" spans="1:4">
      <c r="A13828">
        <v>1.0214220000000001</v>
      </c>
      <c r="B13828">
        <v>3.4664090000000001</v>
      </c>
      <c r="C13828">
        <f>LOG10(1.021422)</f>
        <v>9.205207715434819E-3</v>
      </c>
      <c r="D13828">
        <f>LOG10(3.466409)</f>
        <v>0.53987980360688126</v>
      </c>
    </row>
    <row r="13829" spans="1:4">
      <c r="A13829">
        <v>1.016931</v>
      </c>
      <c r="B13829">
        <v>3.450577</v>
      </c>
      <c r="C13829">
        <f>LOG10(1.016931)</f>
        <v>7.2914865158086612E-3</v>
      </c>
      <c r="D13829">
        <f>LOG10(3.450577)</f>
        <v>0.53789172317861722</v>
      </c>
    </row>
    <row r="13830" spans="1:4">
      <c r="A13830">
        <v>1.020289</v>
      </c>
      <c r="B13830">
        <v>3.403537</v>
      </c>
      <c r="C13830">
        <f>LOG10(1.020289)</f>
        <v>8.7232044363175585E-3</v>
      </c>
      <c r="D13830">
        <f>LOG10(3.403537)</f>
        <v>0.53193047620063993</v>
      </c>
    </row>
    <row r="13831" spans="1:4">
      <c r="A13831">
        <v>1.0154529999999999</v>
      </c>
      <c r="B13831">
        <v>3.367572</v>
      </c>
      <c r="C13831">
        <f>LOG10(1.015453)</f>
        <v>6.6598269894510816E-3</v>
      </c>
      <c r="D13831">
        <f>LOG10(3.367572)</f>
        <v>0.52731688987933523</v>
      </c>
    </row>
    <row r="13832" spans="1:4">
      <c r="A13832">
        <v>1.0172699999999999</v>
      </c>
      <c r="B13832">
        <v>3.4971480000000001</v>
      </c>
      <c r="C13832">
        <f>LOG10(1.01727)</f>
        <v>7.4362370401944797E-3</v>
      </c>
      <c r="D13832">
        <f>LOG10(3.497148)</f>
        <v>0.54371401212715287</v>
      </c>
    </row>
    <row r="13833" spans="1:4">
      <c r="A13833">
        <v>1.0216499999999999</v>
      </c>
      <c r="B13833">
        <v>3.568765</v>
      </c>
      <c r="C13833">
        <f>LOG10(1.02165)</f>
        <v>9.3021393382899612E-3</v>
      </c>
      <c r="D13833">
        <f>LOG10(3.568765)</f>
        <v>0.55251795099196543</v>
      </c>
    </row>
    <row r="13834" spans="1:4">
      <c r="A13834">
        <v>1.0220180000000001</v>
      </c>
      <c r="B13834">
        <v>3.5</v>
      </c>
      <c r="C13834">
        <f>LOG10(1.022018)</f>
        <v>9.4585447535216246E-3</v>
      </c>
      <c r="D13834">
        <f>LOG10(3.5)</f>
        <v>0.54406804435027567</v>
      </c>
    </row>
    <row r="13835" spans="1:4">
      <c r="A13835">
        <v>1.0234490000000001</v>
      </c>
      <c r="B13835">
        <v>3.450996</v>
      </c>
      <c r="C13835">
        <f>LOG10(1.023449)</f>
        <v>1.0066205991756224E-2</v>
      </c>
      <c r="D13835">
        <f>LOG10(3.450996)</f>
        <v>0.53794445590726936</v>
      </c>
    </row>
    <row r="13836" spans="1:4">
      <c r="A13836">
        <v>1.0199780000000001</v>
      </c>
      <c r="B13836">
        <v>3.3813879999999998</v>
      </c>
      <c r="C13836">
        <f>LOG10(1.019978)</f>
        <v>8.5908045250138107E-3</v>
      </c>
      <c r="D13836">
        <f>LOG10(3.381388)</f>
        <v>0.52909500708369783</v>
      </c>
    </row>
    <row r="13837" spans="1:4">
      <c r="A13837">
        <v>1.028591</v>
      </c>
      <c r="B13837">
        <v>3.1674850000000001</v>
      </c>
      <c r="C13837">
        <f>LOG10(1.028591)</f>
        <v>1.2242719997284879E-2</v>
      </c>
      <c r="D13837">
        <f>LOG10(3.167485)</f>
        <v>0.5007145669074432</v>
      </c>
    </row>
    <row r="13838" spans="1:4">
      <c r="A13838">
        <v>1.017328</v>
      </c>
      <c r="B13838">
        <v>3.062141</v>
      </c>
      <c r="C13838">
        <f>LOG10(1.017328)</f>
        <v>7.4609977840438893E-3</v>
      </c>
      <c r="D13838">
        <f>LOG10(3.062141)</f>
        <v>0.48602518443934695</v>
      </c>
    </row>
    <row r="13839" spans="1:4">
      <c r="A13839">
        <v>1.0188870000000001</v>
      </c>
      <c r="B13839">
        <v>3.160263</v>
      </c>
      <c r="C13839">
        <f>LOG10(1.018887)</f>
        <v>8.1260211038657309E-3</v>
      </c>
      <c r="D13839">
        <f>LOG10(3.160263)</f>
        <v>0.49972322650950662</v>
      </c>
    </row>
    <row r="13840" spans="1:4">
      <c r="A13840">
        <v>1.009201</v>
      </c>
      <c r="B13840">
        <v>2.9780600000000002</v>
      </c>
      <c r="C13840">
        <f>LOG10(1.009201)</f>
        <v>3.9776721807200602E-3</v>
      </c>
      <c r="D13840">
        <f>LOG10(2.97806)</f>
        <v>0.47393344338473226</v>
      </c>
    </row>
    <row r="13841" spans="1:4">
      <c r="A13841">
        <v>1.0174430000000001</v>
      </c>
      <c r="B13841">
        <v>2.9769109999999999</v>
      </c>
      <c r="C13841">
        <f>LOG10(1.017443)</f>
        <v>7.5100881882929071E-3</v>
      </c>
      <c r="D13841">
        <f>LOG10(2.976911)</f>
        <v>0.47376585084199796</v>
      </c>
    </row>
    <row r="13842" spans="1:4">
      <c r="A13842">
        <v>1.0187619999999999</v>
      </c>
      <c r="B13842">
        <v>2.9086910000000001</v>
      </c>
      <c r="C13842">
        <f>LOG10(1.018762)</f>
        <v>8.0727373338876137E-3</v>
      </c>
      <c r="D13842">
        <f>LOG10(2.908691)</f>
        <v>0.46369758713817155</v>
      </c>
    </row>
    <row r="13843" spans="1:4">
      <c r="A13843">
        <v>1.0257609999999999</v>
      </c>
      <c r="B13843">
        <v>2.9241489999999999</v>
      </c>
      <c r="C13843">
        <f>LOG10(1.025761)</f>
        <v>1.1046182927457066E-2</v>
      </c>
      <c r="D13843">
        <f>LOG10(2.924149)</f>
        <v>0.46599949832314491</v>
      </c>
    </row>
    <row r="13844" spans="1:4">
      <c r="A13844">
        <v>1.036932</v>
      </c>
      <c r="B13844">
        <v>2.7556989999999999</v>
      </c>
      <c r="C13844">
        <f>LOG10(1.036932)</f>
        <v>1.575027712860232E-2</v>
      </c>
      <c r="D13844">
        <f>LOG10(2.755699)</f>
        <v>0.44023177862815305</v>
      </c>
    </row>
    <row r="13845" spans="1:4">
      <c r="A13845">
        <v>1.0322389999999999</v>
      </c>
      <c r="B13845">
        <v>2.8233160000000002</v>
      </c>
      <c r="C13845">
        <f>LOG10(1.032239)</f>
        <v>1.3780263535351917E-2</v>
      </c>
      <c r="D13845">
        <f>LOG10(2.823316)</f>
        <v>0.45075948933213278</v>
      </c>
    </row>
    <row r="13846" spans="1:4">
      <c r="A13846">
        <v>1.011053</v>
      </c>
      <c r="B13846">
        <v>2.7919999999999998</v>
      </c>
      <c r="C13846">
        <f>LOG10(1.011053)</f>
        <v>4.7739221629416947E-3</v>
      </c>
      <c r="D13846">
        <f>LOG10(2.792)</f>
        <v>0.44591541395112344</v>
      </c>
    </row>
    <row r="13847" spans="1:4">
      <c r="A13847">
        <v>1.0163089999999999</v>
      </c>
      <c r="B13847">
        <v>2.7922120000000001</v>
      </c>
      <c r="C13847">
        <f>LOG10(1.016309)</f>
        <v>7.0257715228215431E-3</v>
      </c>
      <c r="D13847">
        <f>LOG10(2.792212)</f>
        <v>0.44594838921431468</v>
      </c>
    </row>
    <row r="13848" spans="1:4">
      <c r="A13848">
        <v>1.014724</v>
      </c>
      <c r="B13848">
        <v>2.8202410000000002</v>
      </c>
      <c r="C13848">
        <f>LOG10(1.014724)</f>
        <v>6.3479323212374764E-3</v>
      </c>
      <c r="D13848">
        <f>LOG10(2.820241)</f>
        <v>0.45028622197113677</v>
      </c>
    </row>
    <row r="13849" spans="1:4">
      <c r="A13849">
        <v>1.021271</v>
      </c>
      <c r="B13849">
        <v>2.87175</v>
      </c>
      <c r="C13849">
        <f>LOG10(1.021271)</f>
        <v>9.14099986150195E-3</v>
      </c>
      <c r="D13849">
        <f>LOG10(2.87175)</f>
        <v>0.45814662973938763</v>
      </c>
    </row>
    <row r="13850" spans="1:4">
      <c r="A13850">
        <v>1.024167</v>
      </c>
      <c r="B13850">
        <v>2.9069780000000001</v>
      </c>
      <c r="C13850">
        <f>LOG10(1.024167)</f>
        <v>1.0370778187701933E-2</v>
      </c>
      <c r="D13850">
        <f>LOG10(2.906978)</f>
        <v>0.46344174504364555</v>
      </c>
    </row>
    <row r="13851" spans="1:4">
      <c r="A13851">
        <v>1.01736</v>
      </c>
      <c r="B13851">
        <v>2.9186640000000001</v>
      </c>
      <c r="C13851">
        <f>LOG10(1.01736)</f>
        <v>7.4746582798270898E-3</v>
      </c>
      <c r="D13851">
        <f>LOG10(2.918664)</f>
        <v>0.46518410137889926</v>
      </c>
    </row>
    <row r="13852" spans="1:4">
      <c r="A13852">
        <v>1.018931</v>
      </c>
      <c r="B13852">
        <v>2.8140800000000001</v>
      </c>
      <c r="C13852">
        <f>LOG10(1.018931)</f>
        <v>8.1447754354171103E-3</v>
      </c>
      <c r="D13852">
        <f>LOG10(2.81408)</f>
        <v>0.44933643960359343</v>
      </c>
    </row>
    <row r="13853" spans="1:4">
      <c r="A13853">
        <v>1.0266500000000001</v>
      </c>
      <c r="B13853">
        <v>2.9051670000000001</v>
      </c>
      <c r="C13853">
        <f>LOG10(1.02665)</f>
        <v>1.1422411488459466E-2</v>
      </c>
      <c r="D13853">
        <f>LOG10(2.905167)</f>
        <v>0.46317110233525471</v>
      </c>
    </row>
    <row r="13854" spans="1:4">
      <c r="A13854">
        <v>1.045506</v>
      </c>
      <c r="B13854">
        <v>2.8419789999999998</v>
      </c>
      <c r="C13854">
        <f>LOG10(1.045506)</f>
        <v>1.9326529510854104E-2</v>
      </c>
      <c r="D13854">
        <f>LOG10(2.841979)</f>
        <v>0.45362086450706829</v>
      </c>
    </row>
    <row r="13855" spans="1:4">
      <c r="A13855">
        <v>1.0363709999999999</v>
      </c>
      <c r="B13855">
        <v>2.975994</v>
      </c>
      <c r="C13855">
        <f>LOG10(1.036371)</f>
        <v>1.5515251943866893E-2</v>
      </c>
      <c r="D13855">
        <f>LOG10(2.975994)</f>
        <v>0.4736320512792449</v>
      </c>
    </row>
    <row r="13856" spans="1:4">
      <c r="A13856">
        <v>1.021687</v>
      </c>
      <c r="B13856">
        <v>2.948922</v>
      </c>
      <c r="C13856">
        <f>LOG10(1.021687)</f>
        <v>9.3178674299676488E-3</v>
      </c>
      <c r="D13856">
        <f>LOG10(2.948922)</f>
        <v>0.46966328546546821</v>
      </c>
    </row>
    <row r="13857" spans="1:4">
      <c r="A13857">
        <v>1.020408</v>
      </c>
      <c r="B13857">
        <v>2.8035320000000001</v>
      </c>
      <c r="C13857">
        <f>LOG10(1.020408)</f>
        <v>8.7738548203824714E-3</v>
      </c>
      <c r="D13857">
        <f>LOG10(2.803532)</f>
        <v>0.44770551757526839</v>
      </c>
    </row>
    <row r="13858" spans="1:4">
      <c r="A13858">
        <v>1.021563</v>
      </c>
      <c r="B13858">
        <v>2.9185720000000002</v>
      </c>
      <c r="C13858">
        <f>LOG10(1.021563)</f>
        <v>9.2651548242442937E-3</v>
      </c>
      <c r="D13858">
        <f>LOG10(2.918572)</f>
        <v>0.46517041164891804</v>
      </c>
    </row>
    <row r="13859" spans="1:4">
      <c r="A13859">
        <v>1.017849</v>
      </c>
      <c r="B13859">
        <v>2.9450259999999999</v>
      </c>
      <c r="C13859">
        <f>LOG10(1.017849)</f>
        <v>7.6833542965382608E-3</v>
      </c>
      <c r="D13859">
        <f>LOG10(2.945026)</f>
        <v>0.46908913328498308</v>
      </c>
    </row>
    <row r="13860" spans="1:4">
      <c r="A13860">
        <v>1.010294</v>
      </c>
      <c r="B13860">
        <v>2.8637009999999998</v>
      </c>
      <c r="C13860">
        <f>LOG10(1.010294)</f>
        <v>4.4477737804457457E-3</v>
      </c>
      <c r="D13860">
        <f>LOG10(2.863701)</f>
        <v>0.45692767116762451</v>
      </c>
    </row>
    <row r="13861" spans="1:4">
      <c r="A13861">
        <v>1.0139860000000001</v>
      </c>
      <c r="B13861">
        <v>2.9897339999999999</v>
      </c>
      <c r="C13861">
        <f>LOG10(1.013986)</f>
        <v>6.0319587796443478E-3</v>
      </c>
      <c r="D13861">
        <f>LOG10(2.989734)</f>
        <v>0.47563255037422569</v>
      </c>
    </row>
    <row r="13862" spans="1:4">
      <c r="A13862">
        <v>1.015666</v>
      </c>
      <c r="B13862">
        <v>2.963832</v>
      </c>
      <c r="C13862">
        <f>LOG10(1.015666)</f>
        <v>6.7509144392602794E-3</v>
      </c>
      <c r="D13862">
        <f>LOG10(2.963832)</f>
        <v>0.47185358272808275</v>
      </c>
    </row>
    <row r="13863" spans="1:4">
      <c r="A13863">
        <v>1.0578259999999999</v>
      </c>
      <c r="B13863">
        <v>3.06013</v>
      </c>
      <c r="C13863">
        <f>LOG10(1.057826)</f>
        <v>2.4414237212896768E-2</v>
      </c>
      <c r="D13863">
        <f>LOG10(3.06013)</f>
        <v>0.48573987650883627</v>
      </c>
    </row>
    <row r="13864" spans="1:4">
      <c r="A13864">
        <v>1.041777</v>
      </c>
      <c r="B13864">
        <v>3.0436179999999999</v>
      </c>
      <c r="C13864">
        <f>LOG10(1.041777)</f>
        <v>1.77747649959418E-2</v>
      </c>
      <c r="D13864">
        <f>LOG10(3.043618)</f>
        <v>0.48339014385983142</v>
      </c>
    </row>
    <row r="13865" spans="1:4">
      <c r="A13865">
        <v>1.0232190000000001</v>
      </c>
      <c r="B13865">
        <v>2.879203</v>
      </c>
      <c r="C13865">
        <f>LOG10(1.023219)</f>
        <v>9.9685958945072185E-3</v>
      </c>
      <c r="D13865">
        <f>LOG10(2.879203)</f>
        <v>0.45927228616040322</v>
      </c>
    </row>
    <row r="13866" spans="1:4">
      <c r="A13866">
        <v>1.0264279999999999</v>
      </c>
      <c r="B13866">
        <v>2.8955329999999999</v>
      </c>
      <c r="C13866">
        <f>LOG10(1.026428)</f>
        <v>1.1328490677503082E-2</v>
      </c>
      <c r="D13866">
        <f>LOG10(2.895533)</f>
        <v>0.4617285188933728</v>
      </c>
    </row>
    <row r="13867" spans="1:4">
      <c r="A13867">
        <v>1.0227539999999999</v>
      </c>
      <c r="B13867">
        <v>2.8293170000000001</v>
      </c>
      <c r="C13867">
        <f>LOG10(1.022754)</f>
        <v>9.7711867033182624E-3</v>
      </c>
      <c r="D13867">
        <f>LOG10(2.829317)</f>
        <v>0.45168160904696797</v>
      </c>
    </row>
    <row r="13868" spans="1:4">
      <c r="A13868">
        <v>1.0201899999999999</v>
      </c>
      <c r="B13868">
        <v>2.8539490000000001</v>
      </c>
      <c r="C13868">
        <f>LOG10(1.02019)</f>
        <v>8.6810622199632714E-3</v>
      </c>
      <c r="D13868">
        <f>LOG10(2.853949)</f>
        <v>0.45544620801602231</v>
      </c>
    </row>
    <row r="13869" spans="1:4">
      <c r="A13869">
        <v>1.0188189999999999</v>
      </c>
      <c r="B13869">
        <v>2.790842</v>
      </c>
      <c r="C13869">
        <f>LOG10(1.018819)</f>
        <v>8.0970355438482796E-3</v>
      </c>
      <c r="D13869">
        <f>LOG10(2.790842)</f>
        <v>0.44573525015022913</v>
      </c>
    </row>
    <row r="13870" spans="1:4">
      <c r="A13870">
        <v>1.026411</v>
      </c>
      <c r="B13870">
        <v>2.8705560000000001</v>
      </c>
      <c r="C13870">
        <f>LOG10(1.026411)</f>
        <v>1.1321297706020667E-2</v>
      </c>
      <c r="D13870">
        <f>LOG10(2.870556)</f>
        <v>0.4579660236836095</v>
      </c>
    </row>
    <row r="13871" spans="1:4">
      <c r="A13871">
        <v>1.023333</v>
      </c>
      <c r="B13871">
        <v>2.8290679999999999</v>
      </c>
      <c r="C13871">
        <f>LOG10(1.023333)</f>
        <v>1.0016979293500409E-2</v>
      </c>
      <c r="D13871">
        <f>LOG10(2.829068)</f>
        <v>0.45164338636467832</v>
      </c>
    </row>
    <row r="13872" spans="1:4">
      <c r="A13872">
        <v>1.014507</v>
      </c>
      <c r="B13872">
        <v>2.869138</v>
      </c>
      <c r="C13872">
        <f>LOG10(1.014507)</f>
        <v>6.2550479695473995E-3</v>
      </c>
      <c r="D13872">
        <f>LOG10(2.869138)</f>
        <v>0.45775143747470437</v>
      </c>
    </row>
    <row r="13873" spans="1:4">
      <c r="A13873">
        <v>1.0303290000000001</v>
      </c>
      <c r="B13873">
        <v>2.8486720000000001</v>
      </c>
      <c r="C13873">
        <f>LOG10(1.030329)</f>
        <v>1.29759238020258E-2</v>
      </c>
      <c r="D13873">
        <f>LOG10(2.848672)</f>
        <v>0.4546424468559695</v>
      </c>
    </row>
    <row r="13874" spans="1:4">
      <c r="A13874">
        <v>1.0206850000000001</v>
      </c>
      <c r="B13874">
        <v>2.8454190000000001</v>
      </c>
      <c r="C13874">
        <f>LOG10(1.020685)</f>
        <v>8.8917324204974904E-3</v>
      </c>
      <c r="D13874">
        <f>LOG10(2.845419)</f>
        <v>0.45414622714211927</v>
      </c>
    </row>
    <row r="13875" spans="1:4">
      <c r="A13875">
        <v>1.0215909999999999</v>
      </c>
      <c r="B13875">
        <v>2.8889320000000001</v>
      </c>
      <c r="C13875">
        <f>LOG10(1.021591)</f>
        <v>9.2770582299533267E-3</v>
      </c>
      <c r="D13875">
        <f>LOG10(2.888932)</f>
        <v>0.46073731949309599</v>
      </c>
    </row>
    <row r="13876" spans="1:4">
      <c r="A13876">
        <v>1.0217560000000001</v>
      </c>
      <c r="B13876">
        <v>3.1200899999999998</v>
      </c>
      <c r="C13876">
        <f>LOG10(1.021756)</f>
        <v>9.3471966740549615E-3</v>
      </c>
      <c r="D13876">
        <f>LOG10(3.12009)</f>
        <v>0.49416712156319742</v>
      </c>
    </row>
    <row r="13877" spans="1:4">
      <c r="A13877">
        <v>1.023107</v>
      </c>
      <c r="B13877">
        <v>2.9664969999999999</v>
      </c>
      <c r="C13877">
        <f>LOG10(1.023107)</f>
        <v>9.9210560772720544E-3</v>
      </c>
      <c r="D13877">
        <f>LOG10(2.966497)</f>
        <v>0.47224391347438127</v>
      </c>
    </row>
    <row r="13878" spans="1:4">
      <c r="A13878">
        <v>1.023469</v>
      </c>
      <c r="B13878">
        <v>2.8822420000000002</v>
      </c>
      <c r="C13878">
        <f>LOG10(1.023469)</f>
        <v>1.007469278960382E-2</v>
      </c>
      <c r="D13878">
        <f>LOG10(2.882242)</f>
        <v>0.45973044242255867</v>
      </c>
    </row>
    <row r="13879" spans="1:4">
      <c r="A13879">
        <v>1.016079</v>
      </c>
      <c r="B13879">
        <v>2.981036</v>
      </c>
      <c r="C13879">
        <f>LOG10(1.016079)</f>
        <v>6.9274755957995935E-3</v>
      </c>
      <c r="D13879">
        <f>LOG10(2.981036)</f>
        <v>0.47436722075149818</v>
      </c>
    </row>
    <row r="13880" spans="1:4">
      <c r="A13880">
        <v>1.021711</v>
      </c>
      <c r="B13880">
        <v>2.985576</v>
      </c>
      <c r="C13880">
        <f>LOG10(1.021711)</f>
        <v>9.3280691308268715E-3</v>
      </c>
      <c r="D13880">
        <f>LOG10(2.985576)</f>
        <v>0.47502813093917545</v>
      </c>
    </row>
    <row r="13881" spans="1:4">
      <c r="A13881">
        <v>1.024573</v>
      </c>
      <c r="B13881">
        <v>2.9773170000000002</v>
      </c>
      <c r="C13881">
        <f>LOG10(1.024573)</f>
        <v>1.0542906971208721E-2</v>
      </c>
      <c r="D13881">
        <f>LOG10(2.977317)</f>
        <v>0.47382507717996358</v>
      </c>
    </row>
    <row r="13882" spans="1:4">
      <c r="A13882">
        <v>1.0242039999999999</v>
      </c>
      <c r="B13882">
        <v>2.7960129999999999</v>
      </c>
      <c r="C13882">
        <f>LOG10(1.024204)</f>
        <v>1.0386467626609337E-2</v>
      </c>
      <c r="D13882">
        <f>LOG10(2.796013)</f>
        <v>0.4465391863208325</v>
      </c>
    </row>
    <row r="13883" spans="1:4">
      <c r="A13883">
        <v>1.0141530000000001</v>
      </c>
      <c r="B13883">
        <v>2.899546</v>
      </c>
      <c r="C13883">
        <f>LOG10(1.014153)</f>
        <v>6.1034796947707472E-3</v>
      </c>
      <c r="D13883">
        <f>LOG10(2.899546)</f>
        <v>0.46233000302653438</v>
      </c>
    </row>
    <row r="13884" spans="1:4">
      <c r="A13884">
        <v>1.0204960000000001</v>
      </c>
      <c r="B13884">
        <v>2.8727930000000002</v>
      </c>
      <c r="C13884">
        <f>LOG10(1.020496)</f>
        <v>8.8113067675894049E-3</v>
      </c>
      <c r="D13884">
        <f>LOG10(2.872793)</f>
        <v>0.45830433389430564</v>
      </c>
    </row>
    <row r="13885" spans="1:4">
      <c r="A13885">
        <v>1.0197700000000001</v>
      </c>
      <c r="B13885">
        <v>2.7775850000000002</v>
      </c>
      <c r="C13885">
        <f>LOG10(1.01977)</f>
        <v>8.5022315713460216E-3</v>
      </c>
      <c r="D13885">
        <f>LOG10(2.777585)</f>
        <v>0.44366735814976099</v>
      </c>
    </row>
    <row r="13886" spans="1:4">
      <c r="A13886">
        <v>1.0198990000000001</v>
      </c>
      <c r="B13886">
        <v>2.8955510000000002</v>
      </c>
      <c r="C13886">
        <f>LOG10(1.019899)</f>
        <v>8.5571659633873164E-3</v>
      </c>
      <c r="D13886">
        <f>LOG10(2.895551)</f>
        <v>0.4617312186644949</v>
      </c>
    </row>
    <row r="13887" spans="1:4">
      <c r="A13887">
        <v>1.0183420000000001</v>
      </c>
      <c r="B13887">
        <v>2.901745</v>
      </c>
      <c r="C13887">
        <f>LOG10(1.018342)</f>
        <v>7.8936559664327804E-3</v>
      </c>
      <c r="D13887">
        <f>LOG10(2.901745)</f>
        <v>0.46265924478029047</v>
      </c>
    </row>
    <row r="13888" spans="1:4">
      <c r="A13888">
        <v>1.0095540000000001</v>
      </c>
      <c r="B13888">
        <v>2.3602080000000001</v>
      </c>
      <c r="C13888">
        <f>LOG10(1.009554)</f>
        <v>4.1295538639103124E-3</v>
      </c>
      <c r="D13888">
        <f>LOG10(2.360208)</f>
        <v>0.37295027808522624</v>
      </c>
    </row>
    <row r="13889" spans="1:4">
      <c r="A13889">
        <v>1.0017659999999999</v>
      </c>
      <c r="B13889">
        <v>3.4862299999999999</v>
      </c>
      <c r="C13889">
        <f>LOG10(1.001766)</f>
        <v>7.6628762205052908E-4</v>
      </c>
      <c r="D13889">
        <f>LOG10(3.48623)</f>
        <v>0.54235603579628544</v>
      </c>
    </row>
    <row r="13890" spans="1:4">
      <c r="A13890">
        <v>1.0515110000000001</v>
      </c>
      <c r="B13890">
        <v>3.4593910000000001</v>
      </c>
      <c r="C13890">
        <f>LOG10(1.051511)</f>
        <v>2.1813820259917845E-2</v>
      </c>
      <c r="D13890">
        <f>LOG10(3.459391)</f>
        <v>0.53899965121519011</v>
      </c>
    </row>
    <row r="13891" spans="1:4">
      <c r="A13891">
        <v>1.004599</v>
      </c>
      <c r="B13891">
        <v>3.5223200000000001</v>
      </c>
      <c r="C13891">
        <f>LOG10(1.004599)</f>
        <v>1.9927415174404717E-3</v>
      </c>
      <c r="D13891">
        <f>LOG10(3.52232)</f>
        <v>0.54682880873550799</v>
      </c>
    </row>
    <row r="13892" spans="1:4">
      <c r="A13892">
        <v>1.002575</v>
      </c>
      <c r="B13892">
        <v>3.5769229999999999</v>
      </c>
      <c r="C13892">
        <f>LOG10(1.002575)</f>
        <v>1.1168709359069924E-3</v>
      </c>
      <c r="D13892">
        <f>LOG10(3.576923)</f>
        <v>0.55350959124345078</v>
      </c>
    </row>
    <row r="13893" spans="1:4">
      <c r="A13893">
        <v>1.001841</v>
      </c>
      <c r="B13893">
        <v>3.2598500000000001</v>
      </c>
      <c r="C13893">
        <f>LOG10(1.001841)</f>
        <v>7.9880107020476065E-4</v>
      </c>
      <c r="D13893">
        <f>LOG10(3.25985)</f>
        <v>0.51319761673326203</v>
      </c>
    </row>
    <row r="13894" spans="1:4">
      <c r="A13894">
        <v>1.008672</v>
      </c>
      <c r="B13894">
        <v>3.5593059999999999</v>
      </c>
      <c r="C13894">
        <f>LOG10(1.008672)</f>
        <v>3.7499652970956394E-3</v>
      </c>
      <c r="D13894">
        <f>LOG10(3.559306)</f>
        <v>0.55136532669413096</v>
      </c>
    </row>
    <row r="13895" spans="1:4">
      <c r="A13895">
        <v>1.0020720000000001</v>
      </c>
      <c r="B13895">
        <v>3.2816930000000002</v>
      </c>
      <c r="C13895">
        <f>LOG10(1.002072)</f>
        <v>8.9892719919744412E-4</v>
      </c>
      <c r="D13895">
        <f>LOG10(3.281693)</f>
        <v>0.51609795068351638</v>
      </c>
    </row>
    <row r="13896" spans="1:4">
      <c r="A13896">
        <v>1.0071939999999999</v>
      </c>
      <c r="B13896">
        <v>3.5540419999999999</v>
      </c>
      <c r="C13896">
        <f>LOG10(1.007194)</f>
        <v>3.1131299526130714E-3</v>
      </c>
      <c r="D13896">
        <f>LOG10(3.554042)</f>
        <v>0.55072255578792695</v>
      </c>
    </row>
    <row r="13897" spans="1:4">
      <c r="A13897">
        <v>1.007951</v>
      </c>
      <c r="B13897">
        <v>3.4493740000000002</v>
      </c>
      <c r="C13897">
        <f>LOG10(1.007951)</f>
        <v>3.4394200590474899E-3</v>
      </c>
      <c r="D13897">
        <f>LOG10(3.449374)</f>
        <v>0.53774028550405306</v>
      </c>
    </row>
    <row r="13898" spans="1:4">
      <c r="A13898">
        <v>1.0078389999999999</v>
      </c>
      <c r="B13898">
        <v>3.3454860000000002</v>
      </c>
      <c r="C13898">
        <f>LOG10(1.007839)</f>
        <v>3.3911600894839288E-3</v>
      </c>
      <c r="D13898">
        <f>LOG10(3.345486)</f>
        <v>0.52445921680834506</v>
      </c>
    </row>
    <row r="13899" spans="1:4">
      <c r="A13899">
        <v>1.0102279999999999</v>
      </c>
      <c r="B13899">
        <v>3.496931</v>
      </c>
      <c r="C13899">
        <f>LOG10(1.010228)</f>
        <v>4.4194014728778383E-3</v>
      </c>
      <c r="D13899">
        <f>LOG10(3.496931)</f>
        <v>0.54368706307421732</v>
      </c>
    </row>
    <row r="13900" spans="1:4">
      <c r="A13900">
        <v>1.0058210000000001</v>
      </c>
      <c r="B13900">
        <v>3.4001260000000002</v>
      </c>
      <c r="C13900">
        <f>LOG10(1.005821)</f>
        <v>2.5206987823348363E-3</v>
      </c>
      <c r="D13900">
        <f>LOG10(3.400126)</f>
        <v>0.53149501118660658</v>
      </c>
    </row>
    <row r="13901" spans="1:4">
      <c r="A13901">
        <v>1.009768</v>
      </c>
      <c r="B13901">
        <v>3.3511989999999998</v>
      </c>
      <c r="C13901">
        <f>LOG10(1.009768)</f>
        <v>4.2216035909723648E-3</v>
      </c>
      <c r="D13901">
        <f>LOG10(3.351199)</f>
        <v>0.52520021775942149</v>
      </c>
    </row>
    <row r="13902" spans="1:4">
      <c r="A13902">
        <v>1.013423</v>
      </c>
      <c r="B13902">
        <v>3.55457</v>
      </c>
      <c r="C13902">
        <f>LOG10(1.013423)</f>
        <v>5.7907565361931508E-3</v>
      </c>
      <c r="D13902">
        <f>LOG10(3.55457)</f>
        <v>0.55078707119174042</v>
      </c>
    </row>
    <row r="13903" spans="1:4">
      <c r="A13903">
        <v>1.0073799999999999</v>
      </c>
      <c r="B13903">
        <v>3.646271</v>
      </c>
      <c r="C13903">
        <f>LOG10(1.00738)</f>
        <v>3.1933243499035566E-3</v>
      </c>
      <c r="D13903">
        <f>LOG10(3.646271)</f>
        <v>0.56184894337294489</v>
      </c>
    </row>
    <row r="13904" spans="1:4">
      <c r="A13904">
        <v>1.0056879999999999</v>
      </c>
      <c r="B13904">
        <v>3.5120070000000001</v>
      </c>
      <c r="C13904">
        <f>LOG10(1.005688)</f>
        <v>2.4632681010131265E-3</v>
      </c>
      <c r="D13904">
        <f>LOG10(3.512007)</f>
        <v>0.54555537285432232</v>
      </c>
    </row>
    <row r="13905" spans="1:4">
      <c r="A13905">
        <v>1.0124040000000001</v>
      </c>
      <c r="B13905">
        <v>3.755744</v>
      </c>
      <c r="C13905">
        <f>LOG10(1.012404)</f>
        <v>5.3538523835851134E-3</v>
      </c>
      <c r="D13905">
        <f>LOG10(3.755744)</f>
        <v>0.57469598210940864</v>
      </c>
    </row>
    <row r="13906" spans="1:4">
      <c r="A13906">
        <v>1.0031270000000001</v>
      </c>
      <c r="B13906">
        <v>3.227481</v>
      </c>
      <c r="C13906">
        <f>LOG10(1.003127)</f>
        <v>1.3559199671821457E-3</v>
      </c>
      <c r="D13906">
        <f>LOG10(3.227481)</f>
        <v>0.5088636942786765</v>
      </c>
    </row>
    <row r="13907" spans="1:4">
      <c r="A13907">
        <v>1.0081869999999999</v>
      </c>
      <c r="B13907">
        <v>3.5633379999999999</v>
      </c>
      <c r="C13907">
        <f>LOG10(1.008187)</f>
        <v>3.5410931570172186E-3</v>
      </c>
      <c r="D13907">
        <f>LOG10(3.563338)</f>
        <v>0.55185701925607211</v>
      </c>
    </row>
    <row r="13908" spans="1:4">
      <c r="A13908">
        <v>1.014319</v>
      </c>
      <c r="B13908">
        <v>3.5345589999999998</v>
      </c>
      <c r="C13908">
        <f>LOG10(1.014319)</f>
        <v>6.1745606701619042E-3</v>
      </c>
      <c r="D13908">
        <f>LOG10(3.534559)</f>
        <v>0.54833523544153173</v>
      </c>
    </row>
    <row r="13909" spans="1:4">
      <c r="A13909">
        <v>1.0142119999999999</v>
      </c>
      <c r="B13909">
        <v>3.5524290000000001</v>
      </c>
      <c r="C13909">
        <f>LOG10(1.014212)</f>
        <v>6.128744747598453E-3</v>
      </c>
      <c r="D13909">
        <f>LOG10(3.552429)</f>
        <v>0.55052540673565054</v>
      </c>
    </row>
    <row r="13910" spans="1:4">
      <c r="A13910">
        <v>1.0092859999999999</v>
      </c>
      <c r="B13910">
        <v>3.7077650000000002</v>
      </c>
      <c r="C13910">
        <f>LOG10(1.009286)</f>
        <v>4.0142491128316365E-3</v>
      </c>
      <c r="D13910">
        <f>LOG10(3.707765)</f>
        <v>0.56911220054326295</v>
      </c>
    </row>
    <row r="13911" spans="1:4">
      <c r="A13911">
        <v>1.0143800000000001</v>
      </c>
      <c r="B13911">
        <v>3.5623649999999998</v>
      </c>
      <c r="C13911">
        <f>LOG10(1.01438)</f>
        <v>6.200677864880412E-3</v>
      </c>
      <c r="D13911">
        <f>LOG10(3.562365)</f>
        <v>0.55173841522962919</v>
      </c>
    </row>
    <row r="13912" spans="1:4">
      <c r="A13912">
        <v>1.0073190000000001</v>
      </c>
      <c r="B13912">
        <v>3.6980230000000001</v>
      </c>
      <c r="C13912">
        <f>LOG10(1.007319)</f>
        <v>3.1670256686572406E-3</v>
      </c>
      <c r="D13912">
        <f>LOG10(3.698023)</f>
        <v>0.56796960794322482</v>
      </c>
    </row>
    <row r="13913" spans="1:4">
      <c r="A13913">
        <v>1.014859</v>
      </c>
      <c r="B13913">
        <v>3.1397170000000001</v>
      </c>
      <c r="C13913">
        <f>LOG10(1.014859)</f>
        <v>6.405707494899656E-3</v>
      </c>
      <c r="D13913">
        <f>LOG10(3.139717)</f>
        <v>0.4968905044817245</v>
      </c>
    </row>
    <row r="13914" spans="1:4">
      <c r="A13914">
        <v>1.0100929999999999</v>
      </c>
      <c r="B13914">
        <v>3.0094650000000001</v>
      </c>
      <c r="C13914">
        <f>LOG10(1.010093)</f>
        <v>4.361361433553197E-3</v>
      </c>
      <c r="D13914">
        <f>LOG10(3.009465)</f>
        <v>0.47848929685660341</v>
      </c>
    </row>
    <row r="13915" spans="1:4">
      <c r="A13915">
        <v>1.013325</v>
      </c>
      <c r="B13915">
        <v>3.0725570000000002</v>
      </c>
      <c r="C13915">
        <f>LOG10(1.013325)</f>
        <v>5.748757373732245E-3</v>
      </c>
      <c r="D13915">
        <f>LOG10(3.072557)</f>
        <v>0.48749994837081068</v>
      </c>
    </row>
    <row r="13916" spans="1:4">
      <c r="A13916">
        <v>1.0139149999999999</v>
      </c>
      <c r="B13916">
        <v>3.6902740000000001</v>
      </c>
      <c r="C13916">
        <f>LOG10(1.013915)</f>
        <v>6.0015481153882552E-3</v>
      </c>
      <c r="D13916">
        <f>LOG10(3.690274)</f>
        <v>0.56705861338676389</v>
      </c>
    </row>
    <row r="13917" spans="1:4">
      <c r="A13917">
        <v>1.018805</v>
      </c>
      <c r="B13917">
        <v>3.5348839999999999</v>
      </c>
      <c r="C13917">
        <f>LOG10(1.018805)</f>
        <v>8.0910676883982815E-3</v>
      </c>
      <c r="D13917">
        <f>LOG10(3.534884)</f>
        <v>0.54837516665159114</v>
      </c>
    </row>
    <row r="13918" spans="1:4">
      <c r="A13918">
        <v>1.0156849999999999</v>
      </c>
      <c r="B13918">
        <v>3.3972889999999998</v>
      </c>
      <c r="C13918">
        <f>LOG10(1.015685)</f>
        <v>6.7590386828364985E-3</v>
      </c>
      <c r="D13918">
        <f>LOG10(3.397289)</f>
        <v>0.53113249293026932</v>
      </c>
    </row>
    <row r="13919" spans="1:4">
      <c r="A13919">
        <v>1.0139039999999999</v>
      </c>
      <c r="B13919">
        <v>3.2887919999999999</v>
      </c>
      <c r="C13919">
        <f>LOG10(1.013904)</f>
        <v>5.9968364135046309E-3</v>
      </c>
      <c r="D13919">
        <f>LOG10(3.288792)</f>
        <v>0.51703640735047351</v>
      </c>
    </row>
    <row r="13920" spans="1:4">
      <c r="A13920">
        <v>1.0146869999999999</v>
      </c>
      <c r="B13920">
        <v>3.4809519999999998</v>
      </c>
      <c r="C13920">
        <f>LOG10(1.014687)</f>
        <v>6.3320963019863445E-3</v>
      </c>
      <c r="D13920">
        <f>LOG10(3.480952)</f>
        <v>0.54169803469513067</v>
      </c>
    </row>
    <row r="13921" spans="1:4">
      <c r="A13921">
        <v>1.0084360000000001</v>
      </c>
      <c r="B13921">
        <v>3.4539569999999999</v>
      </c>
      <c r="C13921">
        <f>LOG10(1.008436)</f>
        <v>3.6483410923462689E-3</v>
      </c>
      <c r="D13921">
        <f>LOG10(3.453957)</f>
        <v>0.53831692652067953</v>
      </c>
    </row>
    <row r="13922" spans="1:4">
      <c r="A13922">
        <v>1.013371</v>
      </c>
      <c r="B13922">
        <v>3.3606220000000002</v>
      </c>
      <c r="C13922">
        <f>LOG10(1.013371)</f>
        <v>5.7684717721136263E-3</v>
      </c>
      <c r="D13922">
        <f>LOG10(3.360622)</f>
        <v>0.52641966613020619</v>
      </c>
    </row>
    <row r="13923" spans="1:4">
      <c r="A13923">
        <v>1.0038530000000001</v>
      </c>
      <c r="B13923">
        <v>3.4882170000000001</v>
      </c>
      <c r="C13923">
        <f>LOG10(1.003853)</f>
        <v>1.6701212124505865E-3</v>
      </c>
      <c r="D13923">
        <f>LOG10(3.488217)</f>
        <v>0.54260349431418342</v>
      </c>
    </row>
    <row r="13924" spans="1:4">
      <c r="A13924">
        <v>1.013709</v>
      </c>
      <c r="B13924">
        <v>3.4521609999999998</v>
      </c>
      <c r="C13924">
        <f>LOG10(1.013709)</f>
        <v>5.9133023029695293E-3</v>
      </c>
      <c r="D13924">
        <f>LOG10(3.452161)</f>
        <v>0.5380910419044358</v>
      </c>
    </row>
    <row r="13925" spans="1:4">
      <c r="A13925">
        <v>1.004669</v>
      </c>
      <c r="B13925">
        <v>3.2660429999999998</v>
      </c>
      <c r="C13925">
        <f>LOG10(1.004669)</f>
        <v>2.0230019045521298E-3</v>
      </c>
      <c r="D13925">
        <f>LOG10(3.266043)</f>
        <v>0.5140218982634136</v>
      </c>
    </row>
    <row r="13926" spans="1:4">
      <c r="A13926">
        <v>1.0096000000000001</v>
      </c>
      <c r="B13926">
        <v>3.2343009999999999</v>
      </c>
      <c r="C13926">
        <f>LOG10(1.0096)</f>
        <v>4.1493419000591166E-3</v>
      </c>
      <c r="D13926">
        <f>LOG10(3.234301)</f>
        <v>0.50978043503730175</v>
      </c>
    </row>
    <row r="13927" spans="1:4">
      <c r="A13927">
        <v>1.0041979999999999</v>
      </c>
      <c r="B13927">
        <v>3.4131520000000002</v>
      </c>
      <c r="C13927">
        <f>LOG10(1.004198)</f>
        <v>1.8193520813187497E-3</v>
      </c>
      <c r="D13927">
        <f>LOG10(3.413152)</f>
        <v>0.53315562941292949</v>
      </c>
    </row>
    <row r="13928" spans="1:4">
      <c r="A13928">
        <v>1.0095749999999999</v>
      </c>
      <c r="B13928">
        <v>3.2432569999999998</v>
      </c>
      <c r="C13928">
        <f>LOG10(1.009575)</f>
        <v>4.1385876444366898E-3</v>
      </c>
      <c r="D13928">
        <f>LOG10(3.243257)</f>
        <v>0.5109813641091504</v>
      </c>
    </row>
    <row r="13929" spans="1:4">
      <c r="A13929">
        <v>1.012686</v>
      </c>
      <c r="B13929">
        <v>3.175316</v>
      </c>
      <c r="C13929">
        <f>LOG10(1.012686)</f>
        <v>5.4748060643482399E-3</v>
      </c>
      <c r="D13929">
        <f>LOG10(3.175316)</f>
        <v>0.50178695174682908</v>
      </c>
    </row>
    <row r="13930" spans="1:4">
      <c r="A13930">
        <v>1.0155860000000001</v>
      </c>
      <c r="B13930">
        <v>3.1554090000000001</v>
      </c>
      <c r="C13930">
        <f>LOG10(1.015586)</f>
        <v>6.7167054306585278E-3</v>
      </c>
      <c r="D13930">
        <f>LOG10(3.155409)</f>
        <v>0.499055659913195</v>
      </c>
    </row>
    <row r="13931" spans="1:4">
      <c r="A13931">
        <v>1.005179</v>
      </c>
      <c r="B13931">
        <v>3.2766150000000001</v>
      </c>
      <c r="C13931">
        <f>LOG10(1.005179)</f>
        <v>2.2434068212667585E-3</v>
      </c>
      <c r="D13931">
        <f>LOG10(3.276615)</f>
        <v>0.51542541507835127</v>
      </c>
    </row>
    <row r="13932" spans="1:4">
      <c r="A13932">
        <v>1.012472</v>
      </c>
      <c r="B13932">
        <v>3.4406129999999999</v>
      </c>
      <c r="C13932">
        <f>LOG10(1.012472)</f>
        <v>5.3830216016315562E-3</v>
      </c>
      <c r="D13932">
        <f>LOG10(3.440613)</f>
        <v>0.53663582594365433</v>
      </c>
    </row>
    <row r="13933" spans="1:4">
      <c r="A13933">
        <v>1.0038830000000001</v>
      </c>
      <c r="B13933">
        <v>3.3796040000000001</v>
      </c>
      <c r="C13933">
        <f>LOG10(1.003883)</f>
        <v>1.6830998455557918E-3</v>
      </c>
      <c r="D13933">
        <f>LOG10(3.379604)</f>
        <v>0.52886581545806166</v>
      </c>
    </row>
    <row r="13934" spans="1:4">
      <c r="A13934">
        <v>1.0113479999999999</v>
      </c>
      <c r="B13934">
        <v>3.3029280000000001</v>
      </c>
      <c r="C13934">
        <f>LOG10(1.011348)</f>
        <v>4.9006199573653295E-3</v>
      </c>
      <c r="D13934">
        <f>LOG10(3.302928)</f>
        <v>0.51889910667854389</v>
      </c>
    </row>
    <row r="13935" spans="1:4">
      <c r="A13935">
        <v>1.0118149999999999</v>
      </c>
      <c r="B13935">
        <v>3.0967099999999999</v>
      </c>
      <c r="C13935">
        <f>LOG10(1.011815)</f>
        <v>5.1011134684179581E-3</v>
      </c>
      <c r="D13935">
        <f>LOG10(3.09671)</f>
        <v>0.49090053654928884</v>
      </c>
    </row>
    <row r="13936" spans="1:4">
      <c r="A13936">
        <v>1.0159320000000001</v>
      </c>
      <c r="B13936">
        <v>3.2545410000000001</v>
      </c>
      <c r="C13936">
        <f>LOG10(1.015932)</f>
        <v>6.864640021630849E-3</v>
      </c>
      <c r="D13936">
        <f>LOG10(3.254541)</f>
        <v>0.5124897470598343</v>
      </c>
    </row>
    <row r="13937" spans="1:4">
      <c r="A13937">
        <v>1.0057799999999999</v>
      </c>
      <c r="B13937">
        <v>3.3358819999999998</v>
      </c>
      <c r="C13937">
        <f>LOG10(1.00578)</f>
        <v>2.5029953970605429E-3</v>
      </c>
      <c r="D13937">
        <f>LOG10(3.335882)</f>
        <v>0.52321067995873816</v>
      </c>
    </row>
    <row r="13938" spans="1:4">
      <c r="A13938">
        <v>1.0076529999999999</v>
      </c>
      <c r="B13938">
        <v>3.3727900000000002</v>
      </c>
      <c r="C13938">
        <f>LOG10(1.007653)</f>
        <v>3.3110022184893208E-3</v>
      </c>
      <c r="D13938">
        <f>LOG10(3.37279)</f>
        <v>0.52798930155671098</v>
      </c>
    </row>
    <row r="13939" spans="1:4">
      <c r="A13939">
        <v>1.008656</v>
      </c>
      <c r="B13939">
        <v>3.4472939999999999</v>
      </c>
      <c r="C13939">
        <f>LOG10(1.008656)</f>
        <v>3.7430762718993352E-3</v>
      </c>
      <c r="D13939">
        <f>LOG10(3.447294)</f>
        <v>0.53747832348130598</v>
      </c>
    </row>
    <row r="13940" spans="1:4">
      <c r="A13940">
        <v>1.0062469999999999</v>
      </c>
      <c r="B13940">
        <v>3.430234</v>
      </c>
      <c r="C13940">
        <f>LOG10(1.006247)</f>
        <v>2.7045985829928071E-3</v>
      </c>
      <c r="D13940">
        <f>LOG10(3.430234)</f>
        <v>0.53532374728545773</v>
      </c>
    </row>
    <row r="13941" spans="1:4">
      <c r="A13941">
        <v>1.0041249999999999</v>
      </c>
      <c r="B13941">
        <v>3.3190019999999998</v>
      </c>
      <c r="C13941">
        <f>LOG10(1.004125)</f>
        <v>1.787779971461027E-3</v>
      </c>
      <c r="D13941">
        <f>LOG10(3.319002)</f>
        <v>0.52100751411053281</v>
      </c>
    </row>
    <row r="13942" spans="1:4">
      <c r="A13942">
        <v>1.0076210000000001</v>
      </c>
      <c r="B13942">
        <v>3.602579</v>
      </c>
      <c r="C13942">
        <f>LOG10(1.007621)</f>
        <v>3.2972101252831468E-3</v>
      </c>
      <c r="D13942">
        <f>LOG10(3.602579)</f>
        <v>0.55661351311902851</v>
      </c>
    </row>
    <row r="13943" spans="1:4">
      <c r="A13943">
        <v>1.018329</v>
      </c>
      <c r="B13943">
        <v>3.5011839999999999</v>
      </c>
      <c r="C13943">
        <f>LOG10(1.018329)</f>
        <v>7.88811179335344E-3</v>
      </c>
      <c r="D13943">
        <f>LOG10(3.501184)</f>
        <v>0.54421493512517183</v>
      </c>
    </row>
    <row r="13944" spans="1:4">
      <c r="A13944">
        <v>1.0194350000000001</v>
      </c>
      <c r="B13944">
        <v>3.5011939999999999</v>
      </c>
      <c r="C13944">
        <f>LOG10(1.019435)</f>
        <v>8.3595400295477362E-3</v>
      </c>
      <c r="D13944">
        <f>LOG10(3.501194)</f>
        <v>0.54421617554516033</v>
      </c>
    </row>
    <row r="13945" spans="1:4">
      <c r="A13945">
        <v>1.02275</v>
      </c>
      <c r="B13945">
        <v>3.549156</v>
      </c>
      <c r="C13945">
        <f>LOG10(1.02275)</f>
        <v>9.7694881704113914E-3</v>
      </c>
      <c r="D13945">
        <f>LOG10(3.549156)</f>
        <v>0.55012508879538402</v>
      </c>
    </row>
    <row r="13946" spans="1:4">
      <c r="A13946">
        <v>1.018235</v>
      </c>
      <c r="B13946">
        <v>3.5258470000000002</v>
      </c>
      <c r="C13946">
        <f>LOG10(1.018235)</f>
        <v>7.8480210509776424E-3</v>
      </c>
      <c r="D13946">
        <f>LOG10(3.525847)</f>
        <v>0.54726346267192305</v>
      </c>
    </row>
    <row r="13947" spans="1:4">
      <c r="A13947">
        <v>1.015701</v>
      </c>
      <c r="B13947">
        <v>3.5433979999999998</v>
      </c>
      <c r="C13947">
        <f>LOG10(1.015701)</f>
        <v>6.7658800332352931E-3</v>
      </c>
      <c r="D13947">
        <f>LOG10(3.543398)</f>
        <v>0.54941993570774328</v>
      </c>
    </row>
    <row r="13948" spans="1:4">
      <c r="A13948">
        <v>1.0116909999999999</v>
      </c>
      <c r="B13948">
        <v>3.4344960000000002</v>
      </c>
      <c r="C13948">
        <f>LOG10(1.011691)</f>
        <v>5.0478865288156854E-3</v>
      </c>
      <c r="D13948">
        <f>LOG10(3.434496)</f>
        <v>0.53586301490987887</v>
      </c>
    </row>
    <row r="13949" spans="1:4">
      <c r="A13949">
        <v>1.016194</v>
      </c>
      <c r="B13949">
        <v>3.4298820000000001</v>
      </c>
      <c r="C13949">
        <f>LOG10(1.016194)</f>
        <v>6.9766263402834495E-3</v>
      </c>
      <c r="D13949">
        <f>LOG10(3.429882)</f>
        <v>0.5352791790426572</v>
      </c>
    </row>
    <row r="13950" spans="1:4">
      <c r="A13950">
        <v>1.015684</v>
      </c>
      <c r="B13950">
        <v>3.4292370000000001</v>
      </c>
      <c r="C13950">
        <f>LOG10(1.015684)</f>
        <v>6.7586110948582761E-3</v>
      </c>
      <c r="D13950">
        <f>LOG10(3.429237)</f>
        <v>0.535197500931619</v>
      </c>
    </row>
    <row r="13951" spans="1:4">
      <c r="A13951">
        <v>1.019461</v>
      </c>
      <c r="B13951">
        <v>3.3752650000000002</v>
      </c>
      <c r="C13951">
        <f>LOG10(1.019461)</f>
        <v>8.3706162752513295E-3</v>
      </c>
      <c r="D13951">
        <f>LOG10(3.375265)</f>
        <v>0.52830787598768669</v>
      </c>
    </row>
    <row r="13952" spans="1:4">
      <c r="A13952">
        <v>1.017258</v>
      </c>
      <c r="B13952">
        <v>3.512121</v>
      </c>
      <c r="C13952">
        <f>LOG10(1.017258)</f>
        <v>7.43111395141629E-3</v>
      </c>
      <c r="D13952">
        <f>LOG10(3.512121)</f>
        <v>0.54556946985567001</v>
      </c>
    </row>
    <row r="13953" spans="1:4">
      <c r="A13953">
        <v>1.017647</v>
      </c>
      <c r="B13953">
        <v>3.4671460000000001</v>
      </c>
      <c r="C13953">
        <f>LOG10(1.017647)</f>
        <v>7.5971566467934694E-3</v>
      </c>
      <c r="D13953">
        <f>LOG10(3.467146)</f>
        <v>0.53997212999193711</v>
      </c>
    </row>
    <row r="13954" spans="1:4">
      <c r="A13954">
        <v>1.0163340000000001</v>
      </c>
      <c r="B13954">
        <v>3.3250829999999998</v>
      </c>
      <c r="C13954">
        <f>LOG10(1.016334)</f>
        <v>7.0364545222938559E-3</v>
      </c>
      <c r="D13954">
        <f>LOG10(3.325083)</f>
        <v>0.52180249053900385</v>
      </c>
    </row>
    <row r="13955" spans="1:4">
      <c r="A13955">
        <v>1.0184599999999999</v>
      </c>
      <c r="B13955">
        <v>3.294527</v>
      </c>
      <c r="C13955">
        <f>LOG10(1.01846)</f>
        <v>7.9439767623882534E-3</v>
      </c>
      <c r="D13955">
        <f>LOG10(3.294527)</f>
        <v>0.51779307111954298</v>
      </c>
    </row>
    <row r="13956" spans="1:4">
      <c r="A13956">
        <v>1.0152399999999999</v>
      </c>
      <c r="B13956">
        <v>3.4894449999999999</v>
      </c>
      <c r="C13956">
        <f>LOG10(1.01524)</f>
        <v>6.5687204312616897E-3</v>
      </c>
      <c r="D13956">
        <f>LOG10(3.489445)</f>
        <v>0.54275635744492357</v>
      </c>
    </row>
    <row r="13957" spans="1:4">
      <c r="A13957">
        <v>1.014011</v>
      </c>
      <c r="B13957">
        <v>3.5316149999999999</v>
      </c>
      <c r="C13957">
        <f>LOG10(1.014011)</f>
        <v>6.0426662531249363E-3</v>
      </c>
      <c r="D13957">
        <f>LOG10(3.531615)</f>
        <v>0.54797335275120962</v>
      </c>
    </row>
    <row r="13958" spans="1:4">
      <c r="A13958">
        <v>1.0172890000000001</v>
      </c>
      <c r="B13958">
        <v>3.5475539999999999</v>
      </c>
      <c r="C13958">
        <f>LOG10(1.017289)</f>
        <v>7.4443484738334099E-3</v>
      </c>
      <c r="D13958">
        <f>LOG10(3.547554)</f>
        <v>0.54992901490429169</v>
      </c>
    </row>
    <row r="13959" spans="1:4">
      <c r="A13959">
        <v>1.0383560000000001</v>
      </c>
      <c r="B13959">
        <v>3.3804289999999999</v>
      </c>
      <c r="C13959">
        <f>LOG10(1.038356)</f>
        <v>1.6346276757848381E-2</v>
      </c>
      <c r="D13959">
        <f>LOG10(3.380429)</f>
        <v>0.52897181877175814</v>
      </c>
    </row>
    <row r="13960" spans="1:4">
      <c r="A13960">
        <v>1.029982</v>
      </c>
      <c r="B13960">
        <v>3.2892709999999998</v>
      </c>
      <c r="C13960">
        <f>LOG10(1.029982)</f>
        <v>1.2829635026549307E-2</v>
      </c>
      <c r="D13960">
        <f>LOG10(3.289271)</f>
        <v>0.51709965607800912</v>
      </c>
    </row>
    <row r="13961" spans="1:4">
      <c r="A13961">
        <v>1.0267310000000001</v>
      </c>
      <c r="B13961">
        <v>3.2398829999999998</v>
      </c>
      <c r="C13961">
        <f>LOG10(1.026731)</f>
        <v>1.1456674835643849E-2</v>
      </c>
      <c r="D13961">
        <f>LOG10(3.239883)</f>
        <v>0.51052932706715171</v>
      </c>
    </row>
    <row r="13962" spans="1:4">
      <c r="A13962">
        <v>1.0130209999999999</v>
      </c>
      <c r="B13962">
        <v>3.2850259999999998</v>
      </c>
      <c r="C13962">
        <f>LOG10(1.013021)</f>
        <v>5.6184484102194693E-3</v>
      </c>
      <c r="D13962">
        <f>LOG10(3.285026)</f>
        <v>0.51653881122056189</v>
      </c>
    </row>
    <row r="13963" spans="1:4">
      <c r="A13963">
        <v>1.0111749999999999</v>
      </c>
      <c r="B13963">
        <v>3.2309429999999999</v>
      </c>
      <c r="C13963">
        <f>LOG10(1.011175)</f>
        <v>4.8263236991250118E-3</v>
      </c>
      <c r="D13963">
        <f>LOG10(3.230943)</f>
        <v>0.50932929630181978</v>
      </c>
    </row>
    <row r="13964" spans="1:4">
      <c r="A13964">
        <v>1.0147409999999999</v>
      </c>
      <c r="B13964">
        <v>3.347505</v>
      </c>
      <c r="C13964">
        <f>LOG10(1.014741)</f>
        <v>6.3552081364818868E-3</v>
      </c>
      <c r="D13964">
        <f>LOG10(3.347505)</f>
        <v>0.52472123436837448</v>
      </c>
    </row>
    <row r="13965" spans="1:4">
      <c r="A13965">
        <v>1.0185500000000001</v>
      </c>
      <c r="B13965">
        <v>3.381132</v>
      </c>
      <c r="C13965">
        <f>LOG10(1.01855)</f>
        <v>7.9823531114457339E-3</v>
      </c>
      <c r="D13965">
        <f>LOG10(3.381132)</f>
        <v>0.52906212603124403</v>
      </c>
    </row>
    <row r="13966" spans="1:4">
      <c r="A13966">
        <v>1.0286459999999999</v>
      </c>
      <c r="B13966">
        <v>3.4046569999999998</v>
      </c>
      <c r="C13966">
        <f>LOG10(1.028646)</f>
        <v>1.2265941625624572E-2</v>
      </c>
      <c r="D13966">
        <f>LOG10(3.404657)</f>
        <v>0.53207336573173125</v>
      </c>
    </row>
    <row r="13967" spans="1:4">
      <c r="A13967">
        <v>1.021879</v>
      </c>
      <c r="B13967">
        <v>3.4013559999999998</v>
      </c>
      <c r="C13967">
        <f>LOG10(1.021879)</f>
        <v>9.3994743276854253E-3</v>
      </c>
      <c r="D13967">
        <f>LOG10(3.401356)</f>
        <v>0.53165208937002728</v>
      </c>
    </row>
    <row r="13968" spans="1:4">
      <c r="A13968">
        <v>1.016867</v>
      </c>
      <c r="B13968">
        <v>3.424207</v>
      </c>
      <c r="C13968">
        <f>LOG10(1.016867)</f>
        <v>7.2641535684353133E-3</v>
      </c>
      <c r="D13968">
        <f>LOG10(3.424207)</f>
        <v>0.53456001074822757</v>
      </c>
    </row>
    <row r="13969" spans="1:4">
      <c r="A13969">
        <v>1.0270710000000001</v>
      </c>
      <c r="B13969">
        <v>3.3795380000000002</v>
      </c>
      <c r="C13969">
        <f>LOG10(1.027071)</f>
        <v>1.1600466812860755E-2</v>
      </c>
      <c r="D13969">
        <f>LOG10(3.379538)</f>
        <v>0.52885733407512681</v>
      </c>
    </row>
    <row r="13970" spans="1:4">
      <c r="A13970">
        <v>1.030132</v>
      </c>
      <c r="B13970">
        <v>3.5830799999999998</v>
      </c>
      <c r="C13970">
        <f>LOG10(1.030132)</f>
        <v>1.2892878296000075E-2</v>
      </c>
      <c r="D13970">
        <f>LOG10(3.58308)</f>
        <v>0.5542565048366902</v>
      </c>
    </row>
    <row r="13971" spans="1:4">
      <c r="A13971">
        <v>1.024392</v>
      </c>
      <c r="B13971">
        <v>3.5132850000000002</v>
      </c>
      <c r="C13971">
        <f>LOG10(1.024392)</f>
        <v>1.0466178182352929E-2</v>
      </c>
      <c r="D13971">
        <f>LOG10(3.513285)</f>
        <v>0.54571338147631121</v>
      </c>
    </row>
    <row r="13972" spans="1:4">
      <c r="A13972">
        <v>1.017611</v>
      </c>
      <c r="B13972">
        <v>3.4324210000000002</v>
      </c>
      <c r="C13972">
        <f>LOG10(1.017611)</f>
        <v>7.5817928930579578E-3</v>
      </c>
      <c r="D13972">
        <f>LOG10(3.432421)</f>
        <v>0.53560055037816046</v>
      </c>
    </row>
    <row r="13973" spans="1:4">
      <c r="A13973">
        <v>1.023407</v>
      </c>
      <c r="B13973">
        <v>3.352087</v>
      </c>
      <c r="C13973">
        <f>LOG10(1.023407)</f>
        <v>1.0048383176431121E-2</v>
      </c>
      <c r="D13973">
        <f>LOG10(3.352087)</f>
        <v>0.52531528177494646</v>
      </c>
    </row>
    <row r="13974" spans="1:4">
      <c r="A13974">
        <v>1.0148710000000001</v>
      </c>
      <c r="B13974">
        <v>3.4153769999999999</v>
      </c>
      <c r="C13974">
        <f>LOG10(1.014871)</f>
        <v>6.4108426939487448E-3</v>
      </c>
      <c r="D13974">
        <f>LOG10(3.415377)</f>
        <v>0.53343864944738573</v>
      </c>
    </row>
    <row r="13975" spans="1:4">
      <c r="A13975">
        <v>1.0169589999999999</v>
      </c>
      <c r="B13975">
        <v>3.3123879999999999</v>
      </c>
      <c r="C13975">
        <f>LOG10(1.016959)</f>
        <v>7.3034441393714138E-3</v>
      </c>
      <c r="D13975">
        <f>LOG10(3.312388)</f>
        <v>0.52014120262658514</v>
      </c>
    </row>
    <row r="13976" spans="1:4">
      <c r="A13976">
        <v>1.0189839999999999</v>
      </c>
      <c r="B13976">
        <v>3.3441079999999999</v>
      </c>
      <c r="C13976">
        <f>LOG10(1.018984)</f>
        <v>8.167364804989443E-3</v>
      </c>
      <c r="D13976">
        <f>LOG10(3.344108)</f>
        <v>0.52428029479767368</v>
      </c>
    </row>
    <row r="13977" spans="1:4">
      <c r="A13977">
        <v>1.0193890000000001</v>
      </c>
      <c r="B13977">
        <v>3.486796</v>
      </c>
      <c r="C13977">
        <f>LOG10(1.019389)</f>
        <v>8.3399429028012048E-3</v>
      </c>
      <c r="D13977">
        <f>LOG10(3.486796)</f>
        <v>0.5424265390978068</v>
      </c>
    </row>
    <row r="13978" spans="1:4">
      <c r="A13978">
        <v>1.021374</v>
      </c>
      <c r="B13978">
        <v>3.5087929999999998</v>
      </c>
      <c r="C13978">
        <f>LOG10(1.021374)</f>
        <v>9.1847983009507358E-3</v>
      </c>
      <c r="D13978">
        <f>LOG10(3.508793)</f>
        <v>0.54515774792202332</v>
      </c>
    </row>
    <row r="13979" spans="1:4">
      <c r="A13979">
        <v>1.023004</v>
      </c>
      <c r="B13979">
        <v>3.430669</v>
      </c>
      <c r="C13979">
        <f>LOG10(1.023004)</f>
        <v>9.8773318299816542E-3</v>
      </c>
      <c r="D13979">
        <f>LOG10(3.430669)</f>
        <v>0.5353788181995579</v>
      </c>
    </row>
    <row r="13980" spans="1:4">
      <c r="A13980">
        <v>1.0242979999999999</v>
      </c>
      <c r="B13980">
        <v>3.403432</v>
      </c>
      <c r="C13980">
        <f>LOG10(1.024298)</f>
        <v>1.0426324733243918E-2</v>
      </c>
      <c r="D13980">
        <f>LOG10(3.403432)</f>
        <v>0.53191707789645981</v>
      </c>
    </row>
    <row r="13981" spans="1:4">
      <c r="A13981">
        <v>1.033166</v>
      </c>
      <c r="B13981">
        <v>3.2859889999999998</v>
      </c>
      <c r="C13981">
        <f>LOG10(1.033166)</f>
        <v>1.4170105732651931E-2</v>
      </c>
      <c r="D13981">
        <f>LOG10(3.285989)</f>
        <v>0.51666610528063239</v>
      </c>
    </row>
    <row r="13982" spans="1:4">
      <c r="A13982">
        <v>1.033085</v>
      </c>
      <c r="B13982">
        <v>3.018049</v>
      </c>
      <c r="C13982">
        <f>LOG10(1.033085)</f>
        <v>1.4136055800623168E-2</v>
      </c>
      <c r="D13982">
        <f>LOG10(3.018049)</f>
        <v>0.47972628655185118</v>
      </c>
    </row>
    <row r="13983" spans="1:4">
      <c r="A13983">
        <v>1.024332</v>
      </c>
      <c r="B13983">
        <v>3.0812300000000001</v>
      </c>
      <c r="C13983">
        <f>LOG10(1.024332)</f>
        <v>1.0440740232759307E-2</v>
      </c>
      <c r="D13983">
        <f>LOG10(3.08123)</f>
        <v>0.48872411766217255</v>
      </c>
    </row>
    <row r="13984" spans="1:4">
      <c r="A13984">
        <v>1.01539</v>
      </c>
      <c r="B13984">
        <v>3.051593</v>
      </c>
      <c r="C13984">
        <f>LOG10(1.01539)</f>
        <v>6.6328819697044558E-3</v>
      </c>
      <c r="D13984">
        <f>LOG10(3.051593)</f>
        <v>0.48452661000336383</v>
      </c>
    </row>
    <row r="13985" spans="1:4">
      <c r="A13985">
        <v>1.0064109999999999</v>
      </c>
      <c r="B13985">
        <v>3.0367730000000002</v>
      </c>
      <c r="C13985">
        <f>LOG10(1.006411)</f>
        <v>2.7753749346529424E-3</v>
      </c>
      <c r="D13985">
        <f>LOG10(3.036773)</f>
        <v>0.48241232944479512</v>
      </c>
    </row>
    <row r="13986" spans="1:4">
      <c r="A13986">
        <v>1.0076320000000001</v>
      </c>
      <c r="B13986">
        <v>2.854851</v>
      </c>
      <c r="C13986">
        <f>LOG10(1.007632)</f>
        <v>3.3019512067264949E-3</v>
      </c>
      <c r="D13986">
        <f>LOG10(2.854851)</f>
        <v>0.45558344653407745</v>
      </c>
    </row>
    <row r="13987" spans="1:4">
      <c r="A13987">
        <v>1.004286</v>
      </c>
      <c r="B13987">
        <v>2.8479730000000001</v>
      </c>
      <c r="C13987">
        <f>LOG10(1.004286)</f>
        <v>1.8574085601674531E-3</v>
      </c>
      <c r="D13987">
        <f>LOG10(2.847973)</f>
        <v>0.45453586768722232</v>
      </c>
    </row>
    <row r="13988" spans="1:4">
      <c r="A13988">
        <v>1.01597</v>
      </c>
      <c r="B13988">
        <v>2.83541</v>
      </c>
      <c r="C13988">
        <f>LOG10(1.01597)</f>
        <v>6.8808841026094004E-3</v>
      </c>
      <c r="D13988">
        <f>LOG10(2.83541)</f>
        <v>0.4526158667080003</v>
      </c>
    </row>
    <row r="13989" spans="1:4">
      <c r="A13989">
        <v>1.019407</v>
      </c>
      <c r="B13989">
        <v>2.7840660000000002</v>
      </c>
      <c r="C13989">
        <f>LOG10(1.019407)</f>
        <v>8.3476114490161259E-3</v>
      </c>
      <c r="D13989">
        <f>LOG10(2.784066)</f>
        <v>0.44467952659084148</v>
      </c>
    </row>
    <row r="13990" spans="1:4">
      <c r="A13990">
        <v>1.0086649999999999</v>
      </c>
      <c r="B13990">
        <v>2.859937</v>
      </c>
      <c r="C13990">
        <f>LOG10(1.008665)</f>
        <v>3.7469513620184813E-3</v>
      </c>
      <c r="D13990">
        <f>LOG10(2.859937)</f>
        <v>0.45635646639697547</v>
      </c>
    </row>
    <row r="13991" spans="1:4">
      <c r="A13991">
        <v>1.0060340000000001</v>
      </c>
      <c r="B13991">
        <v>2.7514319999999999</v>
      </c>
      <c r="C13991">
        <f>LOG10(1.006034)</f>
        <v>2.6126584165937945E-3</v>
      </c>
      <c r="D13991">
        <f>LOG10(2.751432)</f>
        <v>0.43955878395084619</v>
      </c>
    </row>
    <row r="13992" spans="1:4">
      <c r="A13992">
        <v>1.0081599999999999</v>
      </c>
      <c r="B13992">
        <v>2.7729889999999999</v>
      </c>
      <c r="C13992">
        <f>LOG10(1.00816)</f>
        <v>3.5294622710515706E-3</v>
      </c>
      <c r="D13992">
        <f>LOG10(2.772989)</f>
        <v>0.44294814680513311</v>
      </c>
    </row>
    <row r="13993" spans="1:4">
      <c r="A13993">
        <v>1.0122500000000001</v>
      </c>
      <c r="B13993">
        <v>2.8687200000000002</v>
      </c>
      <c r="C13993">
        <f>LOG10(1.01225)</f>
        <v>5.2877854404510512E-3</v>
      </c>
      <c r="D13993">
        <f>LOG10(2.86872)</f>
        <v>0.45768816121594835</v>
      </c>
    </row>
    <row r="13994" spans="1:4">
      <c r="A13994">
        <v>1.0121899999999999</v>
      </c>
      <c r="B13994">
        <v>2.7853089999999998</v>
      </c>
      <c r="C13994">
        <f>LOG10(1.01219)</f>
        <v>5.2620423520691783E-3</v>
      </c>
      <c r="D13994">
        <f>LOG10(2.785309)</f>
        <v>0.44487338247232505</v>
      </c>
    </row>
    <row r="13995" spans="1:4">
      <c r="A13995">
        <v>1.010731</v>
      </c>
      <c r="B13995">
        <v>2.8697979999999998</v>
      </c>
      <c r="C13995">
        <f>LOG10(1.010731)</f>
        <v>4.6355860950380917E-3</v>
      </c>
      <c r="D13995">
        <f>LOG10(2.869798)</f>
        <v>0.45785132859017236</v>
      </c>
    </row>
    <row r="13996" spans="1:4">
      <c r="A13996">
        <v>1.0115559999999999</v>
      </c>
      <c r="B13996">
        <v>2.9983629999999999</v>
      </c>
      <c r="C13996">
        <f>LOG10(1.011556)</f>
        <v>4.9899304264278436E-3</v>
      </c>
      <c r="D13996">
        <f>LOG10(2.998363)</f>
        <v>0.47688421001779108</v>
      </c>
    </row>
    <row r="13997" spans="1:4">
      <c r="A13997">
        <v>1.019471</v>
      </c>
      <c r="B13997">
        <v>2.8803559999999999</v>
      </c>
      <c r="C13997">
        <f>LOG10(1.019471)</f>
        <v>8.3748762945350472E-3</v>
      </c>
      <c r="D13997">
        <f>LOG10(2.880356)</f>
        <v>0.45944616806501554</v>
      </c>
    </row>
    <row r="13998" spans="1:4">
      <c r="A13998">
        <v>1.020502</v>
      </c>
      <c r="B13998">
        <v>2.8409710000000001</v>
      </c>
      <c r="C13998">
        <f>LOG10(1.020502)</f>
        <v>8.8138601918371553E-3</v>
      </c>
      <c r="D13998">
        <f>LOG10(2.840971)</f>
        <v>0.45346680056409883</v>
      </c>
    </row>
    <row r="13999" spans="1:4">
      <c r="A13999">
        <v>1.0327710000000001</v>
      </c>
      <c r="B13999">
        <v>2.9274490000000002</v>
      </c>
      <c r="C13999">
        <f>LOG10(1.032771)</f>
        <v>1.4004034528697399E-2</v>
      </c>
      <c r="D13999">
        <f>LOG10(2.927449)</f>
        <v>0.46648933783099056</v>
      </c>
    </row>
    <row r="14000" spans="1:4">
      <c r="A14000">
        <v>1.01868</v>
      </c>
      <c r="B14000">
        <v>3.0142410000000002</v>
      </c>
      <c r="C14000">
        <f>LOG10(1.01868)</f>
        <v>8.0377796295355314E-3</v>
      </c>
      <c r="D14000">
        <f>LOG10(3.014241)</f>
        <v>0.47917797285779234</v>
      </c>
    </row>
    <row r="14001" spans="1:4">
      <c r="A14001">
        <v>1.017077</v>
      </c>
      <c r="B14001">
        <v>2.91011</v>
      </c>
      <c r="C14001">
        <f>LOG10(1.017077)</f>
        <v>7.3538333644609412E-3</v>
      </c>
      <c r="D14001">
        <f>LOG10(2.91011)</f>
        <v>0.46390940530553526</v>
      </c>
    </row>
    <row r="14002" spans="1:4">
      <c r="A14002">
        <v>1.0160210000000001</v>
      </c>
      <c r="B14002">
        <v>2.8761239999999999</v>
      </c>
      <c r="C14002">
        <f>LOG10(1.016021)</f>
        <v>6.9026844143053939E-3</v>
      </c>
      <c r="D14002">
        <f>LOG10(2.876124)</f>
        <v>0.45880760610404803</v>
      </c>
    </row>
    <row r="14003" spans="1:4">
      <c r="A14003">
        <v>1.0094479999999999</v>
      </c>
      <c r="B14003">
        <v>2.9598300000000002</v>
      </c>
      <c r="C14003">
        <f>LOG10(1.009448)</f>
        <v>4.083951912922535E-3</v>
      </c>
      <c r="D14003">
        <f>LOG10(2.95983)</f>
        <v>0.47126676775416676</v>
      </c>
    </row>
    <row r="14004" spans="1:4">
      <c r="A14004">
        <v>1.0090809999999999</v>
      </c>
      <c r="B14004">
        <v>2.9449860000000001</v>
      </c>
      <c r="C14004">
        <f>LOG10(1.009081)</f>
        <v>3.9260289139319178E-3</v>
      </c>
      <c r="D14004">
        <f>LOG10(2.944986)</f>
        <v>0.46908323456040446</v>
      </c>
    </row>
    <row r="14005" spans="1:4">
      <c r="A14005">
        <v>1.0067820000000001</v>
      </c>
      <c r="B14005">
        <v>2.9415640000000001</v>
      </c>
      <c r="C14005">
        <f>LOG10(1.006782)</f>
        <v>2.9354423048555144E-3</v>
      </c>
      <c r="D14005">
        <f>LOG10(2.941564)</f>
        <v>0.46857830182918397</v>
      </c>
    </row>
    <row r="14006" spans="1:4">
      <c r="A14006">
        <v>1.0048029999999999</v>
      </c>
      <c r="B14006">
        <v>3.0207039999999998</v>
      </c>
      <c r="C14006">
        <f>LOG10(1.004803)</f>
        <v>2.0809230506653714E-3</v>
      </c>
      <c r="D14006">
        <f>LOG10(3.020704)</f>
        <v>0.4801081706672467</v>
      </c>
    </row>
    <row r="14007" spans="1:4">
      <c r="A14007">
        <v>1.0168630000000001</v>
      </c>
      <c r="B14007">
        <v>3.0317409999999998</v>
      </c>
      <c r="C14007">
        <f>LOG10(1.016863)</f>
        <v>7.2624452021058904E-3</v>
      </c>
      <c r="D14007">
        <f>LOG10(3.031741)</f>
        <v>0.4816920970011353</v>
      </c>
    </row>
    <row r="14008" spans="1:4">
      <c r="A14008">
        <v>1.036206</v>
      </c>
      <c r="B14008">
        <v>3.0634950000000001</v>
      </c>
      <c r="C14008">
        <f>LOG10(1.036206)</f>
        <v>1.5446102677359148E-2</v>
      </c>
      <c r="D14008">
        <f>LOG10(3.063495)</f>
        <v>0.48621717584663066</v>
      </c>
    </row>
    <row r="14009" spans="1:4">
      <c r="A14009">
        <v>1.026492</v>
      </c>
      <c r="B14009">
        <v>3.0244659999999999</v>
      </c>
      <c r="C14009">
        <f>LOG10(1.026492)</f>
        <v>1.135556903111729E-2</v>
      </c>
      <c r="D14009">
        <f>LOG10(3.024466)</f>
        <v>0.48064870668255566</v>
      </c>
    </row>
    <row r="14010" spans="1:4">
      <c r="A14010">
        <v>1.0103800000000001</v>
      </c>
      <c r="B14010">
        <v>2.9027859999999999</v>
      </c>
      <c r="C14010">
        <f>LOG10(1.01038)</f>
        <v>4.4847409760114271E-3</v>
      </c>
      <c r="D14010">
        <f>LOG10(2.902786)</f>
        <v>0.46281501983274803</v>
      </c>
    </row>
    <row r="14011" spans="1:4">
      <c r="A14011">
        <v>1.009501</v>
      </c>
      <c r="B14011">
        <v>2.970113</v>
      </c>
      <c r="C14011">
        <f>LOG10(1.009501)</f>
        <v>4.1067534869555543E-3</v>
      </c>
      <c r="D14011">
        <f>LOG10(2.970113)</f>
        <v>0.47277297266498736</v>
      </c>
    </row>
    <row r="14012" spans="1:4">
      <c r="A14012">
        <v>1.0168619999999999</v>
      </c>
      <c r="B14012">
        <v>2.806772</v>
      </c>
      <c r="C14012">
        <f>LOG10(1.016862)</f>
        <v>7.262018109473441E-3</v>
      </c>
      <c r="D14012">
        <f>LOG10(2.806772)</f>
        <v>0.44820713541194834</v>
      </c>
    </row>
    <row r="14013" spans="1:4">
      <c r="A14013">
        <v>1.0069429999999999</v>
      </c>
      <c r="B14013">
        <v>2.825599</v>
      </c>
      <c r="C14013">
        <f>LOG10(1.006943)</f>
        <v>3.0048871513319152E-3</v>
      </c>
      <c r="D14013">
        <f>LOG10(2.825599)</f>
        <v>0.45111052819753161</v>
      </c>
    </row>
    <row r="14014" spans="1:4">
      <c r="A14014">
        <v>1.0043610000000001</v>
      </c>
      <c r="B14014">
        <v>2.915565</v>
      </c>
      <c r="C14014">
        <f>LOG10(1.004361)</f>
        <v>1.8898404271484623E-3</v>
      </c>
      <c r="D14014">
        <f>LOG10(2.915565)</f>
        <v>0.46472272808484549</v>
      </c>
    </row>
    <row r="14015" spans="1:4">
      <c r="A14015">
        <v>1.007152</v>
      </c>
      <c r="B14015">
        <v>2.840544</v>
      </c>
      <c r="C14015">
        <f>LOG10(1.007152)</f>
        <v>3.0950194907137492E-3</v>
      </c>
      <c r="D14015">
        <f>LOG10(2.840544)</f>
        <v>0.45340152088284408</v>
      </c>
    </row>
    <row r="14016" spans="1:4">
      <c r="A14016">
        <v>1.0126809999999999</v>
      </c>
      <c r="B14016">
        <v>2.8842140000000001</v>
      </c>
      <c r="C14016">
        <f>LOG10(1.012681)</f>
        <v>5.4726617888568993E-3</v>
      </c>
      <c r="D14016">
        <f>LOG10(2.884214)</f>
        <v>0.46002748058662313</v>
      </c>
    </row>
    <row r="14017" spans="1:4">
      <c r="A14017">
        <v>1.005077</v>
      </c>
      <c r="B14017">
        <v>2.953376</v>
      </c>
      <c r="C14017">
        <f>LOG10(1.005077)</f>
        <v>2.1993347854741357E-3</v>
      </c>
      <c r="D14017">
        <f>LOG10(2.953376)</f>
        <v>0.4703187413538597</v>
      </c>
    </row>
    <row r="14018" spans="1:4">
      <c r="A14018">
        <v>1.0028980000000001</v>
      </c>
      <c r="B14018">
        <v>2.851105</v>
      </c>
      <c r="C14018">
        <f>LOG10(1.002898)</f>
        <v>1.2567652340279001E-3</v>
      </c>
      <c r="D14018">
        <f>LOG10(2.851105)</f>
        <v>0.45501321172576942</v>
      </c>
    </row>
    <row r="14019" spans="1:4">
      <c r="A14019">
        <v>1.0049680000000001</v>
      </c>
      <c r="B14019">
        <v>2.9160599999999999</v>
      </c>
      <c r="C14019">
        <f>LOG10(1.004968)</f>
        <v>2.1522332543404358E-3</v>
      </c>
      <c r="D14019">
        <f>LOG10(2.91606)</f>
        <v>0.46479645565445377</v>
      </c>
    </row>
    <row r="14020" spans="1:4">
      <c r="A14020">
        <v>1.0162070000000001</v>
      </c>
      <c r="B14020">
        <v>2.8900839999999999</v>
      </c>
      <c r="C14020">
        <f>LOG10(1.016207)</f>
        <v>6.982182161467199E-3</v>
      </c>
      <c r="D14020">
        <f>LOG10(2.890084)</f>
        <v>0.46091046566530919</v>
      </c>
    </row>
    <row r="14021" spans="1:4">
      <c r="A14021">
        <v>1.0043979999999999</v>
      </c>
      <c r="B14021">
        <v>3.130871</v>
      </c>
      <c r="C14021">
        <f>LOG10(1.004398)</f>
        <v>1.905839256109198E-3</v>
      </c>
      <c r="D14021">
        <f>LOG10(3.130871)</f>
        <v>0.49566517392725812</v>
      </c>
    </row>
    <row r="14022" spans="1:4">
      <c r="A14022">
        <v>1.0046820000000001</v>
      </c>
      <c r="B14022">
        <v>2.9705979999999998</v>
      </c>
      <c r="C14022">
        <f>LOG10(1.004682)</f>
        <v>2.0286214585920549E-3</v>
      </c>
      <c r="D14022">
        <f>LOG10(2.970598)</f>
        <v>0.47284388431990243</v>
      </c>
    </row>
    <row r="14023" spans="1:4">
      <c r="A14023">
        <v>1.0105869999999999</v>
      </c>
      <c r="B14023">
        <v>2.9996689999999999</v>
      </c>
      <c r="C14023">
        <f>LOG10(1.010587)</f>
        <v>4.5737072560825881E-3</v>
      </c>
      <c r="D14023">
        <f>LOG10(2.999669)</f>
        <v>0.47707333491820142</v>
      </c>
    </row>
    <row r="14024" spans="1:4">
      <c r="A14024">
        <v>1.0139940000000001</v>
      </c>
      <c r="B14024">
        <v>3.0216850000000002</v>
      </c>
      <c r="C14024">
        <f>LOG10(1.013994)</f>
        <v>6.0353851998804922E-3</v>
      </c>
      <c r="D14024">
        <f>LOG10(3.021685)</f>
        <v>0.48024918869521227</v>
      </c>
    </row>
    <row r="14025" spans="1:4">
      <c r="A14025">
        <v>1.0042139999999999</v>
      </c>
      <c r="B14025">
        <v>3.0345360000000001</v>
      </c>
      <c r="C14025">
        <f>LOG10(1.004214)</f>
        <v>1.8262716891587804E-3</v>
      </c>
      <c r="D14025">
        <f>LOG10(3.034536)</f>
        <v>0.48209229407845766</v>
      </c>
    </row>
    <row r="14026" spans="1:4">
      <c r="A14026">
        <v>1.0133369999999999</v>
      </c>
      <c r="B14026">
        <v>2.88794</v>
      </c>
      <c r="C14026">
        <f>LOG10(1.013337)</f>
        <v>5.7539003465445406E-3</v>
      </c>
      <c r="D14026">
        <f>LOG10(2.88794)</f>
        <v>0.46058816606532998</v>
      </c>
    </row>
    <row r="14027" spans="1:4">
      <c r="A14027">
        <v>1.539649</v>
      </c>
      <c r="B14027">
        <v>2.8446289999999999</v>
      </c>
      <c r="C14027">
        <f>LOG10(1.539649)</f>
        <v>0.18742172425353554</v>
      </c>
      <c r="D14027">
        <f>LOG10(2.844629)</f>
        <v>0.45402563320586137</v>
      </c>
    </row>
    <row r="14028" spans="1:4">
      <c r="A14028">
        <v>1.045615</v>
      </c>
      <c r="B14028">
        <v>2.9559220000000002</v>
      </c>
      <c r="C14028">
        <f>LOG10(1.045615)</f>
        <v>1.9371804842669232E-2</v>
      </c>
      <c r="D14028">
        <f>LOG10(2.955922)</f>
        <v>0.47069296983898373</v>
      </c>
    </row>
    <row r="14029" spans="1:4">
      <c r="A14029">
        <v>1.0144029999999999</v>
      </c>
      <c r="B14029">
        <v>2.8678919999999999</v>
      </c>
      <c r="C14029">
        <f>LOG10(1.014403)</f>
        <v>6.2105249240130573E-3</v>
      </c>
      <c r="D14029">
        <f>LOG10(2.867892)</f>
        <v>0.45756279250231979</v>
      </c>
    </row>
    <row r="14030" spans="1:4">
      <c r="A14030">
        <v>1.008904</v>
      </c>
      <c r="B14030">
        <v>2.993833</v>
      </c>
      <c r="C14030">
        <f>LOG10(1.008904)</f>
        <v>3.8498438843167847E-3</v>
      </c>
      <c r="D14030">
        <f>LOG10(2.993833)</f>
        <v>0.47622757115690939</v>
      </c>
    </row>
    <row r="14031" spans="1:4">
      <c r="A14031">
        <v>1.0174909999999999</v>
      </c>
      <c r="B14031">
        <v>3.0286719999999998</v>
      </c>
      <c r="C14031">
        <f>LOG10(1.017491)</f>
        <v>7.5305764548756534E-3</v>
      </c>
      <c r="D14031">
        <f>LOG10(3.028672)</f>
        <v>0.48125224252953608</v>
      </c>
    </row>
    <row r="14032" spans="1:4">
      <c r="A14032">
        <v>1.013844</v>
      </c>
      <c r="B14032">
        <v>2.9774319999999999</v>
      </c>
      <c r="C14032">
        <f>LOG10(1.013844)</f>
        <v>5.9711353215328687E-3</v>
      </c>
      <c r="D14032">
        <f>LOG10(2.977432)</f>
        <v>0.47384185164532727</v>
      </c>
    </row>
    <row r="14033" spans="1:4">
      <c r="A14033">
        <v>1.036322</v>
      </c>
      <c r="B14033">
        <v>2.8778049999999999</v>
      </c>
      <c r="C14033">
        <f>LOG10(1.036322)</f>
        <v>1.5494717856457703E-2</v>
      </c>
      <c r="D14033">
        <f>LOG10(2.877805)</f>
        <v>0.45906136281354148</v>
      </c>
    </row>
    <row r="14034" spans="1:4">
      <c r="A14034">
        <v>1.0226040000000001</v>
      </c>
      <c r="B14034">
        <v>2.9517319999999998</v>
      </c>
      <c r="C14034">
        <f>LOG10(1.022604)</f>
        <v>9.7074871725737963E-3</v>
      </c>
      <c r="D14034">
        <f>LOG10(2.951732)</f>
        <v>0.47007692354233266</v>
      </c>
    </row>
    <row r="14035" spans="1:4">
      <c r="A14035">
        <v>1.025652</v>
      </c>
      <c r="B14035">
        <v>3.0448170000000001</v>
      </c>
      <c r="C14035">
        <f>LOG10(1.025652)</f>
        <v>1.1000031227558542E-2</v>
      </c>
      <c r="D14035">
        <f>LOG10(3.044817)</f>
        <v>0.48356119572801542</v>
      </c>
    </row>
    <row r="14036" spans="1:4">
      <c r="A14036">
        <v>1.0232460000000001</v>
      </c>
      <c r="B14036">
        <v>2.9352330000000002</v>
      </c>
      <c r="C14036">
        <f>LOG10(1.023246)</f>
        <v>9.980055607731797E-3</v>
      </c>
      <c r="D14036">
        <f>LOG10(2.935233)</f>
        <v>0.46764258142618897</v>
      </c>
    </row>
    <row r="14037" spans="1:4">
      <c r="A14037">
        <v>1.0224679999999999</v>
      </c>
      <c r="B14037">
        <v>3.0026419999999998</v>
      </c>
      <c r="C14037">
        <f>LOG10(1.022468)</f>
        <v>9.6497248545468796E-3</v>
      </c>
      <c r="D14037">
        <f>LOG10(3.002642)</f>
        <v>0.47750355507849818</v>
      </c>
    </row>
    <row r="14038" spans="1:4">
      <c r="A14038">
        <v>1.0182720000000001</v>
      </c>
      <c r="B14038">
        <v>2.963422</v>
      </c>
      <c r="C14038">
        <f>LOG10(1.018272)</f>
        <v>7.8638018912420924E-3</v>
      </c>
      <c r="D14038">
        <f>LOG10(2.963422)</f>
        <v>0.47179350069418835</v>
      </c>
    </row>
    <row r="14039" spans="1:4">
      <c r="A14039">
        <v>1.01539</v>
      </c>
      <c r="B14039">
        <v>2.8552689999999998</v>
      </c>
      <c r="C14039">
        <f>LOG10(1.01539)</f>
        <v>6.6328819697044558E-3</v>
      </c>
      <c r="D14039">
        <f>LOG10(2.855269)</f>
        <v>0.45564703016936348</v>
      </c>
    </row>
    <row r="14040" spans="1:4">
      <c r="A14040">
        <v>1.02091</v>
      </c>
      <c r="B14040">
        <v>2.9172099999999999</v>
      </c>
      <c r="C14040">
        <f>LOG10(1.02091)</f>
        <v>8.987457830114785E-3</v>
      </c>
      <c r="D14040">
        <f>LOG10(2.91721)</f>
        <v>0.46496769362583484</v>
      </c>
    </row>
    <row r="14041" spans="1:4">
      <c r="A14041">
        <v>1.030823</v>
      </c>
      <c r="B14041">
        <v>3.0399029999999998</v>
      </c>
      <c r="C14041">
        <f>LOG10(1.030823)</f>
        <v>1.3184100082249814E-2</v>
      </c>
      <c r="D14041">
        <f>LOG10(3.039903)</f>
        <v>0.48285972596505505</v>
      </c>
    </row>
    <row r="14042" spans="1:4">
      <c r="A14042">
        <v>1.01868</v>
      </c>
      <c r="B14042">
        <v>2.9924010000000001</v>
      </c>
      <c r="C14042">
        <f>LOG10(1.01868)</f>
        <v>8.0377796295355314E-3</v>
      </c>
      <c r="D14042">
        <f>LOG10(2.992401)</f>
        <v>0.47601979120378757</v>
      </c>
    </row>
    <row r="14043" spans="1:4">
      <c r="A14043">
        <v>1.015282</v>
      </c>
      <c r="B14043">
        <v>2.9263340000000002</v>
      </c>
      <c r="C14043">
        <f>LOG10(1.015282)</f>
        <v>6.5866866175355449E-3</v>
      </c>
      <c r="D14043">
        <f>LOG10(2.926334)</f>
        <v>0.46632389324475348</v>
      </c>
    </row>
    <row r="14044" spans="1:4">
      <c r="A14044">
        <v>1.0207489999999999</v>
      </c>
      <c r="B14044">
        <v>2.968728</v>
      </c>
      <c r="C14044">
        <f>LOG10(1.020749)</f>
        <v>8.918963128765155E-3</v>
      </c>
      <c r="D14044">
        <f>LOG10(2.968728)</f>
        <v>0.47257040860632993</v>
      </c>
    </row>
    <row r="14045" spans="1:4">
      <c r="A14045">
        <v>1.019487</v>
      </c>
      <c r="B14045">
        <v>3.0307050000000002</v>
      </c>
      <c r="C14045">
        <f>LOG10(1.019487)</f>
        <v>8.3816922384736692E-3</v>
      </c>
      <c r="D14045">
        <f>LOG10(3.030705)</f>
        <v>0.48154366546454713</v>
      </c>
    </row>
    <row r="14046" spans="1:4">
      <c r="A14046">
        <v>1.020759</v>
      </c>
      <c r="B14046">
        <v>2.933516</v>
      </c>
      <c r="C14046">
        <f>LOG10(1.020759)</f>
        <v>8.9232177727039449E-3</v>
      </c>
      <c r="D14046">
        <f>LOG10(2.933516)</f>
        <v>0.4673884612902951</v>
      </c>
    </row>
    <row r="14047" spans="1:4">
      <c r="A14047">
        <v>1.0164800000000001</v>
      </c>
      <c r="B14047">
        <v>2.9712869999999998</v>
      </c>
      <c r="C14047">
        <f>LOG10(1.01648)</f>
        <v>7.0988379911866226E-3</v>
      </c>
      <c r="D14047">
        <f>LOG10(2.971287)</f>
        <v>0.4729446028290531</v>
      </c>
    </row>
    <row r="14048" spans="1:4">
      <c r="A14048">
        <v>1.0242560000000001</v>
      </c>
      <c r="B14048">
        <v>3.0294629999999998</v>
      </c>
      <c r="C14048">
        <f>LOG10(1.024256)</f>
        <v>1.0408516690846756E-2</v>
      </c>
      <c r="D14048">
        <f>LOG10(3.029463)</f>
        <v>0.48136565265893649</v>
      </c>
    </row>
    <row r="14049" spans="1:4">
      <c r="A14049">
        <v>1.0208820000000001</v>
      </c>
      <c r="B14049">
        <v>2.8970549999999999</v>
      </c>
      <c r="C14049">
        <f>LOG10(1.020882)</f>
        <v>8.9755464841069482E-3</v>
      </c>
      <c r="D14049">
        <f>LOG10(2.897055)</f>
        <v>0.46195674027444389</v>
      </c>
    </row>
    <row r="14050" spans="1:4">
      <c r="A14050">
        <v>1.03264</v>
      </c>
      <c r="B14050">
        <v>3.1557659999999998</v>
      </c>
      <c r="C14050">
        <f>LOG10(1.03264)</f>
        <v>1.3948943723810952E-2</v>
      </c>
      <c r="D14050">
        <f>LOG10(3.155766)</f>
        <v>0.49910479280214348</v>
      </c>
    </row>
    <row r="14051" spans="1:4">
      <c r="A14051">
        <v>1.025957</v>
      </c>
      <c r="B14051">
        <v>2.7795350000000001</v>
      </c>
      <c r="C14051">
        <f>LOG10(1.025957)</f>
        <v>1.1129158968718109E-2</v>
      </c>
      <c r="D14051">
        <f>LOG10(2.779535)</f>
        <v>0.4439721470600132</v>
      </c>
    </row>
    <row r="14052" spans="1:4">
      <c r="A14052">
        <v>1.0252129999999999</v>
      </c>
      <c r="B14052">
        <v>2.9368319999999999</v>
      </c>
      <c r="C14052">
        <f>LOG10(1.025213)</f>
        <v>1.08141045278806E-2</v>
      </c>
      <c r="D14052">
        <f>LOG10(2.936832)</f>
        <v>0.46787910363557444</v>
      </c>
    </row>
    <row r="14053" spans="1:4">
      <c r="A14053">
        <v>1.0209440000000001</v>
      </c>
      <c r="B14053">
        <v>2.809793</v>
      </c>
      <c r="C14053">
        <f>LOG10(1.020944)</f>
        <v>9.0019211682242813E-3</v>
      </c>
      <c r="D14053">
        <f>LOG10(2.809793)</f>
        <v>0.44867432621499392</v>
      </c>
    </row>
    <row r="14054" spans="1:4">
      <c r="A14054">
        <v>1.017352</v>
      </c>
      <c r="B14054">
        <v>2.9873759999999998</v>
      </c>
      <c r="C14054">
        <f>LOG10(1.017352)</f>
        <v>7.4712431961639E-3</v>
      </c>
      <c r="D14054">
        <f>LOG10(2.987376)</f>
        <v>0.47528988763539221</v>
      </c>
    </row>
    <row r="14055" spans="1:4">
      <c r="A14055">
        <v>1.021306</v>
      </c>
      <c r="B14055">
        <v>3.0344350000000002</v>
      </c>
      <c r="C14055">
        <f>LOG10(1.021306)</f>
        <v>9.1558833218249678E-3</v>
      </c>
      <c r="D14055">
        <f>LOG10(3.034435)</f>
        <v>0.48207783899449819</v>
      </c>
    </row>
    <row r="14056" spans="1:4">
      <c r="A14056">
        <v>1.0200560000000001</v>
      </c>
      <c r="B14056">
        <v>3.0106540000000002</v>
      </c>
      <c r="C14056">
        <f>LOG10(1.020056)</f>
        <v>8.6240147260251369E-3</v>
      </c>
      <c r="D14056">
        <f>LOG10(3.010654)</f>
        <v>0.4786608470022724</v>
      </c>
    </row>
    <row r="14057" spans="1:4">
      <c r="A14057">
        <v>1.023552</v>
      </c>
      <c r="B14057">
        <v>2.706283</v>
      </c>
      <c r="C14057">
        <f>LOG10(1.023552)</f>
        <v>1.0109911228513579E-2</v>
      </c>
      <c r="D14057">
        <f>LOG10(2.706283)</f>
        <v>0.43237320945005886</v>
      </c>
    </row>
    <row r="14058" spans="1:4">
      <c r="A14058">
        <v>1.015903</v>
      </c>
      <c r="B14058">
        <v>2.661435</v>
      </c>
      <c r="C14058">
        <f>LOG10(1.015903)</f>
        <v>6.8522428142039921E-3</v>
      </c>
      <c r="D14058">
        <f>LOG10(2.661435)</f>
        <v>0.42511586390120654</v>
      </c>
    </row>
    <row r="14059" spans="1:4">
      <c r="A14059">
        <v>1.025169</v>
      </c>
      <c r="B14059">
        <v>3.009989</v>
      </c>
      <c r="C14059">
        <f>LOG10(1.025169)</f>
        <v>1.0795465116096213E-2</v>
      </c>
      <c r="D14059">
        <f>LOG10(3.009989)</f>
        <v>0.47856490846825195</v>
      </c>
    </row>
    <row r="14060" spans="1:4">
      <c r="A14060">
        <v>1.021533</v>
      </c>
      <c r="B14060">
        <v>2.8532519999999999</v>
      </c>
      <c r="C14060">
        <f>LOG10(1.021533)</f>
        <v>9.2524008132159104E-3</v>
      </c>
      <c r="D14060">
        <f>LOG10(2.853252)</f>
        <v>0.45534013035890403</v>
      </c>
    </row>
    <row r="14061" spans="1:4">
      <c r="A14061">
        <v>1.0304180000000001</v>
      </c>
      <c r="B14061">
        <v>3.1224970000000001</v>
      </c>
      <c r="C14061">
        <f>LOG10(1.030418)</f>
        <v>1.3013436615499191E-2</v>
      </c>
      <c r="D14061">
        <f>LOG10(3.122497)</f>
        <v>0.49450202978946484</v>
      </c>
    </row>
    <row r="14062" spans="1:4">
      <c r="A14062">
        <v>1.0186850000000001</v>
      </c>
      <c r="B14062">
        <v>2.8830849999999999</v>
      </c>
      <c r="C14062">
        <f>LOG10(1.018685)</f>
        <v>8.0399112774332173E-3</v>
      </c>
      <c r="D14062">
        <f>LOG10(2.883085)</f>
        <v>0.45985744658064143</v>
      </c>
    </row>
    <row r="14063" spans="1:4">
      <c r="A14063">
        <v>1.0301389999999999</v>
      </c>
      <c r="B14063">
        <v>3.0075229999999999</v>
      </c>
      <c r="C14063">
        <f>LOG10(1.030139)</f>
        <v>1.2895829423665588E-2</v>
      </c>
      <c r="D14063">
        <f>LOG10(3.007523)</f>
        <v>0.47820895728699098</v>
      </c>
    </row>
    <row r="14064" spans="1:4">
      <c r="A14064">
        <v>1.0161849999999999</v>
      </c>
      <c r="B14064">
        <v>2.9709089999999998</v>
      </c>
      <c r="C14064">
        <f>LOG10(1.016185)</f>
        <v>6.972779960905175E-3</v>
      </c>
      <c r="D14064">
        <f>LOG10(2.970909)</f>
        <v>0.47288934941284777</v>
      </c>
    </row>
    <row r="14065" spans="1:4">
      <c r="A14065">
        <v>1.0177529999999999</v>
      </c>
      <c r="B14065">
        <v>3.080562</v>
      </c>
      <c r="C14065">
        <f>LOG10(1.017753)</f>
        <v>7.6423912101454749E-3</v>
      </c>
      <c r="D14065">
        <f>LOG10(3.080562)</f>
        <v>0.48862995391401359</v>
      </c>
    </row>
    <row r="14066" spans="1:4">
      <c r="A14066">
        <v>1.0204770000000001</v>
      </c>
      <c r="B14066">
        <v>2.9816569999999998</v>
      </c>
      <c r="C14066">
        <f>LOG10(1.020477)</f>
        <v>8.8032208250939416E-3</v>
      </c>
      <c r="D14066">
        <f>LOG10(2.981657)</f>
        <v>0.47445768218368561</v>
      </c>
    </row>
    <row r="14067" spans="1:4">
      <c r="A14067">
        <v>1.027253</v>
      </c>
      <c r="B14067">
        <v>3.0891739999999999</v>
      </c>
      <c r="C14067">
        <f>LOG10(1.027253)</f>
        <v>1.1677418253736825E-2</v>
      </c>
      <c r="D14067">
        <f>LOG10(3.089174)</f>
        <v>0.4898423709468443</v>
      </c>
    </row>
    <row r="14068" spans="1:4">
      <c r="A14068">
        <v>1.022124</v>
      </c>
      <c r="B14068">
        <v>3.0622470000000002</v>
      </c>
      <c r="C14068">
        <f>LOG10(1.022124)</f>
        <v>9.5035858662456743E-3</v>
      </c>
      <c r="D14068">
        <f>LOG10(3.062247)</f>
        <v>0.48604021784842766</v>
      </c>
    </row>
    <row r="14069" spans="1:4">
      <c r="A14069">
        <v>1.019798</v>
      </c>
      <c r="B14069">
        <v>2.8281230000000002</v>
      </c>
      <c r="C14069">
        <f>LOG10(1.019798)</f>
        <v>8.5141559058070637E-3</v>
      </c>
      <c r="D14069">
        <f>LOG10(2.828123)</f>
        <v>0.45149829375980932</v>
      </c>
    </row>
    <row r="14070" spans="1:4">
      <c r="A14070">
        <v>1.023228</v>
      </c>
      <c r="B14070">
        <v>2.9653010000000002</v>
      </c>
      <c r="C14070">
        <f>LOG10(1.023228)</f>
        <v>9.9724158325140387E-3</v>
      </c>
      <c r="D14070">
        <f>LOG10(2.965301)</f>
        <v>0.47206878404232888</v>
      </c>
    </row>
    <row r="14071" spans="1:4">
      <c r="A14071">
        <v>1.021952</v>
      </c>
      <c r="B14071">
        <v>2.966968</v>
      </c>
      <c r="C14071">
        <f>LOG10(1.021952)</f>
        <v>9.4304979271830486E-3</v>
      </c>
      <c r="D14071">
        <f>LOG10(2.966968)</f>
        <v>0.47231286229312586</v>
      </c>
    </row>
    <row r="14072" spans="1:4">
      <c r="A14072">
        <v>1.012114</v>
      </c>
      <c r="B14072">
        <v>2.9755379999999998</v>
      </c>
      <c r="C14072">
        <f>LOG10(1.012114)</f>
        <v>5.2294322493967142E-3</v>
      </c>
      <c r="D14072">
        <f>LOG10(2.975538)</f>
        <v>0.47356550092409755</v>
      </c>
    </row>
    <row r="14073" spans="1:4">
      <c r="A14073">
        <v>1.0147250000000001</v>
      </c>
      <c r="B14073">
        <v>3.1106289999999999</v>
      </c>
      <c r="C14073">
        <f>LOG10(1.014725)</f>
        <v>6.3483603137437809E-3</v>
      </c>
      <c r="D14073">
        <f>LOG10(3.110629)</f>
        <v>0.49284821655361916</v>
      </c>
    </row>
    <row r="14074" spans="1:4">
      <c r="A14074">
        <v>1.019396</v>
      </c>
      <c r="B14074">
        <v>2.9568940000000001</v>
      </c>
      <c r="C14074">
        <f>LOG10(1.019396)</f>
        <v>8.3429251313081616E-3</v>
      </c>
      <c r="D14074">
        <f>LOG10(2.956894)</f>
        <v>0.47083575603094791</v>
      </c>
    </row>
    <row r="14075" spans="1:4">
      <c r="A14075">
        <v>1.0163599999999999</v>
      </c>
      <c r="B14075">
        <v>3.0585119999999999</v>
      </c>
      <c r="C14075">
        <f>LOG10(1.01636)</f>
        <v>7.0475645629886566E-3</v>
      </c>
      <c r="D14075">
        <f>LOG10(3.058512)</f>
        <v>0.48551018878136387</v>
      </c>
    </row>
    <row r="14076" spans="1:4">
      <c r="A14076">
        <v>1.0173430000000001</v>
      </c>
      <c r="B14076">
        <v>3.0595479999999999</v>
      </c>
      <c r="C14076">
        <f>LOG10(1.017343)</f>
        <v>7.4674011949429579E-3</v>
      </c>
      <c r="D14076">
        <f>LOG10(3.059548)</f>
        <v>0.48565727105501016</v>
      </c>
    </row>
    <row r="14077" spans="1:4">
      <c r="A14077">
        <v>1.0142640000000001</v>
      </c>
      <c r="B14077">
        <v>3.098198</v>
      </c>
      <c r="C14077">
        <f>LOG10(1.014264)</f>
        <v>6.1510110332868096E-3</v>
      </c>
      <c r="D14077">
        <f>LOG10(3.098198)</f>
        <v>0.49110916925263171</v>
      </c>
    </row>
    <row r="14078" spans="1:4">
      <c r="A14078">
        <v>1.0194319999999999</v>
      </c>
      <c r="B14078">
        <v>2.8386070000000001</v>
      </c>
      <c r="C14078">
        <f>LOG10(1.019432)</f>
        <v>8.3582619830191544E-3</v>
      </c>
      <c r="D14078">
        <f>LOG10(2.838607)</f>
        <v>0.45310526940297796</v>
      </c>
    </row>
    <row r="14079" spans="1:4">
      <c r="A14079">
        <v>1.0136989999999999</v>
      </c>
      <c r="B14079">
        <v>2.9497599999999999</v>
      </c>
      <c r="C14079">
        <f>LOG10(1.013699)</f>
        <v>5.9090180692887937E-3</v>
      </c>
      <c r="D14079">
        <f>LOG10(2.94976)</f>
        <v>0.46978668210840752</v>
      </c>
    </row>
    <row r="14080" spans="1:4">
      <c r="A14080">
        <v>1.0081</v>
      </c>
      <c r="B14080">
        <v>2.9125299999999998</v>
      </c>
      <c r="C14080">
        <f>LOG10(1.0081)</f>
        <v>3.5036147425365331E-3</v>
      </c>
      <c r="D14080">
        <f>LOG10(2.91253)</f>
        <v>0.46427040743059256</v>
      </c>
    </row>
    <row r="14081" spans="1:4">
      <c r="A14081">
        <v>1.012982</v>
      </c>
      <c r="B14081">
        <v>3.0416249999999998</v>
      </c>
      <c r="C14081">
        <f>LOG10(1.012982)</f>
        <v>5.6017283117830155E-3</v>
      </c>
      <c r="D14081">
        <f>LOG10(3.041625)</f>
        <v>0.48310566912862313</v>
      </c>
    </row>
    <row r="14082" spans="1:4">
      <c r="A14082">
        <v>1.0124329999999999</v>
      </c>
      <c r="B14082">
        <v>3.0419399999999999</v>
      </c>
      <c r="C14082">
        <f>LOG10(1.012433)</f>
        <v>5.3662924367607352E-3</v>
      </c>
      <c r="D14082">
        <f>LOG10(3.04194)</f>
        <v>0.48315064366638899</v>
      </c>
    </row>
    <row r="14083" spans="1:4">
      <c r="A14083">
        <v>1.021857</v>
      </c>
      <c r="B14083">
        <v>3.240996</v>
      </c>
      <c r="C14083">
        <f>LOG10(1.021857)</f>
        <v>9.3901243151571674E-3</v>
      </c>
      <c r="D14083">
        <f>LOG10(3.240996)</f>
        <v>0.51067849503128449</v>
      </c>
    </row>
    <row r="14084" spans="1:4">
      <c r="A14084">
        <v>1.0155460000000001</v>
      </c>
      <c r="B14084">
        <v>3.1644830000000002</v>
      </c>
      <c r="C14084">
        <f>LOG10(1.015546)</f>
        <v>6.6995999158240482E-3</v>
      </c>
      <c r="D14084">
        <f>LOG10(3.164483)</f>
        <v>0.50030276693234654</v>
      </c>
    </row>
    <row r="14085" spans="1:4">
      <c r="A14085">
        <v>1.01898</v>
      </c>
      <c r="B14085">
        <v>3.2527170000000001</v>
      </c>
      <c r="C14085">
        <f>LOG10(1.01898)</f>
        <v>8.1656599878998683E-3</v>
      </c>
      <c r="D14085">
        <f>LOG10(3.252717)</f>
        <v>0.51224627948693713</v>
      </c>
    </row>
    <row r="14086" spans="1:4">
      <c r="A14086">
        <v>1.0111589999999999</v>
      </c>
      <c r="B14086">
        <v>3.266375</v>
      </c>
      <c r="C14086">
        <f>LOG10(1.011159)</f>
        <v>4.8194517267301411E-3</v>
      </c>
      <c r="D14086">
        <f>LOG10(3.266375)</f>
        <v>0.5140660429486178</v>
      </c>
    </row>
    <row r="14087" spans="1:4">
      <c r="A14087">
        <v>1.0241910000000001</v>
      </c>
      <c r="B14087">
        <v>3.3831920000000002</v>
      </c>
      <c r="C14087">
        <f>LOG10(1.024191)</f>
        <v>1.0380955185635072E-2</v>
      </c>
      <c r="D14087">
        <f>LOG10(3.383192)</f>
        <v>0.52932664519395067</v>
      </c>
    </row>
    <row r="14088" spans="1:4">
      <c r="A14088">
        <v>1.0155810000000001</v>
      </c>
      <c r="B14088">
        <v>3.439584</v>
      </c>
      <c r="C14088">
        <f>LOG10(1.015581)</f>
        <v>6.7145672781486311E-3</v>
      </c>
      <c r="D14088">
        <f>LOG10(3.439584)</f>
        <v>0.53650592006299125</v>
      </c>
    </row>
    <row r="14089" spans="1:4">
      <c r="A14089">
        <v>1.017714</v>
      </c>
      <c r="B14089">
        <v>3.4795579999999999</v>
      </c>
      <c r="C14089">
        <f>LOG10(1.017714)</f>
        <v>7.6257488525968082E-3</v>
      </c>
      <c r="D14089">
        <f>LOG10(3.479558)</f>
        <v>0.5415240800521901</v>
      </c>
    </row>
    <row r="14090" spans="1:4">
      <c r="A14090">
        <v>1.0165299999999999</v>
      </c>
      <c r="B14090">
        <v>3.4368660000000002</v>
      </c>
      <c r="C14090">
        <f>LOG10(1.01653)</f>
        <v>7.1202001331332832E-3</v>
      </c>
      <c r="D14090">
        <f>LOG10(3.436866)</f>
        <v>0.53616259975577296</v>
      </c>
    </row>
    <row r="14091" spans="1:4">
      <c r="A14091">
        <v>1.017863</v>
      </c>
      <c r="B14091">
        <v>3.4900859999999998</v>
      </c>
      <c r="C14091">
        <f>LOG10(1.017863)</f>
        <v>7.6893277571719095E-3</v>
      </c>
      <c r="D14091">
        <f>LOG10(3.490086)</f>
        <v>0.54283612863977393</v>
      </c>
    </row>
    <row r="14092" spans="1:4">
      <c r="A14092">
        <v>1.0153270000000001</v>
      </c>
      <c r="B14092">
        <v>3.5075310000000002</v>
      </c>
      <c r="C14092">
        <f>LOG10(1.015327)</f>
        <v>6.6059352780988316E-3</v>
      </c>
      <c r="D14092">
        <f>LOG10(3.507531)</f>
        <v>0.54500151806659691</v>
      </c>
    </row>
    <row r="14093" spans="1:4">
      <c r="A14093">
        <v>1.0201480000000001</v>
      </c>
      <c r="B14093">
        <v>3.4047239999999999</v>
      </c>
      <c r="C14093">
        <f>LOG10(1.020148)</f>
        <v>8.6631824684294985E-3</v>
      </c>
      <c r="D14093">
        <f>LOG10(3.404724)</f>
        <v>0.53208191209748412</v>
      </c>
    </row>
    <row r="14094" spans="1:4">
      <c r="A14094">
        <v>1.016106</v>
      </c>
      <c r="B14094">
        <v>3.3864239999999999</v>
      </c>
      <c r="C14094">
        <f>LOG10(1.016106)</f>
        <v>6.9390158355042237E-3</v>
      </c>
      <c r="D14094">
        <f>LOG10(3.386424)</f>
        <v>0.52974133337483376</v>
      </c>
    </row>
    <row r="14095" spans="1:4">
      <c r="A14095">
        <v>1.0080020000000001</v>
      </c>
      <c r="B14095">
        <v>3.4120710000000001</v>
      </c>
      <c r="C14095">
        <f>LOG10(1.008002)</f>
        <v>3.4613938040522602E-3</v>
      </c>
      <c r="D14095">
        <f>LOG10(3.412071)</f>
        <v>0.53301805959613002</v>
      </c>
    </row>
    <row r="14096" spans="1:4">
      <c r="A14096">
        <v>1.0096179999999999</v>
      </c>
      <c r="B14096">
        <v>3.4047640000000001</v>
      </c>
      <c r="C14096">
        <f>LOG10(1.009618)</f>
        <v>4.1570847992155237E-3</v>
      </c>
      <c r="D14096">
        <f>LOG10(3.404764)</f>
        <v>0.53208701432522187</v>
      </c>
    </row>
    <row r="14097" spans="1:4">
      <c r="A14097">
        <v>1.0110380000000001</v>
      </c>
      <c r="B14097">
        <v>3.3768050000000001</v>
      </c>
      <c r="C14097">
        <f>LOG10(1.011038)</f>
        <v>4.7674789146125007E-3</v>
      </c>
      <c r="D14097">
        <f>LOG10(3.376805)</f>
        <v>0.52850598220214473</v>
      </c>
    </row>
    <row r="14098" spans="1:4">
      <c r="A14098">
        <v>1.026535</v>
      </c>
      <c r="B14098">
        <v>3.4204629999999998</v>
      </c>
      <c r="C14098">
        <f>LOG10(1.026535)</f>
        <v>1.1373761351748805E-2</v>
      </c>
      <c r="D14098">
        <f>LOG10(3.420463)</f>
        <v>0.53408489691442285</v>
      </c>
    </row>
    <row r="14099" spans="1:4">
      <c r="A14099">
        <v>1.0154160000000001</v>
      </c>
      <c r="B14099">
        <v>3.379127</v>
      </c>
      <c r="C14099">
        <f>LOG10(1.015416)</f>
        <v>6.6440023391835072E-3</v>
      </c>
      <c r="D14099">
        <f>LOG10(3.379127)</f>
        <v>0.52880451446288612</v>
      </c>
    </row>
    <row r="14100" spans="1:4">
      <c r="A14100">
        <v>1.0214490000000001</v>
      </c>
      <c r="B14100">
        <v>3.426561</v>
      </c>
      <c r="C14100">
        <f>LOG10(1.021449)</f>
        <v>9.2166875896041323E-3</v>
      </c>
      <c r="D14100">
        <f>LOG10(3.426561)</f>
        <v>0.53485846757836264</v>
      </c>
    </row>
    <row r="14101" spans="1:4">
      <c r="A14101">
        <v>1.0182329999999999</v>
      </c>
      <c r="B14101">
        <v>3.4726110000000001</v>
      </c>
      <c r="C14101">
        <f>LOG10(1.018233)</f>
        <v>7.8471680162490523E-3</v>
      </c>
      <c r="D14101">
        <f>LOG10(3.472611)</f>
        <v>0.54065613660318335</v>
      </c>
    </row>
    <row r="14102" spans="1:4">
      <c r="A14102">
        <v>1.0319590000000001</v>
      </c>
      <c r="B14102">
        <v>3.5093939999999999</v>
      </c>
      <c r="C14102">
        <f>LOG10(1.031959)</f>
        <v>1.366244300100525E-2</v>
      </c>
      <c r="D14102">
        <f>LOG10(3.509394)</f>
        <v>0.54523212923567654</v>
      </c>
    </row>
    <row r="14103" spans="1:4">
      <c r="A14103">
        <v>1.027269</v>
      </c>
      <c r="B14103">
        <v>3.3290839999999999</v>
      </c>
      <c r="C14103">
        <f>LOG10(1.027269)</f>
        <v>1.1684182563596343E-2</v>
      </c>
      <c r="D14103">
        <f>LOG10(3.329084)</f>
        <v>0.52232475348536433</v>
      </c>
    </row>
    <row r="14104" spans="1:4">
      <c r="A14104">
        <v>1.034435</v>
      </c>
      <c r="B14104">
        <v>3.2680829999999998</v>
      </c>
      <c r="C14104">
        <f>LOG10(1.034435)</f>
        <v>1.4703206429291717E-2</v>
      </c>
      <c r="D14104">
        <f>LOG10(3.268083)</f>
        <v>0.51429307784332023</v>
      </c>
    </row>
    <row r="14105" spans="1:4">
      <c r="A14105">
        <v>1.027172</v>
      </c>
      <c r="B14105">
        <v>3.260294</v>
      </c>
      <c r="C14105">
        <f>LOG10(1.027172)</f>
        <v>1.1643172318205091E-2</v>
      </c>
      <c r="D14105">
        <f>LOG10(3.260294)</f>
        <v>0.51325676473682236</v>
      </c>
    </row>
    <row r="14106" spans="1:4">
      <c r="A14106">
        <v>1.0253890000000001</v>
      </c>
      <c r="B14106">
        <v>3.291728</v>
      </c>
      <c r="C14106">
        <f>LOG10(1.025389)</f>
        <v>1.0888654176230438E-2</v>
      </c>
      <c r="D14106">
        <f>LOG10(3.291728)</f>
        <v>0.51742394167404548</v>
      </c>
    </row>
    <row r="14107" spans="1:4">
      <c r="A14107">
        <v>1.028796</v>
      </c>
      <c r="B14107">
        <v>3.2235860000000001</v>
      </c>
      <c r="C14107">
        <f>LOG10(1.028796)</f>
        <v>1.2329267029111961E-2</v>
      </c>
      <c r="D14107">
        <f>LOG10(3.223586)</f>
        <v>0.50833926096785664</v>
      </c>
    </row>
    <row r="14108" spans="1:4">
      <c r="A14108">
        <v>1.030084</v>
      </c>
      <c r="B14108">
        <v>3.224513</v>
      </c>
      <c r="C14108">
        <f>LOG10(1.030084)</f>
        <v>1.2872641451770975E-2</v>
      </c>
      <c r="D14108">
        <f>LOG10(3.224513)</f>
        <v>0.50846413218571407</v>
      </c>
    </row>
    <row r="14109" spans="1:4">
      <c r="A14109">
        <v>1.0308740000000001</v>
      </c>
      <c r="B14109">
        <v>3.2476180000000001</v>
      </c>
      <c r="C14109">
        <f>LOG10(1.030874)</f>
        <v>1.3205586283744596E-2</v>
      </c>
      <c r="D14109">
        <f>LOG10(3.247618)</f>
        <v>0.51156493982754292</v>
      </c>
    </row>
    <row r="14110" spans="1:4">
      <c r="A14110">
        <v>1.0204470000000001</v>
      </c>
      <c r="B14110">
        <v>3.2963239999999998</v>
      </c>
      <c r="C14110">
        <f>LOG10(1.020447)</f>
        <v>8.7904532409428179E-3</v>
      </c>
      <c r="D14110">
        <f>LOG10(3.296324)</f>
        <v>0.51802989249612053</v>
      </c>
    </row>
    <row r="14111" spans="1:4">
      <c r="A14111">
        <v>1.0334049999999999</v>
      </c>
      <c r="B14111">
        <v>3.391988</v>
      </c>
      <c r="C14111">
        <f>LOG10(1.033405)</f>
        <v>1.4270558493904833E-2</v>
      </c>
      <c r="D14111">
        <f>LOG10(3.391988)</f>
        <v>0.53045430716280084</v>
      </c>
    </row>
    <row r="14112" spans="1:4">
      <c r="A14112">
        <v>1.010024</v>
      </c>
      <c r="B14112">
        <v>3.4766659999999998</v>
      </c>
      <c r="C14112">
        <f>LOG10(1.010024)</f>
        <v>4.3316935289091363E-3</v>
      </c>
      <c r="D14112">
        <f>LOG10(3.476666)</f>
        <v>0.5411629704289157</v>
      </c>
    </row>
    <row r="14113" spans="1:4">
      <c r="A14113">
        <v>1.0197080000000001</v>
      </c>
      <c r="B14113">
        <v>3.5833460000000001</v>
      </c>
      <c r="C14113">
        <f>LOG10(1.019708)</f>
        <v>8.4758265227146568E-3</v>
      </c>
      <c r="D14113">
        <f>LOG10(3.583346)</f>
        <v>0.55428874470974254</v>
      </c>
    </row>
    <row r="14114" spans="1:4">
      <c r="A14114">
        <v>1.0289569999999999</v>
      </c>
      <c r="B14114">
        <v>3.5660620000000001</v>
      </c>
      <c r="C14114">
        <f>LOG10(1.028957)</f>
        <v>1.2397226022955281E-2</v>
      </c>
      <c r="D14114">
        <f>LOG10(3.566062)</f>
        <v>0.55218888960316226</v>
      </c>
    </row>
    <row r="14115" spans="1:4">
      <c r="A14115">
        <v>1.029199</v>
      </c>
      <c r="B14115">
        <v>3.5010590000000001</v>
      </c>
      <c r="C14115">
        <f>LOG10(1.029199)</f>
        <v>1.2499355565229979E-2</v>
      </c>
      <c r="D14115">
        <f>LOG10(3.501059)</f>
        <v>0.54419942957638023</v>
      </c>
    </row>
    <row r="14116" spans="1:4">
      <c r="A14116">
        <v>1.0366249999999999</v>
      </c>
      <c r="B14116">
        <v>3.4554740000000002</v>
      </c>
      <c r="C14116">
        <f>LOG10(1.036625)</f>
        <v>1.5621678390377597E-2</v>
      </c>
      <c r="D14116">
        <f>LOG10(3.455474)</f>
        <v>0.53850762955820419</v>
      </c>
    </row>
    <row r="14117" spans="1:4">
      <c r="A14117">
        <v>1.0376160000000001</v>
      </c>
      <c r="B14117">
        <v>3.4282819999999998</v>
      </c>
      <c r="C14117">
        <f>LOG10(1.037616)</f>
        <v>1.6036659932361159E-2</v>
      </c>
      <c r="D14117">
        <f>LOG10(3.428282)</f>
        <v>0.53507653845731917</v>
      </c>
    </row>
    <row r="14118" spans="1:4">
      <c r="A14118">
        <v>1.0321880000000001</v>
      </c>
      <c r="B14118">
        <v>3.410485</v>
      </c>
      <c r="C14118">
        <f>LOG10(1.032188)</f>
        <v>1.3758805747228155E-2</v>
      </c>
      <c r="D14118">
        <f>LOG10(3.410485)</f>
        <v>0.53281614375675657</v>
      </c>
    </row>
    <row r="14119" spans="1:4">
      <c r="A14119">
        <v>1.02921</v>
      </c>
      <c r="B14119">
        <v>3.4634860000000001</v>
      </c>
      <c r="C14119">
        <f>LOG10(1.02921)</f>
        <v>1.2503997246548876E-2</v>
      </c>
      <c r="D14119">
        <f>LOG10(3.463486)</f>
        <v>0.53951343648417993</v>
      </c>
    </row>
    <row r="14120" spans="1:4">
      <c r="A14120">
        <v>1.0250060000000001</v>
      </c>
      <c r="B14120">
        <v>3.4100700000000002</v>
      </c>
      <c r="C14120">
        <f>LOG10(1.025006)</f>
        <v>1.0726407595933934E-2</v>
      </c>
      <c r="D14120">
        <f>LOG10(3.41007)</f>
        <v>0.53276329403698686</v>
      </c>
    </row>
    <row r="14121" spans="1:4">
      <c r="A14121">
        <v>1.030726</v>
      </c>
      <c r="B14121">
        <v>3.489779</v>
      </c>
      <c r="C14121">
        <f>LOG10(1.030726)</f>
        <v>1.3143231235789497E-2</v>
      </c>
      <c r="D14121">
        <f>LOG10(3.489779)</f>
        <v>0.5427979249192062</v>
      </c>
    </row>
    <row r="14122" spans="1:4">
      <c r="A14122">
        <v>1.052967</v>
      </c>
      <c r="B14122">
        <v>3.5283319999999998</v>
      </c>
      <c r="C14122">
        <f>LOG10(1.052967)</f>
        <v>2.2414760603835442E-2</v>
      </c>
      <c r="D14122">
        <f>LOG10(3.528332)</f>
        <v>0.54756944351878623</v>
      </c>
    </row>
    <row r="14123" spans="1:4">
      <c r="A14123">
        <v>1.0472570000000001</v>
      </c>
      <c r="B14123">
        <v>3.3704049999999999</v>
      </c>
      <c r="C14123">
        <f>LOG10(1.047257)</f>
        <v>2.0053271922933158E-2</v>
      </c>
      <c r="D14123">
        <f>LOG10(3.370405)</f>
        <v>0.52768209039567204</v>
      </c>
    </row>
    <row r="14124" spans="1:4">
      <c r="A14124">
        <v>1.029568</v>
      </c>
      <c r="B14124">
        <v>3.42875</v>
      </c>
      <c r="C14124">
        <f>LOG10(1.029568)</f>
        <v>1.2655035800573143E-2</v>
      </c>
      <c r="D14124">
        <f>LOG10(3.42875)</f>
        <v>0.5351358206125858</v>
      </c>
    </row>
    <row r="14125" spans="1:4">
      <c r="A14125">
        <v>1.0216719999999999</v>
      </c>
      <c r="B14125">
        <v>3.287849</v>
      </c>
      <c r="C14125">
        <f>LOG10(1.021672)</f>
        <v>9.3114912452358332E-3</v>
      </c>
      <c r="D14125">
        <f>LOG10(3.287849)</f>
        <v>0.51691186362085795</v>
      </c>
    </row>
    <row r="14126" spans="1:4">
      <c r="A14126">
        <v>1.0267759999999999</v>
      </c>
      <c r="B14126">
        <v>3.1761810000000001</v>
      </c>
      <c r="C14126">
        <f>LOG10(1.026776)</f>
        <v>1.1475708860547305E-2</v>
      </c>
      <c r="D14126">
        <f>LOG10(3.176181)</f>
        <v>0.50190524345952892</v>
      </c>
    </row>
    <row r="14127" spans="1:4">
      <c r="A14127">
        <v>1.0117160000000001</v>
      </c>
      <c r="B14127">
        <v>2.9684409999999999</v>
      </c>
      <c r="C14127">
        <f>LOG10(1.011716)</f>
        <v>5.0586182916772405E-3</v>
      </c>
      <c r="D14127">
        <f>LOG10(2.968441)</f>
        <v>0.47252842141802409</v>
      </c>
    </row>
    <row r="14128" spans="1:4">
      <c r="A14128">
        <v>1.00932</v>
      </c>
      <c r="B14128">
        <v>2.8777789999999999</v>
      </c>
      <c r="C14128">
        <f>LOG10(1.00932)</f>
        <v>4.0288790231619792E-3</v>
      </c>
      <c r="D14128">
        <f>LOG10(2.877779)</f>
        <v>0.4590574390912816</v>
      </c>
    </row>
    <row r="14129" spans="1:4">
      <c r="A14129">
        <v>1.013673</v>
      </c>
      <c r="B14129">
        <v>2.8588779999999998</v>
      </c>
      <c r="C14129">
        <f>LOG10(1.013673)</f>
        <v>5.8978788639233821E-3</v>
      </c>
      <c r="D14129">
        <f>LOG10(2.858878)</f>
        <v>0.45619562263420554</v>
      </c>
    </row>
    <row r="14130" spans="1:4">
      <c r="A14130">
        <v>1.019671</v>
      </c>
      <c r="B14130">
        <v>2.9058700000000002</v>
      </c>
      <c r="C14130">
        <f>LOG10(1.019671)</f>
        <v>8.4600679061630386E-3</v>
      </c>
      <c r="D14130">
        <f>LOG10(2.90587)</f>
        <v>0.4632761813503315</v>
      </c>
    </row>
    <row r="14131" spans="1:4">
      <c r="A14131">
        <v>1.0250280000000001</v>
      </c>
      <c r="B14131">
        <v>2.8763719999999999</v>
      </c>
      <c r="C14131">
        <f>LOG10(1.025028)</f>
        <v>1.0735728883875719E-2</v>
      </c>
      <c r="D14131">
        <f>LOG10(2.876372)</f>
        <v>0.45884505246874913</v>
      </c>
    </row>
    <row r="14132" spans="1:4">
      <c r="A14132">
        <v>1.0201629999999999</v>
      </c>
      <c r="B14132">
        <v>2.8663349999999999</v>
      </c>
      <c r="C14132">
        <f>LOG10(1.020163)</f>
        <v>8.6695681784792027E-3</v>
      </c>
      <c r="D14132">
        <f>LOG10(2.866335)</f>
        <v>0.45732694675538949</v>
      </c>
    </row>
    <row r="14133" spans="1:4">
      <c r="A14133">
        <v>1.0230429999999999</v>
      </c>
      <c r="B14133">
        <v>2.876824</v>
      </c>
      <c r="C14133">
        <f>LOG10(1.023043)</f>
        <v>9.8938881307863123E-3</v>
      </c>
      <c r="D14133">
        <f>LOG10(2.876824)</f>
        <v>0.45891329318442237</v>
      </c>
    </row>
    <row r="14134" spans="1:4">
      <c r="A14134">
        <v>1.0142310000000001</v>
      </c>
      <c r="B14134">
        <v>2.733797</v>
      </c>
      <c r="C14134">
        <f>LOG10(1.014231)</f>
        <v>6.1368806381869451E-3</v>
      </c>
      <c r="D14134">
        <f>LOG10(2.733797)</f>
        <v>0.43676626258988593</v>
      </c>
    </row>
    <row r="14135" spans="1:4">
      <c r="A14135">
        <v>1.037396</v>
      </c>
      <c r="B14135">
        <v>2.750559</v>
      </c>
      <c r="C14135">
        <f>LOG10(1.037396)</f>
        <v>1.5944569104571468E-2</v>
      </c>
      <c r="D14135">
        <f>LOG10(2.750559)</f>
        <v>0.4394209650827734</v>
      </c>
    </row>
    <row r="14136" spans="1:4">
      <c r="A14136">
        <v>1.037863</v>
      </c>
      <c r="B14136">
        <v>2.8183340000000001</v>
      </c>
      <c r="C14136">
        <f>LOG10(1.037863)</f>
        <v>1.6140029552132285E-2</v>
      </c>
      <c r="D14136">
        <f>LOG10(2.818334)</f>
        <v>0.4499924599448919</v>
      </c>
    </row>
    <row r="14137" spans="1:4">
      <c r="A14137">
        <v>1.028775</v>
      </c>
      <c r="B14137">
        <v>2.7633179999999999</v>
      </c>
      <c r="C14137">
        <f>LOG10(1.028775)</f>
        <v>1.23204020284677E-2</v>
      </c>
      <c r="D14137">
        <f>LOG10(2.763318)</f>
        <v>0.44143086598723424</v>
      </c>
    </row>
    <row r="14138" spans="1:4">
      <c r="A14138">
        <v>1.042616</v>
      </c>
      <c r="B14138">
        <v>2.6738010000000001</v>
      </c>
      <c r="C14138">
        <f>LOG10(1.042616)</f>
        <v>1.8124385331449781E-2</v>
      </c>
      <c r="D14138">
        <f>LOG10(2.673801)</f>
        <v>0.42712908137849637</v>
      </c>
    </row>
    <row r="14139" spans="1:4">
      <c r="A14139">
        <v>1.0365850000000001</v>
      </c>
      <c r="B14139">
        <v>2.8311769999999998</v>
      </c>
      <c r="C14139">
        <f>LOG10(1.036585)</f>
        <v>1.5604920050143654E-2</v>
      </c>
      <c r="D14139">
        <f>LOG10(2.831177)</f>
        <v>0.45196702150934781</v>
      </c>
    </row>
    <row r="14140" spans="1:4">
      <c r="A14140">
        <v>1.014813</v>
      </c>
      <c r="B14140">
        <v>2.7770079999999999</v>
      </c>
      <c r="C14140">
        <f>LOG10(1.014813)</f>
        <v>6.3860220026910964E-3</v>
      </c>
      <c r="D14140">
        <f>LOG10(2.777008)</f>
        <v>0.4435771308668765</v>
      </c>
    </row>
    <row r="14141" spans="1:4">
      <c r="A14141">
        <v>1.016821</v>
      </c>
      <c r="B14141">
        <v>2.8096230000000002</v>
      </c>
      <c r="C14141">
        <f>LOG10(1.016821)</f>
        <v>7.2445069499068541E-3</v>
      </c>
      <c r="D14141">
        <f>LOG10(2.809623)</f>
        <v>0.44864804944105657</v>
      </c>
    </row>
    <row r="14142" spans="1:4">
      <c r="A14142">
        <v>1.0541</v>
      </c>
      <c r="B14142">
        <v>2.8263980000000002</v>
      </c>
      <c r="C14142">
        <f>LOG10(1.0541)</f>
        <v>2.2881813332030782E-2</v>
      </c>
      <c r="D14142">
        <f>LOG10(2.826398)</f>
        <v>0.45123331711385706</v>
      </c>
    </row>
    <row r="14143" spans="1:4">
      <c r="A14143">
        <v>1.0488919999999999</v>
      </c>
      <c r="B14143">
        <v>2.8270379999999999</v>
      </c>
      <c r="C14143">
        <f>LOG10(1.048892)</f>
        <v>2.0730773018432531E-2</v>
      </c>
      <c r="D14143">
        <f>LOG10(2.827038)</f>
        <v>0.45133164615467591</v>
      </c>
    </row>
    <row r="14144" spans="1:4">
      <c r="A14144">
        <v>1.046311</v>
      </c>
      <c r="B14144">
        <v>2.792338</v>
      </c>
      <c r="C14144">
        <f>LOG10(1.046311)</f>
        <v>1.966079113621675E-2</v>
      </c>
      <c r="D14144">
        <f>LOG10(2.792338)</f>
        <v>0.44596798653360775</v>
      </c>
    </row>
    <row r="14145" spans="1:4">
      <c r="A14145">
        <v>1.024804</v>
      </c>
      <c r="B14145">
        <v>2.9250229999999999</v>
      </c>
      <c r="C14145">
        <f>LOG10(1.024804)</f>
        <v>1.0640811871814671E-2</v>
      </c>
      <c r="D14145">
        <f>LOG10(2.925023)</f>
        <v>0.46612928536992981</v>
      </c>
    </row>
    <row r="14146" spans="1:4">
      <c r="A14146">
        <v>1.0580959999999999</v>
      </c>
      <c r="B14146">
        <v>2.772024</v>
      </c>
      <c r="C14146">
        <f>LOG10(1.058096)</f>
        <v>2.452507259411622E-2</v>
      </c>
      <c r="D14146">
        <f>LOG10(2.772024)</f>
        <v>0.44279698604887607</v>
      </c>
    </row>
    <row r="14147" spans="1:4">
      <c r="A14147">
        <v>1.0499419999999999</v>
      </c>
      <c r="B14147">
        <v>2.8786290000000001</v>
      </c>
      <c r="C14147">
        <f>LOG10(1.049942)</f>
        <v>2.1165308807390988E-2</v>
      </c>
      <c r="D14147">
        <f>LOG10(2.878629)</f>
        <v>0.45918569626565175</v>
      </c>
    </row>
    <row r="14148" spans="1:4">
      <c r="A14148">
        <v>1.0229710000000001</v>
      </c>
      <c r="B14148">
        <v>2.8553500000000001</v>
      </c>
      <c r="C14148">
        <f>LOG10(1.022971)</f>
        <v>9.8633221593805685E-3</v>
      </c>
      <c r="D14148">
        <f>LOG10(2.85535)</f>
        <v>0.45565935032346117</v>
      </c>
    </row>
    <row r="14149" spans="1:4">
      <c r="A14149">
        <v>1.020627</v>
      </c>
      <c r="B14149">
        <v>2.7774269999999999</v>
      </c>
      <c r="C14149">
        <f>LOG10(1.020627)</f>
        <v>8.867053116248835E-3</v>
      </c>
      <c r="D14149">
        <f>LOG10(2.777427)</f>
        <v>0.44364265306247791</v>
      </c>
    </row>
    <row r="14150" spans="1:4">
      <c r="A14150">
        <v>1.022165</v>
      </c>
      <c r="B14150">
        <v>2.7360600000000002</v>
      </c>
      <c r="C14150">
        <f>LOG10(1.022165)</f>
        <v>9.5210061759576584E-3</v>
      </c>
      <c r="D14150">
        <f>LOG10(2.73606)</f>
        <v>0.43712561694544644</v>
      </c>
    </row>
    <row r="14151" spans="1:4">
      <c r="A14151">
        <v>1.0219499999999999</v>
      </c>
      <c r="B14151">
        <v>2.7356470000000002</v>
      </c>
      <c r="C14151">
        <f>LOG10(1.02195)</f>
        <v>9.4296479950788364E-3</v>
      </c>
      <c r="D14151">
        <f>LOG10(2.735647)</f>
        <v>0.43706005655583979</v>
      </c>
    </row>
    <row r="14152" spans="1:4">
      <c r="A14152">
        <v>1.021684</v>
      </c>
      <c r="B14152">
        <v>2.8832460000000002</v>
      </c>
      <c r="C14152">
        <f>LOG10(1.021684)</f>
        <v>9.3165922005103447E-3</v>
      </c>
      <c r="D14152">
        <f>LOG10(2.883246)</f>
        <v>0.45988169819283808</v>
      </c>
    </row>
    <row r="14153" spans="1:4">
      <c r="A14153">
        <v>1.0212159999999999</v>
      </c>
      <c r="B14153">
        <v>2.8219720000000001</v>
      </c>
      <c r="C14153">
        <f>LOG10(1.021216)</f>
        <v>9.1176105361250818E-3</v>
      </c>
      <c r="D14153">
        <f>LOG10(2.821972)</f>
        <v>0.45055270030925004</v>
      </c>
    </row>
    <row r="14154" spans="1:4">
      <c r="A14154">
        <v>1.0176909999999999</v>
      </c>
      <c r="B14154">
        <v>2.7543099999999998</v>
      </c>
      <c r="C14154">
        <f>LOG10(1.017691)</f>
        <v>7.6159338299509509E-3</v>
      </c>
      <c r="D14154">
        <f>LOG10(2.75431)</f>
        <v>0.44001281889573091</v>
      </c>
    </row>
    <row r="14155" spans="1:4">
      <c r="A14155">
        <v>1.0149459999999999</v>
      </c>
      <c r="B14155">
        <v>2.8581500000000002</v>
      </c>
      <c r="C14155">
        <f>LOG10(1.014946)</f>
        <v>6.4429363123956205E-3</v>
      </c>
      <c r="D14155">
        <f>LOG10(2.85815)</f>
        <v>0.45608501747903252</v>
      </c>
    </row>
    <row r="14156" spans="1:4">
      <c r="A14156">
        <v>1.0183930000000001</v>
      </c>
      <c r="B14156">
        <v>2.8844620000000001</v>
      </c>
      <c r="C14156">
        <f>LOG10(1.018393)</f>
        <v>7.9154055004484539E-3</v>
      </c>
      <c r="D14156">
        <f>LOG10(2.884462)</f>
        <v>0.46006482192164644</v>
      </c>
    </row>
    <row r="14157" spans="1:4">
      <c r="A14157">
        <v>1.025641</v>
      </c>
      <c r="B14157">
        <v>2.8331719999999998</v>
      </c>
      <c r="C14157">
        <f>LOG10(1.025641)</f>
        <v>1.099537344410101E-2</v>
      </c>
      <c r="D14157">
        <f>LOG10(2.833172)</f>
        <v>0.45227294105181332</v>
      </c>
    </row>
    <row r="14158" spans="1:4">
      <c r="A14158">
        <v>1.0265219999999999</v>
      </c>
      <c r="B14158">
        <v>2.7238410000000002</v>
      </c>
      <c r="C14158">
        <f>LOG10(1.026522)</f>
        <v>1.1368261428205682E-2</v>
      </c>
      <c r="D14158">
        <f>LOG10(2.723841)</f>
        <v>0.43518175271284404</v>
      </c>
    </row>
    <row r="14159" spans="1:4">
      <c r="A14159">
        <v>1.02827</v>
      </c>
      <c r="B14159">
        <v>2.7791260000000002</v>
      </c>
      <c r="C14159">
        <f>LOG10(1.02827)</f>
        <v>1.2107165353755008E-2</v>
      </c>
      <c r="D14159">
        <f>LOG10(2.779126)</f>
        <v>0.44390823726467976</v>
      </c>
    </row>
    <row r="14160" spans="1:4">
      <c r="A14160">
        <v>1.0215369999999999</v>
      </c>
      <c r="B14160">
        <v>2.6746620000000001</v>
      </c>
      <c r="C14160">
        <f>LOG10(1.021537)</f>
        <v>9.254101369660447E-3</v>
      </c>
      <c r="D14160">
        <f>LOG10(2.674662)</f>
        <v>0.42726890754992125</v>
      </c>
    </row>
    <row r="14161" spans="1:4">
      <c r="A14161">
        <v>1.0237799999999999</v>
      </c>
      <c r="B14161">
        <v>2.8980890000000001</v>
      </c>
      <c r="C14161">
        <f>LOG10(1.02378)</f>
        <v>1.0206641160232755E-2</v>
      </c>
      <c r="D14161">
        <f>LOG10(2.898089)</f>
        <v>0.46211171847655702</v>
      </c>
    </row>
    <row r="14162" spans="1:4">
      <c r="A14162">
        <v>1.024173</v>
      </c>
      <c r="B14162">
        <v>2.6688960000000002</v>
      </c>
      <c r="C14162">
        <f>LOG10(1.024173)</f>
        <v>1.0373322459542941E-2</v>
      </c>
      <c r="D14162">
        <f>LOG10(2.668896)</f>
        <v>0.42633165078034396</v>
      </c>
    </row>
    <row r="14163" spans="1:4">
      <c r="A14163">
        <v>1.036003</v>
      </c>
      <c r="B14163">
        <v>2.792751</v>
      </c>
      <c r="C14163">
        <f>LOG10(1.036003)</f>
        <v>1.5361013016896942E-2</v>
      </c>
      <c r="D14163">
        <f>LOG10(2.792751)</f>
        <v>0.44603221599220833</v>
      </c>
    </row>
    <row r="14164" spans="1:4">
      <c r="A14164">
        <v>1.0383469999999999</v>
      </c>
      <c r="B14164">
        <v>2.9316930000000001</v>
      </c>
      <c r="C14164">
        <f>LOG10(1.038347)</f>
        <v>1.634251247346374E-2</v>
      </c>
      <c r="D14164">
        <f>LOG10(2.931693)</f>
        <v>0.46711849005278089</v>
      </c>
    </row>
    <row r="14165" spans="1:4">
      <c r="A14165">
        <v>1.020275</v>
      </c>
      <c r="B14165">
        <v>2.830921</v>
      </c>
      <c r="C14165">
        <f>LOG10(1.020275)</f>
        <v>8.7172451792232233E-3</v>
      </c>
      <c r="D14165">
        <f>LOG10(2.830921)</f>
        <v>0.45192775006351876</v>
      </c>
    </row>
    <row r="14166" spans="1:4">
      <c r="A14166">
        <v>1.0295069999999999</v>
      </c>
      <c r="B14166">
        <v>2.9419390000000001</v>
      </c>
      <c r="C14166">
        <f>LOG10(1.029507)</f>
        <v>1.2629303893378031E-2</v>
      </c>
      <c r="D14166">
        <f>LOG10(2.941939)</f>
        <v>0.4686336635519312</v>
      </c>
    </row>
    <row r="14167" spans="1:4">
      <c r="A14167">
        <v>1.0228820000000001</v>
      </c>
      <c r="B14167">
        <v>2.8605809999999998</v>
      </c>
      <c r="C14167">
        <f>LOG10(1.022882)</f>
        <v>9.82553624913797E-3</v>
      </c>
      <c r="D14167">
        <f>LOG10(2.860581)</f>
        <v>0.45645424972622195</v>
      </c>
    </row>
    <row r="14168" spans="1:4">
      <c r="A14168">
        <v>1.025593</v>
      </c>
      <c r="B14168">
        <v>2.8358270000000001</v>
      </c>
      <c r="C14168">
        <f>LOG10(1.025593)</f>
        <v>1.0975047986220357E-2</v>
      </c>
      <c r="D14168">
        <f>LOG10(2.835827)</f>
        <v>0.45267973312701265</v>
      </c>
    </row>
    <row r="14169" spans="1:4">
      <c r="A14169">
        <v>1.020794</v>
      </c>
      <c r="B14169">
        <v>2.8082600000000002</v>
      </c>
      <c r="C14169">
        <f>LOG10(1.020794)</f>
        <v>8.9381086982572924E-3</v>
      </c>
      <c r="D14169">
        <f>LOG10(2.80826)</f>
        <v>0.44843731404822307</v>
      </c>
    </row>
    <row r="14170" spans="1:4">
      <c r="A14170">
        <v>1.031436</v>
      </c>
      <c r="B14170">
        <v>2.7996780000000001</v>
      </c>
      <c r="C14170">
        <f>LOG10(1.031436)</f>
        <v>1.3442285426813654E-2</v>
      </c>
      <c r="D14170">
        <f>LOG10(2.799678)</f>
        <v>0.44710808460480789</v>
      </c>
    </row>
    <row r="14171" spans="1:4">
      <c r="A14171">
        <v>1.0176099999999999</v>
      </c>
      <c r="B14171">
        <v>2.8210860000000002</v>
      </c>
      <c r="C14171">
        <f>LOG10(1.01761)</f>
        <v>7.581366114362215E-3</v>
      </c>
      <c r="D14171">
        <f>LOG10(2.821086)</f>
        <v>0.45041632570026036</v>
      </c>
    </row>
    <row r="14172" spans="1:4">
      <c r="A14172">
        <v>1.0248029999999999</v>
      </c>
      <c r="B14172">
        <v>2.844805</v>
      </c>
      <c r="C14172">
        <f>LOG10(1.024803)</f>
        <v>1.0640388088638712E-2</v>
      </c>
      <c r="D14172">
        <f>LOG10(2.844805)</f>
        <v>0.45405250260230373</v>
      </c>
    </row>
    <row r="14173" spans="1:4">
      <c r="A14173">
        <v>1.0366919999999999</v>
      </c>
      <c r="B14173">
        <v>2.7992460000000001</v>
      </c>
      <c r="C14173">
        <f>LOG10(1.036692)</f>
        <v>1.5649747161624507E-2</v>
      </c>
      <c r="D14173">
        <f>LOG10(2.799246)</f>
        <v>0.44704106629323431</v>
      </c>
    </row>
    <row r="14174" spans="1:4">
      <c r="A14174">
        <v>1.0315319999999999</v>
      </c>
      <c r="B14174">
        <v>3.0104449999999998</v>
      </c>
      <c r="C14174">
        <f>LOG10(1.031532)</f>
        <v>1.3482705123379721E-2</v>
      </c>
      <c r="D14174">
        <f>LOG10(3.010445)</f>
        <v>0.47863069717522111</v>
      </c>
    </row>
    <row r="14175" spans="1:4">
      <c r="A14175">
        <v>1.0288710000000001</v>
      </c>
      <c r="B14175">
        <v>2.8953120000000001</v>
      </c>
      <c r="C14175">
        <f>LOG10(1.028871)</f>
        <v>1.2360926268587724E-2</v>
      </c>
      <c r="D14175">
        <f>LOG10(2.895312)</f>
        <v>0.46169537033541719</v>
      </c>
    </row>
    <row r="14176" spans="1:4">
      <c r="A14176">
        <v>1.0162199999999999</v>
      </c>
      <c r="B14176">
        <v>2.7490079999999999</v>
      </c>
      <c r="C14176">
        <f>LOG10(1.01622)</f>
        <v>6.9877379115775261E-3</v>
      </c>
      <c r="D14176">
        <f>LOG10(2.749008)</f>
        <v>0.4391760037033447</v>
      </c>
    </row>
    <row r="14177" spans="1:4">
      <c r="A14177">
        <v>1.026643</v>
      </c>
      <c r="B14177">
        <v>2.6086339999999999</v>
      </c>
      <c r="C14177">
        <f>LOG10(1.026643)</f>
        <v>1.1419450331553584E-2</v>
      </c>
      <c r="D14177">
        <f>LOG10(2.608634)</f>
        <v>0.41641315041850896</v>
      </c>
    </row>
    <row r="14178" spans="1:4">
      <c r="A14178">
        <v>1.007679</v>
      </c>
      <c r="B14178">
        <v>3.0306329999999999</v>
      </c>
      <c r="C14178">
        <f>LOG10(1.007679)</f>
        <v>3.3222079717152371E-3</v>
      </c>
      <c r="D14178">
        <f>LOG10(3.030633)</f>
        <v>0.48153334787371205</v>
      </c>
    </row>
    <row r="14179" spans="1:4">
      <c r="A14179">
        <v>1.009693</v>
      </c>
      <c r="B14179">
        <v>3.1553</v>
      </c>
      <c r="C14179">
        <f>LOG10(1.009693)</f>
        <v>4.189345393207972E-3</v>
      </c>
      <c r="D14179">
        <f>LOG10(3.1553)</f>
        <v>0.49904065744721782</v>
      </c>
    </row>
    <row r="14180" spans="1:4">
      <c r="A14180">
        <v>1.0081169999999999</v>
      </c>
      <c r="B14180">
        <v>2.9927299999999999</v>
      </c>
      <c r="C14180">
        <f>LOG10(1.008117)</f>
        <v>3.5109383651351937E-3</v>
      </c>
      <c r="D14180">
        <f>LOG10(2.99273)</f>
        <v>0.47606753715444095</v>
      </c>
    </row>
    <row r="14181" spans="1:4">
      <c r="A14181">
        <v>1.0108839999999999</v>
      </c>
      <c r="B14181">
        <v>3.1604199999999998</v>
      </c>
      <c r="C14181">
        <f>LOG10(1.010884)</f>
        <v>4.7013227025108255E-3</v>
      </c>
      <c r="D14181">
        <f>LOG10(3.16042)</f>
        <v>0.49974480146704608</v>
      </c>
    </row>
    <row r="14182" spans="1:4">
      <c r="A14182">
        <v>1.0041979999999999</v>
      </c>
      <c r="B14182">
        <v>3.0276709999999998</v>
      </c>
      <c r="C14182">
        <f>LOG10(1.004198)</f>
        <v>1.8193520813187497E-3</v>
      </c>
      <c r="D14182">
        <f>LOG10(3.027671)</f>
        <v>0.48110868105016019</v>
      </c>
    </row>
    <row r="14183" spans="1:4">
      <c r="A14183">
        <v>1.013077</v>
      </c>
      <c r="B14183">
        <v>2.8800479999999999</v>
      </c>
      <c r="C14183">
        <f>LOG10(1.013077)</f>
        <v>5.6424556309884544E-3</v>
      </c>
      <c r="D14183">
        <f>LOG10(2.880048)</f>
        <v>0.45939972594027789</v>
      </c>
    </row>
    <row r="14184" spans="1:4">
      <c r="A14184">
        <v>1.0123180000000001</v>
      </c>
      <c r="B14184">
        <v>3.0582530000000001</v>
      </c>
      <c r="C14184">
        <f>LOG10(1.012318)</f>
        <v>5.3169590960462278E-3</v>
      </c>
      <c r="D14184">
        <f>LOG10(3.058253)</f>
        <v>0.48547341042846653</v>
      </c>
    </row>
    <row r="14185" spans="1:4">
      <c r="A14185">
        <v>1.0077039999999999</v>
      </c>
      <c r="B14185">
        <v>3.0849709999999999</v>
      </c>
      <c r="C14185">
        <f>LOG10(1.007704)</f>
        <v>3.3329824617730703E-3</v>
      </c>
      <c r="D14185">
        <f>LOG10(3.084971)</f>
        <v>0.48925108584116583</v>
      </c>
    </row>
    <row r="14186" spans="1:4">
      <c r="A14186">
        <v>1.0153479999999999</v>
      </c>
      <c r="B14186">
        <v>3.0405359999999999</v>
      </c>
      <c r="C14186">
        <f>LOG10(1.015348)</f>
        <v>6.6149176944088938E-3</v>
      </c>
      <c r="D14186">
        <f>LOG10(3.040536)</f>
        <v>0.48295014983347573</v>
      </c>
    </row>
    <row r="14187" spans="1:4">
      <c r="A14187">
        <v>1.0093259999999999</v>
      </c>
      <c r="B14187">
        <v>2.9993089999999998</v>
      </c>
      <c r="C14187">
        <f>LOG10(1.009326)</f>
        <v>4.0314607208855081E-3</v>
      </c>
      <c r="D14187">
        <f>LOG10(2.999309)</f>
        <v>0.47702121070181897</v>
      </c>
    </row>
    <row r="14188" spans="1:4">
      <c r="A14188">
        <v>1.0059009999999999</v>
      </c>
      <c r="B14188">
        <v>2.9372029999999998</v>
      </c>
      <c r="C14188">
        <f>LOG10(1.005901)</f>
        <v>2.5552398954414315E-3</v>
      </c>
      <c r="D14188">
        <f>LOG10(2.937203)</f>
        <v>0.46793396311564234</v>
      </c>
    </row>
    <row r="14189" spans="1:4">
      <c r="A14189">
        <v>1.006354</v>
      </c>
      <c r="B14189">
        <v>3.1305160000000001</v>
      </c>
      <c r="C14189">
        <f>LOG10(1.006354)</f>
        <v>2.7507771445730357E-3</v>
      </c>
      <c r="D14189">
        <f>LOG10(3.130516)</f>
        <v>0.49561592779657149</v>
      </c>
    </row>
    <row r="14190" spans="1:4">
      <c r="A14190">
        <v>1.009787</v>
      </c>
      <c r="B14190">
        <v>3.0443220000000002</v>
      </c>
      <c r="C14190">
        <f>LOG10(1.009787)</f>
        <v>4.2297752873672653E-3</v>
      </c>
      <c r="D14190">
        <f>LOG10(3.044322)</f>
        <v>0.4834905861495461</v>
      </c>
    </row>
    <row r="14191" spans="1:4">
      <c r="A14191">
        <v>1.0139100000000001</v>
      </c>
      <c r="B14191">
        <v>2.9416600000000002</v>
      </c>
      <c r="C14191">
        <f>LOG10(1.01391)</f>
        <v>5.9994064390508613E-3</v>
      </c>
      <c r="D14191">
        <f>LOG10(2.94166)</f>
        <v>0.46859247510229629</v>
      </c>
    </row>
    <row r="14192" spans="1:4">
      <c r="A14192">
        <v>1.0008969999999999</v>
      </c>
      <c r="B14192">
        <v>2.9793609999999999</v>
      </c>
      <c r="C14192">
        <f>LOG10(1.000897)</f>
        <v>3.8938753605428748E-4</v>
      </c>
      <c r="D14192">
        <f>LOG10(2.979361)</f>
        <v>0.47412312852866889</v>
      </c>
    </row>
    <row r="14193" spans="1:4">
      <c r="A14193">
        <v>1.0011559999999999</v>
      </c>
      <c r="B14193">
        <v>3.0470220000000001</v>
      </c>
      <c r="C14193">
        <f>LOG10(1.001156)</f>
        <v>5.017544628443801E-4</v>
      </c>
      <c r="D14193">
        <f>LOG10(3.047022)</f>
        <v>0.4838755899115838</v>
      </c>
    </row>
    <row r="14194" spans="1:4">
      <c r="A14194">
        <v>1.0083949999999999</v>
      </c>
      <c r="B14194">
        <v>3.222092</v>
      </c>
      <c r="C14194">
        <f>LOG10(1.008395)</f>
        <v>3.6306836150855918E-3</v>
      </c>
      <c r="D14194">
        <f>LOG10(3.222092)</f>
        <v>0.50813793661762297</v>
      </c>
    </row>
    <row r="14195" spans="1:4">
      <c r="A14195">
        <v>1.0089699999999999</v>
      </c>
      <c r="B14195">
        <v>2.8530950000000002</v>
      </c>
      <c r="C14195">
        <f>LOG10(1.00897)</f>
        <v>3.878253424075751E-3</v>
      </c>
      <c r="D14195">
        <f>LOG10(2.853095)</f>
        <v>0.45531623267666499</v>
      </c>
    </row>
    <row r="14196" spans="1:4">
      <c r="A14196">
        <v>1.0030669999999999</v>
      </c>
      <c r="B14196">
        <v>2.9733000000000001</v>
      </c>
      <c r="C14196">
        <f>LOG10(1.003067)</f>
        <v>1.3299427497026413E-3</v>
      </c>
      <c r="D14196">
        <f>LOG10(2.9733)</f>
        <v>0.47323873085695045</v>
      </c>
    </row>
    <row r="14197" spans="1:4">
      <c r="A14197">
        <v>1.0009030000000001</v>
      </c>
      <c r="B14197">
        <v>2.90116</v>
      </c>
      <c r="C14197">
        <f>LOG10(1.000903)</f>
        <v>3.9199095986436068E-4</v>
      </c>
      <c r="D14197">
        <f>LOG10(2.90116)</f>
        <v>0.46257168095742102</v>
      </c>
    </row>
    <row r="14198" spans="1:4">
      <c r="A14198">
        <v>1.007865</v>
      </c>
      <c r="B14198">
        <v>3.0286230000000001</v>
      </c>
      <c r="C14198">
        <f>LOG10(1.007865)</f>
        <v>3.4023637746779314E-3</v>
      </c>
      <c r="D14198">
        <f>LOG10(3.028623)</f>
        <v>0.48124521614907628</v>
      </c>
    </row>
    <row r="14199" spans="1:4">
      <c r="A14199">
        <v>1.006046</v>
      </c>
      <c r="B14199">
        <v>3.0370499999999998</v>
      </c>
      <c r="C14199">
        <f>LOG10(1.006046)</f>
        <v>2.6178386616962338E-3</v>
      </c>
      <c r="D14199">
        <f>LOG10(3.03705)</f>
        <v>0.48245194191673263</v>
      </c>
    </row>
    <row r="14200" spans="1:4">
      <c r="A14200">
        <v>1.0018499999999999</v>
      </c>
      <c r="B14200">
        <v>3.1764619999999999</v>
      </c>
      <c r="C14200">
        <f>LOG10(1.00185)</f>
        <v>8.0270252041552E-4</v>
      </c>
      <c r="D14200">
        <f>LOG10(3.176462)</f>
        <v>0.50194366423950798</v>
      </c>
    </row>
    <row r="14201" spans="1:4">
      <c r="A14201">
        <v>1.0026360000000001</v>
      </c>
      <c r="B14201">
        <v>2.7894290000000002</v>
      </c>
      <c r="C14201">
        <f>LOG10(1.002636)</f>
        <v>1.1432940538774294E-3</v>
      </c>
      <c r="D14201">
        <f>LOG10(2.789429)</f>
        <v>0.44551531168629266</v>
      </c>
    </row>
    <row r="14202" spans="1:4">
      <c r="A14202">
        <v>1.010062</v>
      </c>
      <c r="B14202">
        <v>2.65882</v>
      </c>
      <c r="C14202">
        <f>LOG10(1.010062)</f>
        <v>4.3480326256745833E-3</v>
      </c>
      <c r="D14202">
        <f>LOG10(2.65882)</f>
        <v>0.42468893693562565</v>
      </c>
    </row>
    <row r="14203" spans="1:4">
      <c r="A14203">
        <v>1.0052490000000001</v>
      </c>
      <c r="B14203">
        <v>2.9953340000000002</v>
      </c>
      <c r="C14203">
        <f>LOG10(1.005249)</f>
        <v>2.2736497483902556E-3</v>
      </c>
      <c r="D14203">
        <f>LOG10(2.995334)</f>
        <v>0.47644525619757866</v>
      </c>
    </row>
    <row r="14204" spans="1:4">
      <c r="A14204">
        <v>1.001633</v>
      </c>
      <c r="B14204">
        <v>2.8522639999999999</v>
      </c>
      <c r="C14204">
        <f>LOG10(1.001633)</f>
        <v>7.0862445442594515E-4</v>
      </c>
      <c r="D14204">
        <f>LOG10(2.852264)</f>
        <v>0.45518972049153733</v>
      </c>
    </row>
    <row r="14205" spans="1:4">
      <c r="A14205">
        <v>1.00471</v>
      </c>
      <c r="B14205">
        <v>3.0963690000000001</v>
      </c>
      <c r="C14205">
        <f>LOG10(1.00471)</f>
        <v>2.0407248664826424E-3</v>
      </c>
      <c r="D14205">
        <f>LOG10(3.096369)</f>
        <v>0.49085271076877529</v>
      </c>
    </row>
    <row r="14206" spans="1:4">
      <c r="A14206">
        <v>1.008858</v>
      </c>
      <c r="B14206">
        <v>2.9019620000000002</v>
      </c>
      <c r="C14206">
        <f>LOG10(1.008858)</f>
        <v>3.8300421969314474E-3</v>
      </c>
      <c r="D14206">
        <f>LOG10(2.901962)</f>
        <v>0.46269172123115782</v>
      </c>
    </row>
    <row r="14207" spans="1:4">
      <c r="A14207">
        <v>1.007917</v>
      </c>
      <c r="B14207">
        <v>3.0114239999999999</v>
      </c>
      <c r="C14207">
        <f>LOG10(1.007917)</f>
        <v>3.4247702780239807E-3</v>
      </c>
      <c r="D14207">
        <f>LOG10(3.011424)</f>
        <v>0.47877190725519098</v>
      </c>
    </row>
    <row r="14208" spans="1:4">
      <c r="A14208">
        <v>1.0073209999999999</v>
      </c>
      <c r="B14208">
        <v>3.0364930000000001</v>
      </c>
      <c r="C14208">
        <f>LOG10(1.007321)</f>
        <v>3.1678879457526375E-3</v>
      </c>
      <c r="D14208">
        <f>LOG10(3.036493)</f>
        <v>0.48237228428457357</v>
      </c>
    </row>
    <row r="14209" spans="1:4">
      <c r="A14209">
        <v>1.0082329999999999</v>
      </c>
      <c r="B14209">
        <v>2.9740359999999999</v>
      </c>
      <c r="C14209">
        <f>LOG10(1.008233)</f>
        <v>3.5609080231373833E-3</v>
      </c>
      <c r="D14209">
        <f>LOG10(2.974036)</f>
        <v>0.47334622124939252</v>
      </c>
    </row>
    <row r="14210" spans="1:4">
      <c r="A14210">
        <v>1.007023</v>
      </c>
      <c r="B14210">
        <v>3.0614110000000001</v>
      </c>
      <c r="C14210">
        <f>LOG10(1.007023)</f>
        <v>3.0393897780600413E-3</v>
      </c>
      <c r="D14210">
        <f>LOG10(3.061411)</f>
        <v>0.48592163833627111</v>
      </c>
    </row>
    <row r="14211" spans="1:4">
      <c r="A14211">
        <v>1.0044599999999999</v>
      </c>
      <c r="B14211">
        <v>3.140736</v>
      </c>
      <c r="C14211">
        <f>LOG10(1.00446)</f>
        <v>1.9326467834571278E-3</v>
      </c>
      <c r="D14211">
        <f>LOG10(3.140736)</f>
        <v>0.49703143255839116</v>
      </c>
    </row>
    <row r="14212" spans="1:4">
      <c r="A14212">
        <v>1.000694</v>
      </c>
      <c r="B14212">
        <v>3.1465239999999999</v>
      </c>
      <c r="C14212">
        <f>LOG10(1.000694)</f>
        <v>3.0129583287555258E-4</v>
      </c>
      <c r="D14212">
        <f>LOG10(3.146524)</f>
        <v>0.497831048661866</v>
      </c>
    </row>
    <row r="14213" spans="1:4">
      <c r="A14213">
        <v>1.003622</v>
      </c>
      <c r="B14213">
        <v>2.8475760000000001</v>
      </c>
      <c r="C14213">
        <f>LOG10(1.003622)</f>
        <v>1.5701727440886072E-3</v>
      </c>
      <c r="D14213">
        <f>LOG10(2.847576)</f>
        <v>0.45447532395049217</v>
      </c>
    </row>
    <row r="14214" spans="1:4">
      <c r="A14214">
        <v>1.0087550000000001</v>
      </c>
      <c r="B14214">
        <v>2.916639</v>
      </c>
      <c r="C14214">
        <f>LOG10(1.008755)</f>
        <v>3.785700361629158E-3</v>
      </c>
      <c r="D14214">
        <f>LOG10(2.916639)</f>
        <v>0.46488267868974087</v>
      </c>
    </row>
    <row r="14215" spans="1:4">
      <c r="A14215">
        <v>1.0021230000000001</v>
      </c>
      <c r="B14215">
        <v>2.939241</v>
      </c>
      <c r="C14215">
        <f>LOG10(1.002123)</f>
        <v>9.2102985745360852E-4</v>
      </c>
      <c r="D14215">
        <f>LOG10(2.939241)</f>
        <v>0.46823519705562511</v>
      </c>
    </row>
    <row r="14216" spans="1:4">
      <c r="A14216">
        <v>1.0058659999999999</v>
      </c>
      <c r="B14216">
        <v>2.8846440000000002</v>
      </c>
      <c r="C14216">
        <f>LOG10(1.005866)</f>
        <v>2.5401284964890174E-3</v>
      </c>
      <c r="D14216">
        <f>LOG10(2.884644)</f>
        <v>0.46009222360077406</v>
      </c>
    </row>
    <row r="14217" spans="1:4">
      <c r="A14217">
        <v>1.0085329999999999</v>
      </c>
      <c r="B14217">
        <v>3.0384190000000002</v>
      </c>
      <c r="C14217">
        <f>LOG10(1.008533)</f>
        <v>3.6901132413252589E-3</v>
      </c>
      <c r="D14217">
        <f>LOG10(3.038419)</f>
        <v>0.48264766315431556</v>
      </c>
    </row>
    <row r="14218" spans="1:4">
      <c r="A14218">
        <v>1.012894</v>
      </c>
      <c r="B14218">
        <v>2.9346899999999998</v>
      </c>
      <c r="C14218">
        <f>LOG10(1.012894)</f>
        <v>5.563998545073146E-3</v>
      </c>
      <c r="D14218">
        <f>LOG10(2.93469)</f>
        <v>0.46756223219355125</v>
      </c>
    </row>
    <row r="14219" spans="1:4">
      <c r="A14219">
        <v>1.0076069999999999</v>
      </c>
      <c r="B14219">
        <v>3.003018</v>
      </c>
      <c r="C14219">
        <f>LOG10(1.007607)</f>
        <v>3.2911759467715127E-3</v>
      </c>
      <c r="D14219">
        <f>LOG10(3.003018)</f>
        <v>0.47755793535490709</v>
      </c>
    </row>
    <row r="14220" spans="1:4">
      <c r="A14220">
        <v>1.009639</v>
      </c>
      <c r="B14220">
        <v>3.085982</v>
      </c>
      <c r="C14220">
        <f>LOG10(1.009639)</f>
        <v>4.1661180070937864E-3</v>
      </c>
      <c r="D14220">
        <f>LOG10(3.085982)</f>
        <v>0.4893933885698149</v>
      </c>
    </row>
    <row r="14221" spans="1:4">
      <c r="A14221">
        <v>1.0097739999999999</v>
      </c>
      <c r="B14221">
        <v>3.0719479999999999</v>
      </c>
      <c r="C14221">
        <f>LOG10(1.009774)</f>
        <v>4.2241841432871033E-3</v>
      </c>
      <c r="D14221">
        <f>LOG10(3.071948)</f>
        <v>0.48741385995836894</v>
      </c>
    </row>
    <row r="14222" spans="1:4">
      <c r="A14222">
        <v>1.0139659999999999</v>
      </c>
      <c r="B14222">
        <v>2.812287</v>
      </c>
      <c r="C14222">
        <f>LOG10(1.013966)</f>
        <v>6.0233926107819647E-3</v>
      </c>
      <c r="D14222">
        <f>LOG10(2.812287)</f>
        <v>0.44905963930513698</v>
      </c>
    </row>
    <row r="14223" spans="1:4">
      <c r="A14223">
        <v>1.0103690000000001</v>
      </c>
      <c r="B14223">
        <v>2.87974</v>
      </c>
      <c r="C14223">
        <f>LOG10(1.010369)</f>
        <v>4.4800127892836595E-3</v>
      </c>
      <c r="D14223">
        <f>LOG10(2.87974)</f>
        <v>0.4593532788486302</v>
      </c>
    </row>
    <row r="14224" spans="1:4">
      <c r="A14224">
        <v>1.009757</v>
      </c>
      <c r="B14224">
        <v>2.9301149999999998</v>
      </c>
      <c r="C14224">
        <f>LOG10(1.009757)</f>
        <v>4.2168725385704625E-3</v>
      </c>
      <c r="D14224">
        <f>LOG10(2.930115)</f>
        <v>0.46688466570746012</v>
      </c>
    </row>
    <row r="14225" spans="1:4">
      <c r="A14225">
        <v>1.0112950000000001</v>
      </c>
      <c r="B14225">
        <v>2.9759820000000001</v>
      </c>
      <c r="C14225">
        <f>LOG10(1.011295)</f>
        <v>4.8778600263779236E-3</v>
      </c>
      <c r="D14225">
        <f>LOG10(2.975982)</f>
        <v>0.47363030008475665</v>
      </c>
    </row>
    <row r="14226" spans="1:4">
      <c r="A14226">
        <v>1.007463</v>
      </c>
      <c r="B14226">
        <v>3.0104380000000002</v>
      </c>
      <c r="C14226">
        <f>LOG10(1.007463)</f>
        <v>3.2291052440162828E-3</v>
      </c>
      <c r="D14226">
        <f>LOG10(3.010438)</f>
        <v>0.47862968733617484</v>
      </c>
    </row>
    <row r="14227" spans="1:4">
      <c r="A14227">
        <v>1.0147619999999999</v>
      </c>
      <c r="B14227">
        <v>3.2359740000000001</v>
      </c>
      <c r="C14227">
        <f>LOG10(1.014762)</f>
        <v>6.3641957399693562E-3</v>
      </c>
      <c r="D14227">
        <f>LOG10(3.235974)</f>
        <v>0.51000502353915567</v>
      </c>
    </row>
    <row r="14228" spans="1:4">
      <c r="A14228">
        <v>1.013164</v>
      </c>
      <c r="B14228">
        <v>3.1303969999999999</v>
      </c>
      <c r="C14228">
        <f>LOG10(1.013164)</f>
        <v>5.6797499310729744E-3</v>
      </c>
      <c r="D14228">
        <f>LOG10(3.130397)</f>
        <v>0.49559941868892127</v>
      </c>
    </row>
    <row r="14229" spans="1:4">
      <c r="A14229">
        <v>1.0136240000000001</v>
      </c>
      <c r="B14229">
        <v>3.1978559999999998</v>
      </c>
      <c r="C14229">
        <f>LOG10(1.013624)</f>
        <v>5.8768849694743807E-3</v>
      </c>
      <c r="D14229">
        <f>LOG10(3.197856)</f>
        <v>0.50485890349607254</v>
      </c>
    </row>
    <row r="14230" spans="1:4">
      <c r="A14230">
        <v>1.013231</v>
      </c>
      <c r="B14230">
        <v>3.2031000000000001</v>
      </c>
      <c r="C14230">
        <f>LOG10(1.013231)</f>
        <v>5.7084686461291593E-3</v>
      </c>
      <c r="D14230">
        <f>LOG10(3.2031)</f>
        <v>0.50557049744317084</v>
      </c>
    </row>
    <row r="14231" spans="1:4">
      <c r="A14231">
        <v>1.019557</v>
      </c>
      <c r="B14231">
        <v>3.3448920000000002</v>
      </c>
      <c r="C14231">
        <f>LOG10(1.019557)</f>
        <v>8.4115107355195173E-3</v>
      </c>
      <c r="D14231">
        <f>LOG10(3.344892)</f>
        <v>0.52438209981348216</v>
      </c>
    </row>
    <row r="14232" spans="1:4">
      <c r="A14232">
        <v>1.015577</v>
      </c>
      <c r="B14232">
        <v>3.3949400000000001</v>
      </c>
      <c r="C14232">
        <f>LOG10(1.015577)</f>
        <v>6.7128567485614053E-3</v>
      </c>
      <c r="D14232">
        <f>LOG10(3.39494)</f>
        <v>0.53083210324121088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stat.600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Himbeault</dc:creator>
  <cp:lastModifiedBy>Michael Himbeault</cp:lastModifiedBy>
  <dcterms:created xsi:type="dcterms:W3CDTF">2010-06-02T14:48:34Z</dcterms:created>
  <dcterms:modified xsi:type="dcterms:W3CDTF">2010-06-02T14:48:35Z</dcterms:modified>
</cp:coreProperties>
</file>