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hidePivotFieldList="1" defaultThemeVersion="124226"/>
  <xr:revisionPtr revIDLastSave="0" documentId="13_ncr:20001_{91508EA5-CAD3-41D2-B2EC-90DAAA595CD5}" xr6:coauthVersionLast="47" xr6:coauthVersionMax="47" xr10:uidLastSave="{00000000-0000-0000-0000-000000000000}"/>
  <bookViews>
    <workbookView xWindow="-110" yWindow="-110" windowWidth="19420" windowHeight="10300" tabRatio="618" firstSheet="11" activeTab="15" xr2:uid="{00000000-000D-0000-FFFF-FFFF00000000}"/>
  </bookViews>
  <sheets>
    <sheet name="General" sheetId="1" r:id="rId1"/>
    <sheet name="Administrasi" sheetId="5" r:id="rId2"/>
    <sheet name="Data Referensi" sheetId="6" r:id="rId3"/>
    <sheet name="Pivot Table 1" sheetId="17" r:id="rId4"/>
    <sheet name="Sheet 1" sheetId="2" state="hidden" r:id="rId5"/>
    <sheet name="Hasil Tabel Pivot 1" sheetId="18" r:id="rId6"/>
    <sheet name="Hasil Tabel Pivot 2" sheetId="22" r:id="rId7"/>
    <sheet name="Filter" sheetId="3" r:id="rId8"/>
    <sheet name="Laporan Absensi" sheetId="8" r:id="rId9"/>
    <sheet name="QR Code" sheetId="7" r:id="rId10"/>
    <sheet name="Laporan Stok Barang" sheetId="9" r:id="rId11"/>
    <sheet name="STok Barang Masuk-Keluar" sheetId="10" r:id="rId12"/>
    <sheet name="Laporan Kas" sheetId="11" r:id="rId13"/>
    <sheet name="Latihan 1" sheetId="13" r:id="rId14"/>
    <sheet name="Latihan 2" sheetId="15" r:id="rId15"/>
    <sheet name="Latihan 3" sheetId="16" r:id="rId16"/>
  </sheets>
  <definedNames>
    <definedName name="_xlnm._FilterDatabase" localSheetId="0" hidden="1">General!$M$24:$Q$45</definedName>
  </definedNames>
  <calcPr calcId="191029"/>
  <fileRecoveryPr repairLoad="1"/>
</workbook>
</file>

<file path=xl/calcChain.xml><?xml version="1.0" encoding="utf-8"?>
<calcChain xmlns="http://schemas.openxmlformats.org/spreadsheetml/2006/main">
  <c r="D11" i="9" l="1"/>
  <c r="D12" i="9"/>
  <c r="D13" i="9"/>
  <c r="D14" i="9"/>
  <c r="D15" i="9"/>
  <c r="D16" i="9"/>
  <c r="D17" i="9"/>
  <c r="D18" i="9"/>
  <c r="D19" i="9"/>
  <c r="D10" i="9"/>
  <c r="D9" i="9"/>
  <c r="N23" i="5"/>
  <c r="N24" i="5"/>
  <c r="N25" i="5"/>
  <c r="N26" i="5"/>
  <c r="N27" i="5"/>
  <c r="N28" i="5"/>
  <c r="N29" i="5"/>
  <c r="N30" i="5"/>
  <c r="N22" i="5"/>
  <c r="K88" i="1"/>
  <c r="W48" i="1"/>
  <c r="X79" i="1"/>
  <c r="X78" i="1"/>
  <c r="X74" i="1"/>
  <c r="J88" i="1"/>
  <c r="E74" i="1"/>
  <c r="E75" i="1"/>
  <c r="E76" i="1"/>
  <c r="E77" i="1"/>
  <c r="W51" i="1"/>
  <c r="U24" i="1"/>
  <c r="Q24" i="1"/>
  <c r="Q25" i="1"/>
  <c r="Q26" i="1"/>
  <c r="Q27" i="1"/>
  <c r="Q23" i="1"/>
  <c r="K44" i="1"/>
  <c r="K42" i="1"/>
  <c r="I22" i="1"/>
  <c r="I23" i="1"/>
  <c r="I24" i="1"/>
  <c r="I25" i="1"/>
  <c r="I26" i="1"/>
  <c r="I27" i="1"/>
  <c r="I21" i="1"/>
  <c r="H22" i="1"/>
  <c r="H23" i="1"/>
  <c r="H24" i="1"/>
  <c r="H25" i="1"/>
  <c r="H26" i="1"/>
  <c r="H27" i="1"/>
  <c r="H21" i="1"/>
  <c r="G13" i="1"/>
  <c r="J23" i="16"/>
  <c r="J24" i="16"/>
  <c r="J25" i="16"/>
  <c r="J26" i="16"/>
  <c r="J22" i="16"/>
  <c r="J15" i="16"/>
  <c r="J16" i="16"/>
  <c r="J17" i="16"/>
  <c r="J18" i="16"/>
  <c r="J14" i="16"/>
  <c r="I8" i="16"/>
  <c r="I7" i="16"/>
  <c r="C23" i="16"/>
  <c r="C24" i="16"/>
  <c r="C22" i="16"/>
  <c r="C18" i="16"/>
  <c r="C16" i="16"/>
  <c r="C17" i="16"/>
  <c r="C15" i="16"/>
  <c r="D7" i="16"/>
  <c r="D8" i="16"/>
  <c r="D9" i="16"/>
  <c r="D10" i="16"/>
  <c r="D6" i="16"/>
  <c r="C7" i="16"/>
  <c r="C8" i="16"/>
  <c r="C9" i="16"/>
  <c r="C10" i="16"/>
  <c r="C6" i="16"/>
  <c r="D7" i="15"/>
  <c r="D8" i="15"/>
  <c r="G8" i="15" s="1"/>
  <c r="H8" i="15" s="1"/>
  <c r="D9" i="15"/>
  <c r="G9" i="15" s="1"/>
  <c r="D10" i="15"/>
  <c r="G10" i="15" s="1"/>
  <c r="D11" i="15"/>
  <c r="G11" i="15" s="1"/>
  <c r="D12" i="15"/>
  <c r="G12" i="15" s="1"/>
  <c r="D13" i="15"/>
  <c r="G13" i="15" s="1"/>
  <c r="D6" i="15"/>
  <c r="G6" i="15" s="1"/>
  <c r="B24" i="16"/>
  <c r="G7" i="15"/>
  <c r="F7" i="15"/>
  <c r="F8" i="15"/>
  <c r="F9" i="15"/>
  <c r="F10" i="15"/>
  <c r="F11" i="15"/>
  <c r="F12" i="15"/>
  <c r="F13" i="15"/>
  <c r="F6" i="15"/>
  <c r="E7" i="15"/>
  <c r="E8" i="15"/>
  <c r="E9" i="15"/>
  <c r="E10" i="15"/>
  <c r="E11" i="15"/>
  <c r="E12" i="15"/>
  <c r="E13" i="15"/>
  <c r="E6" i="15"/>
  <c r="P97" i="1"/>
  <c r="P98" i="1"/>
  <c r="P99" i="1"/>
  <c r="P100" i="1"/>
  <c r="P101" i="1"/>
  <c r="P102" i="1"/>
  <c r="P103" i="1"/>
  <c r="P104" i="1"/>
  <c r="P105" i="1"/>
  <c r="P96" i="1"/>
  <c r="Q97" i="1"/>
  <c r="Q98" i="1"/>
  <c r="Q99" i="1"/>
  <c r="Q100" i="1"/>
  <c r="Q101" i="1"/>
  <c r="Q102" i="1"/>
  <c r="Q103" i="1"/>
  <c r="Q104" i="1"/>
  <c r="Q105" i="1"/>
  <c r="Q96" i="1"/>
  <c r="X75" i="1"/>
  <c r="X71" i="1"/>
  <c r="L88" i="1"/>
  <c r="F20" i="13"/>
  <c r="F19" i="13"/>
  <c r="G15" i="13"/>
  <c r="G14" i="13"/>
  <c r="G13" i="13"/>
  <c r="C15" i="13"/>
  <c r="C16" i="13"/>
  <c r="C17" i="13"/>
  <c r="C14" i="13"/>
  <c r="H7" i="13"/>
  <c r="H8" i="13"/>
  <c r="H9" i="13"/>
  <c r="H10" i="13"/>
  <c r="H6" i="13"/>
  <c r="G7" i="13"/>
  <c r="G8" i="13"/>
  <c r="G9" i="13"/>
  <c r="G10" i="13"/>
  <c r="G6" i="13"/>
  <c r="F7" i="13"/>
  <c r="F8" i="13"/>
  <c r="F9" i="13"/>
  <c r="F10" i="13"/>
  <c r="F6" i="13"/>
  <c r="E7" i="13"/>
  <c r="E8" i="13"/>
  <c r="E9" i="13"/>
  <c r="E10" i="13"/>
  <c r="E6" i="13"/>
  <c r="D7" i="13"/>
  <c r="D8" i="13"/>
  <c r="D9" i="13"/>
  <c r="D10" i="13"/>
  <c r="D6" i="13"/>
  <c r="C7" i="13"/>
  <c r="C8" i="13"/>
  <c r="C9" i="13"/>
  <c r="C10" i="13"/>
  <c r="C6" i="13"/>
  <c r="D19" i="11"/>
  <c r="C19" i="11"/>
  <c r="E19" i="11" s="1"/>
  <c r="E11" i="11"/>
  <c r="E12" i="11" s="1"/>
  <c r="E13" i="11" s="1"/>
  <c r="E14" i="11" s="1"/>
  <c r="E15" i="11" s="1"/>
  <c r="E16" i="11" s="1"/>
  <c r="E17" i="11" s="1"/>
  <c r="E18" i="11" s="1"/>
  <c r="E10" i="9"/>
  <c r="E11" i="9"/>
  <c r="E12" i="9"/>
  <c r="E13" i="9"/>
  <c r="E14" i="9"/>
  <c r="E15" i="9"/>
  <c r="E16" i="9"/>
  <c r="E17" i="9"/>
  <c r="E18" i="9"/>
  <c r="E19" i="9"/>
  <c r="E9" i="9"/>
  <c r="F73" i="1"/>
  <c r="F74" i="1"/>
  <c r="F75" i="1"/>
  <c r="F76" i="1"/>
  <c r="F77" i="1"/>
  <c r="E73" i="1"/>
  <c r="D64" i="1"/>
  <c r="Q59" i="1"/>
  <c r="Q60" i="1"/>
  <c r="Q61" i="1"/>
  <c r="Q62" i="1"/>
  <c r="Q63" i="1"/>
  <c r="L49" i="1"/>
  <c r="H7" i="5"/>
  <c r="H8" i="5"/>
  <c r="H9" i="5"/>
  <c r="H10" i="5"/>
  <c r="H11" i="5"/>
  <c r="H12" i="5"/>
  <c r="H13" i="5"/>
  <c r="H14" i="5"/>
  <c r="H15" i="5"/>
  <c r="H6" i="5"/>
  <c r="N21" i="5"/>
  <c r="P21" i="5"/>
  <c r="P22" i="5"/>
  <c r="P23" i="5"/>
  <c r="P24" i="5"/>
  <c r="P25" i="5"/>
  <c r="P26" i="5"/>
  <c r="P27" i="5"/>
  <c r="P28" i="5"/>
  <c r="P29" i="5"/>
  <c r="P30" i="5"/>
  <c r="G14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C83" i="1"/>
  <c r="C84" i="1"/>
  <c r="C85" i="1"/>
  <c r="C86" i="1"/>
  <c r="C82" i="1"/>
  <c r="D74" i="1"/>
  <c r="D75" i="1"/>
  <c r="D76" i="1"/>
  <c r="D77" i="1"/>
  <c r="D73" i="1"/>
  <c r="E65" i="1"/>
  <c r="E66" i="1"/>
  <c r="E67" i="1"/>
  <c r="E68" i="1"/>
  <c r="E64" i="1"/>
  <c r="D65" i="1"/>
  <c r="D66" i="1"/>
  <c r="D67" i="1"/>
  <c r="D68" i="1"/>
  <c r="K20" i="10"/>
  <c r="K19" i="10"/>
  <c r="K18" i="10"/>
  <c r="K17" i="10"/>
  <c r="K16" i="10"/>
  <c r="K15" i="10"/>
  <c r="K14" i="10"/>
  <c r="K13" i="10"/>
  <c r="K12" i="10"/>
  <c r="K11" i="10"/>
  <c r="K10" i="10"/>
  <c r="D11" i="10"/>
  <c r="D12" i="10"/>
  <c r="D13" i="10"/>
  <c r="D14" i="10"/>
  <c r="D15" i="10"/>
  <c r="D16" i="10"/>
  <c r="D17" i="10"/>
  <c r="D18" i="10"/>
  <c r="D19" i="10"/>
  <c r="D20" i="10"/>
  <c r="D10" i="10"/>
  <c r="AK11" i="8"/>
  <c r="AK12" i="8"/>
  <c r="AK13" i="8"/>
  <c r="AK14" i="8"/>
  <c r="AK15" i="8"/>
  <c r="AK16" i="8"/>
  <c r="AK17" i="8"/>
  <c r="AK18" i="8"/>
  <c r="AK19" i="8"/>
  <c r="AK10" i="8"/>
  <c r="AJ11" i="8"/>
  <c r="AJ12" i="8"/>
  <c r="AJ13" i="8"/>
  <c r="AJ14" i="8"/>
  <c r="AJ15" i="8"/>
  <c r="AJ16" i="8"/>
  <c r="AJ17" i="8"/>
  <c r="AJ18" i="8"/>
  <c r="AJ19" i="8"/>
  <c r="AJ10" i="8"/>
  <c r="AI11" i="8"/>
  <c r="AI12" i="8"/>
  <c r="AI13" i="8"/>
  <c r="AI14" i="8"/>
  <c r="AI15" i="8"/>
  <c r="AI16" i="8"/>
  <c r="AI17" i="8"/>
  <c r="AI18" i="8"/>
  <c r="AI19" i="8"/>
  <c r="AI10" i="8"/>
  <c r="AH11" i="8"/>
  <c r="AH12" i="8"/>
  <c r="AH13" i="8"/>
  <c r="AH14" i="8"/>
  <c r="AH15" i="8"/>
  <c r="AH16" i="8"/>
  <c r="AH17" i="8"/>
  <c r="AH18" i="8"/>
  <c r="AH19" i="8"/>
  <c r="AH10" i="8"/>
  <c r="W52" i="1"/>
  <c r="W45" i="1"/>
  <c r="P36" i="1"/>
  <c r="P37" i="1"/>
  <c r="P38" i="1"/>
  <c r="P39" i="1"/>
  <c r="P35" i="1"/>
  <c r="Y39" i="1"/>
  <c r="Y40" i="1"/>
  <c r="W40" i="1"/>
  <c r="W39" i="1"/>
  <c r="T34" i="1"/>
  <c r="T33" i="1"/>
  <c r="T32" i="1"/>
  <c r="T35" i="1" s="1"/>
  <c r="Y25" i="1"/>
  <c r="Y26" i="1"/>
  <c r="Y27" i="1"/>
  <c r="Y28" i="1"/>
  <c r="Y24" i="1"/>
  <c r="X25" i="1"/>
  <c r="X26" i="1"/>
  <c r="X27" i="1"/>
  <c r="X28" i="1"/>
  <c r="X24" i="1"/>
  <c r="U25" i="1"/>
  <c r="U26" i="1"/>
  <c r="U27" i="1"/>
  <c r="U28" i="1"/>
  <c r="L50" i="1"/>
  <c r="L51" i="1"/>
  <c r="L52" i="1"/>
  <c r="L53" i="1"/>
  <c r="O60" i="1"/>
  <c r="O61" i="1"/>
  <c r="O62" i="1"/>
  <c r="O63" i="1"/>
  <c r="O59" i="1"/>
  <c r="M49" i="1"/>
  <c r="K7" i="1"/>
  <c r="K8" i="1"/>
  <c r="K9" i="1"/>
  <c r="K10" i="1"/>
  <c r="K11" i="1"/>
  <c r="K12" i="1"/>
  <c r="K13" i="1"/>
  <c r="K14" i="1"/>
  <c r="K15" i="1"/>
  <c r="K6" i="1"/>
  <c r="O22" i="5"/>
  <c r="O23" i="5"/>
  <c r="O24" i="5"/>
  <c r="O25" i="5"/>
  <c r="O26" i="5"/>
  <c r="O27" i="5"/>
  <c r="O28" i="5"/>
  <c r="O29" i="5"/>
  <c r="O30" i="5"/>
  <c r="O21" i="5"/>
  <c r="P16" i="5"/>
  <c r="P15" i="5"/>
  <c r="P14" i="5"/>
  <c r="Q7" i="5"/>
  <c r="Q8" i="5"/>
  <c r="Q9" i="5"/>
  <c r="Q10" i="5"/>
  <c r="Q6" i="5"/>
  <c r="E18" i="5"/>
  <c r="G7" i="5"/>
  <c r="G8" i="5"/>
  <c r="G9" i="5"/>
  <c r="G10" i="5"/>
  <c r="G11" i="5"/>
  <c r="G12" i="5"/>
  <c r="G13" i="5"/>
  <c r="G14" i="5"/>
  <c r="G15" i="5"/>
  <c r="G6" i="5"/>
  <c r="F7" i="5"/>
  <c r="F8" i="5"/>
  <c r="F9" i="5"/>
  <c r="F10" i="5"/>
  <c r="F11" i="5"/>
  <c r="F12" i="5"/>
  <c r="F13" i="5"/>
  <c r="F14" i="5"/>
  <c r="F15" i="5"/>
  <c r="F6" i="5"/>
  <c r="L43" i="1"/>
  <c r="L44" i="1"/>
  <c r="L42" i="1"/>
  <c r="K43" i="1"/>
  <c r="M60" i="1"/>
  <c r="M61" i="1"/>
  <c r="M62" i="1"/>
  <c r="M63" i="1"/>
  <c r="M59" i="1"/>
  <c r="N50" i="1"/>
  <c r="N51" i="1"/>
  <c r="N52" i="1"/>
  <c r="N53" i="1"/>
  <c r="N49" i="1"/>
  <c r="M50" i="1"/>
  <c r="M51" i="1"/>
  <c r="M52" i="1"/>
  <c r="M53" i="1"/>
  <c r="G60" i="1"/>
  <c r="G59" i="1"/>
  <c r="G58" i="1"/>
  <c r="G57" i="1"/>
  <c r="G56" i="1"/>
  <c r="L6" i="1"/>
  <c r="L7" i="1"/>
  <c r="L8" i="1"/>
  <c r="L9" i="1"/>
  <c r="L10" i="1"/>
  <c r="L11" i="1"/>
  <c r="L12" i="1"/>
  <c r="L13" i="1"/>
  <c r="L14" i="1"/>
  <c r="L15" i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G15" i="1"/>
  <c r="H7" i="15" l="1"/>
  <c r="I7" i="15" s="1"/>
  <c r="H11" i="15"/>
  <c r="I11" i="15" s="1"/>
  <c r="H9" i="15"/>
  <c r="I9" i="15" s="1"/>
  <c r="H12" i="15"/>
  <c r="I12" i="15" s="1"/>
  <c r="H13" i="15"/>
  <c r="I13" i="15" s="1"/>
  <c r="H10" i="15"/>
  <c r="I10" i="15" s="1"/>
  <c r="I8" i="15"/>
  <c r="H6" i="15"/>
  <c r="I6" i="15" s="1"/>
  <c r="F10" i="9"/>
  <c r="F11" i="9"/>
  <c r="F18" i="9"/>
  <c r="F12" i="9"/>
  <c r="F9" i="9"/>
  <c r="F19" i="9"/>
  <c r="F17" i="9"/>
  <c r="F16" i="9"/>
  <c r="F15" i="9"/>
  <c r="F14" i="9"/>
  <c r="F13" i="9"/>
  <c r="E24" i="5"/>
  <c r="E20" i="5"/>
  <c r="E22" i="5"/>
  <c r="E23" i="5"/>
  <c r="E19" i="5"/>
</calcChain>
</file>

<file path=xl/sharedStrings.xml><?xml version="1.0" encoding="utf-8"?>
<sst xmlns="http://schemas.openxmlformats.org/spreadsheetml/2006/main" count="1929" uniqueCount="571">
  <si>
    <t>Romawi</t>
  </si>
  <si>
    <t>Arabic</t>
  </si>
  <si>
    <t>Jenis kelamin</t>
  </si>
  <si>
    <t>Nama</t>
  </si>
  <si>
    <t>Nilai</t>
  </si>
  <si>
    <t>Andi</t>
  </si>
  <si>
    <t>Angel</t>
  </si>
  <si>
    <t>Andre</t>
  </si>
  <si>
    <t>Laki-laki</t>
  </si>
  <si>
    <t>Perempuan</t>
  </si>
  <si>
    <t>Rata-rata</t>
  </si>
  <si>
    <t>Total</t>
  </si>
  <si>
    <t>( EXCEL PRACTICE )</t>
  </si>
  <si>
    <t>Anton</t>
  </si>
  <si>
    <t>Andika</t>
  </si>
  <si>
    <t>Anastasya</t>
  </si>
  <si>
    <t>Anggie</t>
  </si>
  <si>
    <t>Bulan</t>
  </si>
  <si>
    <t>Area</t>
  </si>
  <si>
    <t>Jan</t>
  </si>
  <si>
    <t>Feb</t>
  </si>
  <si>
    <t>Mar</t>
  </si>
  <si>
    <t>Jakarta</t>
  </si>
  <si>
    <t>Bandung</t>
  </si>
  <si>
    <t>Surabaya</t>
  </si>
  <si>
    <t>Grand Total</t>
  </si>
  <si>
    <t xml:space="preserve"> </t>
  </si>
  <si>
    <t>Skor</t>
  </si>
  <si>
    <t>Nilai akhir</t>
  </si>
  <si>
    <t>91-100</t>
  </si>
  <si>
    <t>71-90</t>
  </si>
  <si>
    <t>51-70</t>
  </si>
  <si>
    <t>0-50</t>
  </si>
  <si>
    <t>A</t>
  </si>
  <si>
    <t>B</t>
  </si>
  <si>
    <t>C</t>
  </si>
  <si>
    <t>D</t>
  </si>
  <si>
    <t>Oleh: Muhamad Rifqi Al-Wafi</t>
  </si>
  <si>
    <t>JK</t>
  </si>
  <si>
    <t>Asep</t>
  </si>
  <si>
    <t>Dewi</t>
  </si>
  <si>
    <t>Dina</t>
  </si>
  <si>
    <t>Toni</t>
  </si>
  <si>
    <t>Robert</t>
  </si>
  <si>
    <t>Sri</t>
  </si>
  <si>
    <t>Pria</t>
  </si>
  <si>
    <t>Wanita</t>
  </si>
  <si>
    <t>Data Validation</t>
  </si>
  <si>
    <t>Conditional Formating</t>
  </si>
  <si>
    <t>Nama Customer</t>
  </si>
  <si>
    <t>Jenis Kelamin</t>
  </si>
  <si>
    <t>Status Karyawan</t>
  </si>
  <si>
    <t>Tanggal Masuk</t>
  </si>
  <si>
    <t>Domisili</t>
  </si>
  <si>
    <t>Stok Terjual</t>
  </si>
  <si>
    <t>Omset</t>
  </si>
  <si>
    <t>Tetap</t>
  </si>
  <si>
    <t>Kontrak</t>
  </si>
  <si>
    <t>Clara</t>
  </si>
  <si>
    <t>Eko</t>
  </si>
  <si>
    <t>Gina</t>
  </si>
  <si>
    <t>Hesti</t>
  </si>
  <si>
    <t>Iqbal</t>
  </si>
  <si>
    <t>Juned</t>
  </si>
  <si>
    <t>IF</t>
  </si>
  <si>
    <t>Mengatasi eror #N/A</t>
  </si>
  <si>
    <t>Nama Buah</t>
  </si>
  <si>
    <t>Harga</t>
  </si>
  <si>
    <t>Stok</t>
  </si>
  <si>
    <t>Apel</t>
  </si>
  <si>
    <t>Jeruk</t>
  </si>
  <si>
    <t>Anggur</t>
  </si>
  <si>
    <t>Melon</t>
  </si>
  <si>
    <t>Semangka</t>
  </si>
  <si>
    <t>Cek Stok</t>
  </si>
  <si>
    <t>Leci</t>
  </si>
  <si>
    <t>Averageif</t>
  </si>
  <si>
    <t>Arabic-Roman</t>
  </si>
  <si>
    <t>*IF bertingkat (nested IF) digunakan untuk mencari sebuah nilai dengan kriteria yang jumlah/sifatnya lebih dari satu</t>
  </si>
  <si>
    <t>*untuk merata-ratakan satu set up data berdasarkan kriteria tertentu</t>
  </si>
  <si>
    <t>FILTER</t>
  </si>
  <si>
    <t>No.</t>
  </si>
  <si>
    <t>Tanggal</t>
  </si>
  <si>
    <t>Kredit (Ya/Tidak)</t>
  </si>
  <si>
    <t>Warna</t>
  </si>
  <si>
    <t>Tahun</t>
  </si>
  <si>
    <t>Merk Mobil</t>
  </si>
  <si>
    <t>Bersedia dihubungi</t>
  </si>
  <si>
    <t>Customer 1</t>
  </si>
  <si>
    <t>Ya</t>
  </si>
  <si>
    <t>Merah</t>
  </si>
  <si>
    <t>Toyota</t>
  </si>
  <si>
    <t>Customer 3</t>
  </si>
  <si>
    <t>Hijau</t>
  </si>
  <si>
    <t>Mazda</t>
  </si>
  <si>
    <t>Customer 5</t>
  </si>
  <si>
    <t>Kuning</t>
  </si>
  <si>
    <t>Mercedes Benz</t>
  </si>
  <si>
    <t>Customer 7</t>
  </si>
  <si>
    <t>Hitam</t>
  </si>
  <si>
    <t>Honda</t>
  </si>
  <si>
    <t>Customer 9</t>
  </si>
  <si>
    <t>Biru</t>
  </si>
  <si>
    <t>BMW</t>
  </si>
  <si>
    <t>Customer 11</t>
  </si>
  <si>
    <t>Customer 13</t>
  </si>
  <si>
    <t>Customer 15</t>
  </si>
  <si>
    <t>Customer 17</t>
  </si>
  <si>
    <t>Customer 19</t>
  </si>
  <si>
    <t>Customer 2</t>
  </si>
  <si>
    <t>Tidak</t>
  </si>
  <si>
    <t>Customer 4</t>
  </si>
  <si>
    <t>Customer 6</t>
  </si>
  <si>
    <t>Customer 8</t>
  </si>
  <si>
    <t>Customer 10</t>
  </si>
  <si>
    <t>Customer 12</t>
  </si>
  <si>
    <t>Customer 14</t>
  </si>
  <si>
    <t>Customer 16</t>
  </si>
  <si>
    <t>Customer 18</t>
  </si>
  <si>
    <t>Customer 20</t>
  </si>
  <si>
    <t>Sort</t>
  </si>
  <si>
    <t>*untuk mensortir sebuah data baik angka maupun huruf (kata)</t>
  </si>
  <si>
    <t>*menghitung, meringkas, dan menganalisis data pada program aplikasi microsof excel</t>
  </si>
  <si>
    <t>RAND</t>
  </si>
  <si>
    <t>No</t>
  </si>
  <si>
    <t>Random</t>
  </si>
  <si>
    <t>Budi</t>
  </si>
  <si>
    <t>Fiona</t>
  </si>
  <si>
    <t>*untuk menghasilkan angka acak, bisa digunakan untuk mendapat urutan</t>
  </si>
  <si>
    <t>Nama Sales</t>
  </si>
  <si>
    <t>Cessa</t>
  </si>
  <si>
    <t>*F4  berfungsi mengulangi proses/ pengetikan yang terakhir dilakukan</t>
  </si>
  <si>
    <t>F4</t>
  </si>
  <si>
    <t>*membatasi input data yang bisa dimasukkan ke dalam sebuah sel atau range (untuk validasi data)</t>
  </si>
  <si>
    <t>Penamaaan:</t>
  </si>
  <si>
    <t>Cell B50</t>
  </si>
  <si>
    <t>penanda</t>
  </si>
  <si>
    <t>*untuk melakukan pemformatan berdasarkan kondisi-kondisi tertentu</t>
  </si>
  <si>
    <t>Apr</t>
  </si>
  <si>
    <t>May</t>
  </si>
  <si>
    <t>Jun</t>
  </si>
  <si>
    <t>Tren Penjualan</t>
  </si>
  <si>
    <t>Emma</t>
  </si>
  <si>
    <t>Sparklines-Line</t>
  </si>
  <si>
    <t>Oprasi Dasar</t>
  </si>
  <si>
    <t>Stok Tersisa</t>
  </si>
  <si>
    <t>Harga Satuan (Rp)</t>
  </si>
  <si>
    <t>Jumlah stok tersisa</t>
  </si>
  <si>
    <t>Rata-rata stok per buah</t>
  </si>
  <si>
    <t>Banyaknya jenis buah</t>
  </si>
  <si>
    <t>Stok paling tinggi</t>
  </si>
  <si>
    <t>Stok paling rendah</t>
  </si>
  <si>
    <t>SUM</t>
  </si>
  <si>
    <t>AVERAGE</t>
  </si>
  <si>
    <t>MAX</t>
  </si>
  <si>
    <t>MIN</t>
  </si>
  <si>
    <t>COUNT atau COUNTA</t>
  </si>
  <si>
    <t>Pembulatan Angka Desimal</t>
  </si>
  <si>
    <t>Nilai Asli</t>
  </si>
  <si>
    <t>*ROUND berfungsi membulatkan angka ke sejumlah tempat desimal tertentu sesuai aturan standar</t>
  </si>
  <si>
    <t>ROUND</t>
  </si>
  <si>
    <t>ROUNDUP</t>
  </si>
  <si>
    <t>ROUNDDOWN</t>
  </si>
  <si>
    <t>Pembulatan Ratusan Terdekat</t>
  </si>
  <si>
    <t>Nama Barang</t>
  </si>
  <si>
    <t>Harga Asli</t>
  </si>
  <si>
    <t>Rokok</t>
  </si>
  <si>
    <t>Susu</t>
  </si>
  <si>
    <t>Es Krim</t>
  </si>
  <si>
    <t>Soft Drink</t>
  </si>
  <si>
    <t>*CEILING berfungsi membulatkan angka ke atas ke kelipatan bilangan bulat terdekat dari signifikan yang ditentutkan</t>
  </si>
  <si>
    <t>Setelah diubah</t>
  </si>
  <si>
    <t>Menghitung Umur/Usia</t>
  </si>
  <si>
    <t>Tanggal Lahir</t>
  </si>
  <si>
    <t>Umur</t>
  </si>
  <si>
    <t>Ruben Ardi</t>
  </si>
  <si>
    <t>Disti Liana</t>
  </si>
  <si>
    <t>Juned Abdullah</t>
  </si>
  <si>
    <t>Aryane Mariana</t>
  </si>
  <si>
    <t>Mega Sarita</t>
  </si>
  <si>
    <t>*DATEDIF digunakan untuk menghitung jumlah hari, bulan, atau tahun di antara dua tanggal</t>
  </si>
  <si>
    <t>Range B52:C57</t>
  </si>
  <si>
    <t>Nama Murid</t>
  </si>
  <si>
    <t>L/P</t>
  </si>
  <si>
    <t>MTK</t>
  </si>
  <si>
    <t>IPA</t>
  </si>
  <si>
    <t>IPS</t>
  </si>
  <si>
    <t>Total Nilai</t>
  </si>
  <si>
    <t>Rata-Rata Nilai</t>
  </si>
  <si>
    <t>Status</t>
  </si>
  <si>
    <t>Kriteria kelulusan berdasarkan nilai rata-rata</t>
  </si>
  <si>
    <t>L</t>
  </si>
  <si>
    <t>65-100</t>
  </si>
  <si>
    <t>Lulus</t>
  </si>
  <si>
    <t>Di bawah 65</t>
  </si>
  <si>
    <t>Tidak Lulus</t>
  </si>
  <si>
    <t>P</t>
  </si>
  <si>
    <t>Banyaknya murid di kelas</t>
  </si>
  <si>
    <t>Nilai rata-rata tertinggi</t>
  </si>
  <si>
    <t>Nilai rata-rata terendah</t>
  </si>
  <si>
    <t>Banyaknya murid yang lulus</t>
  </si>
  <si>
    <t>Jumlah total nilai murid yang lulus</t>
  </si>
  <si>
    <t>Rata-rata nilai murid yang lulus</t>
  </si>
  <si>
    <t>COUNTIF</t>
  </si>
  <si>
    <t>SUMIF</t>
  </si>
  <si>
    <t>AVERAGEIF</t>
  </si>
  <si>
    <t>Jenis Sekolah</t>
  </si>
  <si>
    <t>Nama Sekolah</t>
  </si>
  <si>
    <t>Keterangan</t>
  </si>
  <si>
    <t>Nama Lengkap Sekolah</t>
  </si>
  <si>
    <t>SDN</t>
  </si>
  <si>
    <t>Pagi</t>
  </si>
  <si>
    <t>SD</t>
  </si>
  <si>
    <t>Hikmah Jaya</t>
  </si>
  <si>
    <t>Unggul Persada</t>
  </si>
  <si>
    <t>Sore</t>
  </si>
  <si>
    <t>Unggulan</t>
  </si>
  <si>
    <t>Berantakan</t>
  </si>
  <si>
    <t>NaMa KEPala SekOLAH</t>
  </si>
  <si>
    <t>Huruf kecil semua</t>
  </si>
  <si>
    <t>Huruf besar semua</t>
  </si>
  <si>
    <t>Huruf besar di awal kata</t>
  </si>
  <si>
    <t>COUNT</t>
  </si>
  <si>
    <t>Rumus yang digunakan</t>
  </si>
  <si>
    <t>CONCATENATE</t>
  </si>
  <si>
    <t>LOWER</t>
  </si>
  <si>
    <t>UPER</t>
  </si>
  <si>
    <t>PROPER</t>
  </si>
  <si>
    <t>COUNTA</t>
  </si>
  <si>
    <t>Tanggal Pemesanan</t>
  </si>
  <si>
    <t>No. Pemesanan</t>
  </si>
  <si>
    <t>Lama Pengiriman</t>
  </si>
  <si>
    <t>Palembang</t>
  </si>
  <si>
    <t>Igna</t>
  </si>
  <si>
    <t>Kota</t>
  </si>
  <si>
    <t>1 Hari</t>
  </si>
  <si>
    <t>2 Hari</t>
  </si>
  <si>
    <t>3 Hari</t>
  </si>
  <si>
    <t>VLOOKUP</t>
  </si>
  <si>
    <t>HLOOKUP</t>
  </si>
  <si>
    <t>Fill</t>
  </si>
  <si>
    <t>Nomor</t>
  </si>
  <si>
    <t>O</t>
  </si>
  <si>
    <t>Tugas</t>
  </si>
  <si>
    <t>Sudah dilakukan</t>
  </si>
  <si>
    <t>Mereview laporan</t>
  </si>
  <si>
    <t>Merencanakan meeting</t>
  </si>
  <si>
    <t>Tanda tangan dokumen</t>
  </si>
  <si>
    <t>Meeting dengan bank</t>
  </si>
  <si>
    <t>Apel sore</t>
  </si>
  <si>
    <t>RANK</t>
  </si>
  <si>
    <t>*RANK berfungsi untuk membuat peringkat atau rank</t>
  </si>
  <si>
    <t>Random Between</t>
  </si>
  <si>
    <t>Pembulatan ke bawah</t>
  </si>
  <si>
    <t>Pembulatan ke atas</t>
  </si>
  <si>
    <t>Pembulatan terdekat</t>
  </si>
  <si>
    <t>CEILING</t>
  </si>
  <si>
    <t>FLOOR</t>
  </si>
  <si>
    <t>*FLOOR berfungsi membulatkan angka ke bawah ke kelipatan bilangan bulat terdekat dari signifikan yang ditentutkan</t>
  </si>
  <si>
    <t>MROUND</t>
  </si>
  <si>
    <t>*MROUND berfungsi mengembalikan angka yang dibulatkan ke kelipatan yang diinginkan</t>
  </si>
  <si>
    <t>Mengekstrak Data</t>
  </si>
  <si>
    <t>Nomor Pegawai</t>
  </si>
  <si>
    <t>3 Digit Pertama</t>
  </si>
  <si>
    <t>Divisi</t>
  </si>
  <si>
    <t>Tahun Lahir</t>
  </si>
  <si>
    <t>ARI-AKT-90</t>
  </si>
  <si>
    <t>IDA-OPS-85</t>
  </si>
  <si>
    <t>SEL-HRD-92</t>
  </si>
  <si>
    <t>DER-TAX-87</t>
  </si>
  <si>
    <t>KEN-MKT-91</t>
  </si>
  <si>
    <t>Memperbaiki Data</t>
  </si>
  <si>
    <t>Contoh</t>
  </si>
  <si>
    <t>TRIM</t>
  </si>
  <si>
    <t>UPPER</t>
  </si>
  <si>
    <t>Menggabungkan Data</t>
  </si>
  <si>
    <t>Kata 1</t>
  </si>
  <si>
    <t>Kata 2</t>
  </si>
  <si>
    <t>Concatenate</t>
  </si>
  <si>
    <t>&amp;</t>
  </si>
  <si>
    <t>Microsoft</t>
  </si>
  <si>
    <t>Excel</t>
  </si>
  <si>
    <t>Ternyata</t>
  </si>
  <si>
    <t>Gampang</t>
  </si>
  <si>
    <t>LEFT</t>
  </si>
  <si>
    <t>MID</t>
  </si>
  <si>
    <t>RIGHT</t>
  </si>
  <si>
    <t>*untuk mempermudah melihat trend data secara rill dalam bentuk dashboard dari data/value yang diinput</t>
  </si>
  <si>
    <t>Terdekat</t>
  </si>
  <si>
    <t>Ke atas</t>
  </si>
  <si>
    <t>Ke bawah</t>
  </si>
  <si>
    <t>DATEDIF</t>
  </si>
  <si>
    <t>Gabungan I</t>
  </si>
  <si>
    <t>Gabungan II</t>
  </si>
  <si>
    <t>COURSE IPB</t>
  </si>
  <si>
    <t>Insert_Get Add-Ins_QR Code</t>
  </si>
  <si>
    <t>Mensenor Digit Pada NIK</t>
  </si>
  <si>
    <t>NIK</t>
  </si>
  <si>
    <t>NIK disensor</t>
  </si>
  <si>
    <t>Jenis Barang</t>
  </si>
  <si>
    <t>Ukuran</t>
  </si>
  <si>
    <t>Sabun</t>
  </si>
  <si>
    <t>Besar</t>
  </si>
  <si>
    <t>Normal</t>
  </si>
  <si>
    <t>Shampoo</t>
  </si>
  <si>
    <t>Semua Stok</t>
  </si>
  <si>
    <t>Diskon</t>
  </si>
  <si>
    <t>Pasta Gigi</t>
  </si>
  <si>
    <t>Kecil</t>
  </si>
  <si>
    <t>SUMIFS</t>
  </si>
  <si>
    <t>Menjumlahkan Data</t>
  </si>
  <si>
    <t>Laporan Absensi Otomatis</t>
  </si>
  <si>
    <t>No. Induk</t>
  </si>
  <si>
    <t>Nama Karyawan</t>
  </si>
  <si>
    <t>Masuk</t>
  </si>
  <si>
    <t>Sakit</t>
  </si>
  <si>
    <t>Cuti</t>
  </si>
  <si>
    <t>a</t>
  </si>
  <si>
    <t>.</t>
  </si>
  <si>
    <t>c</t>
  </si>
  <si>
    <t>s</t>
  </si>
  <si>
    <t>Tertanda,</t>
  </si>
  <si>
    <t>HR Manager</t>
  </si>
  <si>
    <t>PT AL-Wafi</t>
  </si>
  <si>
    <t>Alpha</t>
  </si>
  <si>
    <t>122-111</t>
  </si>
  <si>
    <t>122-112</t>
  </si>
  <si>
    <t>122-113</t>
  </si>
  <si>
    <t>122-114</t>
  </si>
  <si>
    <t>122-115</t>
  </si>
  <si>
    <t>122-116</t>
  </si>
  <si>
    <t>122-117</t>
  </si>
  <si>
    <t>122-118</t>
  </si>
  <si>
    <t>122-119</t>
  </si>
  <si>
    <t>122-120</t>
  </si>
  <si>
    <t>Ghaly</t>
  </si>
  <si>
    <t>Dika</t>
  </si>
  <si>
    <t>Tanti</t>
  </si>
  <si>
    <t>Erin</t>
  </si>
  <si>
    <t>Mukhlish</t>
  </si>
  <si>
    <t>Irma</t>
  </si>
  <si>
    <t>Raihan</t>
  </si>
  <si>
    <t>Wildan</t>
  </si>
  <si>
    <t>Arsyad</t>
  </si>
  <si>
    <t>Asyif</t>
  </si>
  <si>
    <t>Peridoe</t>
  </si>
  <si>
    <t>Juli 2022</t>
  </si>
  <si>
    <t>Rifqi Al-Wafi</t>
  </si>
  <si>
    <t>Periode: Juli 2022</t>
  </si>
  <si>
    <t>Kode Barang</t>
  </si>
  <si>
    <t>Stok Awal</t>
  </si>
  <si>
    <t>Barang Masuk</t>
  </si>
  <si>
    <t>Barang Keluar</t>
  </si>
  <si>
    <t>Stok Akhir</t>
  </si>
  <si>
    <t>LAPORAN STOK BARANG</t>
  </si>
  <si>
    <t>PT AL-WAFI</t>
  </si>
  <si>
    <t>212-050</t>
  </si>
  <si>
    <t>212-051</t>
  </si>
  <si>
    <t>212-052</t>
  </si>
  <si>
    <t>212-053</t>
  </si>
  <si>
    <t>212-054</t>
  </si>
  <si>
    <t>212-055</t>
  </si>
  <si>
    <t>212-056</t>
  </si>
  <si>
    <t>212-057</t>
  </si>
  <si>
    <t>212-058</t>
  </si>
  <si>
    <t>212-059</t>
  </si>
  <si>
    <t>212-060</t>
  </si>
  <si>
    <t>Samsung</t>
  </si>
  <si>
    <t>Vivo</t>
  </si>
  <si>
    <t>Oppo</t>
  </si>
  <si>
    <t>Xiaomi</t>
  </si>
  <si>
    <t>Nokia</t>
  </si>
  <si>
    <t>Advan</t>
  </si>
  <si>
    <t>Lenovo</t>
  </si>
  <si>
    <t xml:space="preserve">Realme </t>
  </si>
  <si>
    <t>Blackberry</t>
  </si>
  <si>
    <t>Mito</t>
  </si>
  <si>
    <t>Asus</t>
  </si>
  <si>
    <t>LAPORAN STOK BARANG MASUK</t>
  </si>
  <si>
    <t>Jumlah Barang Masuk</t>
  </si>
  <si>
    <t>4-Juli-2022</t>
  </si>
  <si>
    <t>5-Juli-2022</t>
  </si>
  <si>
    <t>7-Juli-2022</t>
  </si>
  <si>
    <t>9-Juli-2022</t>
  </si>
  <si>
    <t>10-Juli-2022</t>
  </si>
  <si>
    <t>3-Juli-2022</t>
  </si>
  <si>
    <t>16-Juli-2022</t>
  </si>
  <si>
    <t>18-Juli-2022</t>
  </si>
  <si>
    <t>24-Juli-2022</t>
  </si>
  <si>
    <t>27-Juli-2022</t>
  </si>
  <si>
    <t>21-Juli-2022</t>
  </si>
  <si>
    <t>15-Juli-2022</t>
  </si>
  <si>
    <t>Jumlah Barang Keluar</t>
  </si>
  <si>
    <t>JUMLAH STOK BARANG KELUAR</t>
  </si>
  <si>
    <t>29-Juli-2022</t>
  </si>
  <si>
    <t>Harga per pcs</t>
  </si>
  <si>
    <t>Stok Dibeli</t>
  </si>
  <si>
    <t>Harga Total</t>
  </si>
  <si>
    <t>Diskon 10%</t>
  </si>
  <si>
    <t>Diskon 20%</t>
  </si>
  <si>
    <t>Absolute Reference &amp; Relative Reference</t>
  </si>
  <si>
    <t>Relative Reference</t>
  </si>
  <si>
    <t>Absolute Reference</t>
  </si>
  <si>
    <t>Mix Reference</t>
  </si>
  <si>
    <t>Perkalian</t>
  </si>
  <si>
    <t>Small</t>
  </si>
  <si>
    <t>Medium</t>
  </si>
  <si>
    <t>Large</t>
  </si>
  <si>
    <t>Jumbo</t>
  </si>
  <si>
    <t>Latte</t>
  </si>
  <si>
    <t>Menu</t>
  </si>
  <si>
    <t>Cappucino</t>
  </si>
  <si>
    <t>Americano</t>
  </si>
  <si>
    <t>Grean Tea Latte</t>
  </si>
  <si>
    <t>Lemon Tea</t>
  </si>
  <si>
    <t>Raspberry Latte</t>
  </si>
  <si>
    <t>Index</t>
  </si>
  <si>
    <t>Match</t>
  </si>
  <si>
    <t>=match(sel acuan, kolom referensi, 0)</t>
  </si>
  <si>
    <t>INDEX-MATCH</t>
  </si>
  <si>
    <r>
      <t xml:space="preserve">=index(tabel referensi, </t>
    </r>
    <r>
      <rPr>
        <sz val="10"/>
        <color rgb="FF00B050"/>
        <rFont val="Calibri"/>
        <family val="2"/>
        <scheme val="minor"/>
      </rPr>
      <t>baris keberapa</t>
    </r>
    <r>
      <rPr>
        <sz val="10"/>
        <color theme="1"/>
        <rFont val="Calibri"/>
        <family val="2"/>
        <scheme val="minor"/>
      </rPr>
      <t xml:space="preserve">, </t>
    </r>
    <r>
      <rPr>
        <sz val="10"/>
        <color rgb="FF00B050"/>
        <rFont val="Calibri"/>
        <family val="2"/>
        <scheme val="minor"/>
      </rPr>
      <t>kolom keberapa</t>
    </r>
    <r>
      <rPr>
        <sz val="10"/>
        <color theme="1"/>
        <rFont val="Calibri"/>
        <family val="2"/>
        <scheme val="minor"/>
      </rPr>
      <t>)</t>
    </r>
  </si>
  <si>
    <t>*INDEX berfungsi menarik data/ nilai dari cell range dengan memberitahu posisi dari data tersebut dalam cell rangenya</t>
  </si>
  <si>
    <t>*MATCH berfungsi mencari item yang ditentukan dalam rentang sel, kemudian mengembalikan posisi relatif item tersebut dalam rentang</t>
  </si>
  <si>
    <t>*INDEX-MATCH bisa digunakan ketika pengguna ingin mencari nilai dalam data saat fungsi VLOOKUP tidak berfungsi</t>
  </si>
  <si>
    <t>Maher Zain-Rahmatun Lil'Alameen</t>
  </si>
  <si>
    <t xml:space="preserve">    Saya     suka  belajar Microsoft      Excel      </t>
  </si>
  <si>
    <t>Deskripsi</t>
  </si>
  <si>
    <t>Uang Masuk</t>
  </si>
  <si>
    <t>Uang Keluar</t>
  </si>
  <si>
    <t>Saldo Akhir</t>
  </si>
  <si>
    <t>Laporan Kas Masuk dan Keluar</t>
  </si>
  <si>
    <t>RT. 001/ RW. 003</t>
  </si>
  <si>
    <t>Desa. Balong, Kec. Sindangagung</t>
  </si>
  <si>
    <t>Saldo Bulan Lalu</t>
  </si>
  <si>
    <t>Pebaikan Jalan</t>
  </si>
  <si>
    <t>Alat kebersihan masjid</t>
  </si>
  <si>
    <t>PAM masjid</t>
  </si>
  <si>
    <t>Stimulan desa</t>
  </si>
  <si>
    <t>Konsumsi kerja bakti</t>
  </si>
  <si>
    <t>Iuran Warga</t>
  </si>
  <si>
    <t>Jasa potong rumput</t>
  </si>
  <si>
    <t>Donasi bencana</t>
  </si>
  <si>
    <t>TOTAL</t>
  </si>
  <si>
    <t>A ditambah B</t>
  </si>
  <si>
    <t>A dikurang B</t>
  </si>
  <si>
    <t>A dikali B</t>
  </si>
  <si>
    <t>A dibagi B</t>
  </si>
  <si>
    <t>30% dari A</t>
  </si>
  <si>
    <t>B dipotong diskon 10%</t>
  </si>
  <si>
    <t>Jumlah Penduduk</t>
  </si>
  <si>
    <t>Pertumbuhan Penduduk</t>
  </si>
  <si>
    <t>%</t>
  </si>
  <si>
    <t>Pendapatan</t>
  </si>
  <si>
    <t>Pengeluaran</t>
  </si>
  <si>
    <t>Keuntungan</t>
  </si>
  <si>
    <t>% Keuntungan</t>
  </si>
  <si>
    <t>*Pertumbuhan pendudukan dihitung menggunakan presentase dari selisih jumlah penduduk di tahun sekarang dengan tahun sebelumnya kemudian dibagi dengan jumlah penduduk di tahun sebelumnya.</t>
  </si>
  <si>
    <t>Nama Penumpang</t>
  </si>
  <si>
    <t>Kode Tiket</t>
  </si>
  <si>
    <t>Kelas</t>
  </si>
  <si>
    <t>Jenis Tiket</t>
  </si>
  <si>
    <t>Harga Awal</t>
  </si>
  <si>
    <t>Harga setelah Diskon</t>
  </si>
  <si>
    <t>Charlie</t>
  </si>
  <si>
    <t>Ariel</t>
  </si>
  <si>
    <t>Baim</t>
  </si>
  <si>
    <t>Dorothy</t>
  </si>
  <si>
    <t>Elsa</t>
  </si>
  <si>
    <t>Gerry</t>
  </si>
  <si>
    <t>Henny</t>
  </si>
  <si>
    <t>Tabel Kelas</t>
  </si>
  <si>
    <t>Kode</t>
  </si>
  <si>
    <t>EKO</t>
  </si>
  <si>
    <t>BIS</t>
  </si>
  <si>
    <t>EXC</t>
  </si>
  <si>
    <t>Ekonomi</t>
  </si>
  <si>
    <t>Bisnis</t>
  </si>
  <si>
    <t>Executive</t>
  </si>
  <si>
    <t>Tabel Jenis Tiket</t>
  </si>
  <si>
    <t>Anak</t>
  </si>
  <si>
    <t>Dewasa</t>
  </si>
  <si>
    <t>Lansia</t>
  </si>
  <si>
    <t>Instruksi:</t>
  </si>
  <si>
    <t>2. Jenis tiket mengacu pada 1 huruf terakhir di kode tiket</t>
  </si>
  <si>
    <t>3. Harga awal tergantung jenis tiket dan kelas masing-masing penumpang</t>
  </si>
  <si>
    <t>4. Diskon sebesar 10% untuk semua tiket</t>
  </si>
  <si>
    <t>5. Harga setelah diskon adalah harga awal dikurangi diskon sebesar 10% tersebut</t>
  </si>
  <si>
    <t>6. Urutkan berdasarkan nama penumpang secara alfabet</t>
  </si>
  <si>
    <t>A76</t>
  </si>
  <si>
    <t>COUNT &amp; COUNTA</t>
  </si>
  <si>
    <t>A71</t>
  </si>
  <si>
    <t>A32</t>
  </si>
  <si>
    <t>A83</t>
  </si>
  <si>
    <t>A85</t>
  </si>
  <si>
    <t>Sedang</t>
  </si>
  <si>
    <t>A95</t>
  </si>
  <si>
    <t>A24</t>
  </si>
  <si>
    <t>Spesial</t>
  </si>
  <si>
    <t>A37</t>
  </si>
  <si>
    <t>COUNTIFS</t>
  </si>
  <si>
    <t>A97</t>
  </si>
  <si>
    <t>A40</t>
  </si>
  <si>
    <t>Conditioner</t>
  </si>
  <si>
    <t>A52</t>
  </si>
  <si>
    <t>A43</t>
  </si>
  <si>
    <t>Form Input Data</t>
  </si>
  <si>
    <t>ID Karyawan</t>
  </si>
  <si>
    <t>Posisi</t>
  </si>
  <si>
    <t>121-051</t>
  </si>
  <si>
    <t>Kuningan</t>
  </si>
  <si>
    <t>121-054</t>
  </si>
  <si>
    <t>Dika Gunawan</t>
  </si>
  <si>
    <t>Accounting Staff</t>
  </si>
  <si>
    <t>Tanggerang</t>
  </si>
  <si>
    <t>121-053</t>
  </si>
  <si>
    <t>Annisa</t>
  </si>
  <si>
    <t>Sales Manager</t>
  </si>
  <si>
    <t>Bogor</t>
  </si>
  <si>
    <t>121-052</t>
  </si>
  <si>
    <t>Denisha</t>
  </si>
  <si>
    <t>Ops Director</t>
  </si>
  <si>
    <t>121-055</t>
  </si>
  <si>
    <t>Purchasing</t>
  </si>
  <si>
    <t>Yogyakarta</t>
  </si>
  <si>
    <t>Vlookup Kiri</t>
  </si>
  <si>
    <t>Count, Counta, Countif, Countifs</t>
  </si>
  <si>
    <t>BIS1991A</t>
  </si>
  <si>
    <t>EKO1998D</t>
  </si>
  <si>
    <t>EXC2001A</t>
  </si>
  <si>
    <t>EXC1987D</t>
  </si>
  <si>
    <t>EKO1995L</t>
  </si>
  <si>
    <t>BIS1992D</t>
  </si>
  <si>
    <t>EKO1994A</t>
  </si>
  <si>
    <t>EXC1970L</t>
  </si>
  <si>
    <t>1. Kelas mengacu kepada 3 huruf pertama di kode tiket, tahun lahir mengacu pada digit 4-7</t>
  </si>
  <si>
    <t>1. Menghitung persentase dari sebuah angka</t>
  </si>
  <si>
    <t>4. Menghitung % laba terhadap pendapatan</t>
  </si>
  <si>
    <t>120% dari B</t>
  </si>
  <si>
    <t>2. Menghitung % pertumbuhan penduduk, ekonomi, pendapatan, dsb.</t>
  </si>
  <si>
    <t>5a. Menghitung harga baru setelah kenaikan harga</t>
  </si>
  <si>
    <t>Kenaikan Harga</t>
  </si>
  <si>
    <t>Harga baru</t>
  </si>
  <si>
    <t>3. Menghitung % sebuah data terhadap total data</t>
  </si>
  <si>
    <t>5b. Menghitung harga baru setelah diskon</t>
  </si>
  <si>
    <t>Harga setelah diskon</t>
  </si>
  <si>
    <t>Merek</t>
  </si>
  <si>
    <t>Tipe</t>
  </si>
  <si>
    <t>Pajak Kadaluwarsa</t>
  </si>
  <si>
    <t>Penjualan</t>
  </si>
  <si>
    <t>Harga Modal</t>
  </si>
  <si>
    <t>Avanza</t>
  </si>
  <si>
    <t>Innova</t>
  </si>
  <si>
    <t>Land Cruiser</t>
  </si>
  <si>
    <t>Jazz</t>
  </si>
  <si>
    <t>CRV</t>
  </si>
  <si>
    <t>Brio</t>
  </si>
  <si>
    <t>Suzuki</t>
  </si>
  <si>
    <t>Ertiga</t>
  </si>
  <si>
    <t>Swift</t>
  </si>
  <si>
    <t>Mitsubishi</t>
  </si>
  <si>
    <t>Xpander</t>
  </si>
  <si>
    <t>Pajero</t>
  </si>
  <si>
    <t>Nissan</t>
  </si>
  <si>
    <t>March</t>
  </si>
  <si>
    <t>Juke</t>
  </si>
  <si>
    <t>Sum of Penjualan</t>
  </si>
  <si>
    <t>Sum of Profit</t>
  </si>
  <si>
    <t>Sum of Profit Bersih</t>
  </si>
  <si>
    <t>H+M</t>
  </si>
  <si>
    <t>N+S</t>
  </si>
  <si>
    <t>Merek2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</si>
</sst>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00000000"/>
    <numFmt numFmtId="166" formatCode="_(* #,##0.0_);_(* \(#,##0.0\);_(* &quot;-&quot;??_);_(@_)"/>
    <numFmt numFmtId="167" formatCode="[$-409]d\-mmm\-yyyy;@"/>
    <numFmt numFmtId="168" formatCode="0.0%"/>
  </numFmts>
  <fonts count="3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5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haroni"/>
      <charset val="177"/>
    </font>
    <font>
      <b/>
      <sz val="16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gency FB"/>
      <family val="2"/>
    </font>
    <font>
      <sz val="10"/>
      <color theme="0"/>
      <name val="Aharoni"/>
      <charset val="177"/>
    </font>
    <font>
      <b/>
      <i/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Wingdings 2"/>
      <family val="1"/>
      <charset val="2"/>
    </font>
    <font>
      <b/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0" xfId="0" applyFont="1" applyFill="1"/>
    <xf numFmtId="0" fontId="0" fillId="0" borderId="0" xfId="0" pivotButton="1"/>
    <xf numFmtId="0" fontId="1" fillId="2" borderId="0" xfId="0" applyFont="1" applyFill="1"/>
    <xf numFmtId="0" fontId="3" fillId="0" borderId="0" xfId="0" applyFont="1"/>
    <xf numFmtId="0" fontId="5" fillId="0" borderId="0" xfId="0" applyFont="1"/>
    <xf numFmtId="14" fontId="1" fillId="0" borderId="0" xfId="0" applyNumberFormat="1" applyFont="1"/>
    <xf numFmtId="164" fontId="1" fillId="0" borderId="0" xfId="1" applyNumberFormat="1" applyFont="1" applyBorder="1"/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/>
    <xf numFmtId="0" fontId="6" fillId="0" borderId="0" xfId="0" applyFont="1"/>
    <xf numFmtId="0" fontId="1" fillId="0" borderId="0" xfId="0" applyFont="1" applyAlignment="1">
      <alignment vertical="center"/>
    </xf>
    <xf numFmtId="164" fontId="7" fillId="0" borderId="0" xfId="1" applyNumberFormat="1" applyFont="1" applyBorder="1"/>
    <xf numFmtId="0" fontId="5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8" fillId="4" borderId="0" xfId="0" applyFont="1" applyFill="1" applyAlignment="1">
      <alignment vertical="top"/>
    </xf>
    <xf numFmtId="0" fontId="9" fillId="4" borderId="0" xfId="0" applyFont="1" applyFill="1"/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2" borderId="1" xfId="0" applyFont="1" applyFill="1" applyBorder="1"/>
    <xf numFmtId="0" fontId="10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41" fontId="1" fillId="0" borderId="0" xfId="2" applyFont="1"/>
    <xf numFmtId="0" fontId="0" fillId="0" borderId="1" xfId="0" applyBorder="1"/>
    <xf numFmtId="0" fontId="15" fillId="4" borderId="0" xfId="0" applyFont="1" applyFill="1"/>
    <xf numFmtId="0" fontId="3" fillId="6" borderId="0" xfId="0" applyFont="1" applyFill="1" applyAlignment="1">
      <alignment horizontal="center"/>
    </xf>
    <xf numFmtId="0" fontId="16" fillId="0" borderId="0" xfId="0" applyFont="1"/>
    <xf numFmtId="166" fontId="1" fillId="0" borderId="0" xfId="1" applyNumberFormat="1" applyFont="1" applyBorder="1"/>
    <xf numFmtId="0" fontId="1" fillId="6" borderId="0" xfId="0" applyFont="1" applyFill="1"/>
    <xf numFmtId="0" fontId="1" fillId="0" borderId="0" xfId="0" applyFont="1" applyAlignment="1">
      <alignment horizontal="right"/>
    </xf>
    <xf numFmtId="164" fontId="17" fillId="0" borderId="0" xfId="1" applyNumberFormat="1" applyFont="1" applyBorder="1"/>
    <xf numFmtId="0" fontId="17" fillId="0" borderId="0" xfId="0" applyFont="1"/>
    <xf numFmtId="166" fontId="17" fillId="0" borderId="0" xfId="1" applyNumberFormat="1" applyFont="1" applyBorder="1"/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/>
    <xf numFmtId="0" fontId="0" fillId="0" borderId="2" xfId="0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/>
    </xf>
    <xf numFmtId="0" fontId="17" fillId="9" borderId="0" xfId="0" applyFont="1" applyFill="1"/>
    <xf numFmtId="0" fontId="19" fillId="0" borderId="0" xfId="0" applyFont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3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3" fillId="0" borderId="6" xfId="0" applyFont="1" applyBorder="1"/>
    <xf numFmtId="164" fontId="1" fillId="0" borderId="0" xfId="0" applyNumberFormat="1" applyFont="1"/>
    <xf numFmtId="9" fontId="1" fillId="0" borderId="0" xfId="0" applyNumberFormat="1" applyFont="1"/>
    <xf numFmtId="164" fontId="1" fillId="2" borderId="0" xfId="1" applyNumberFormat="1" applyFont="1" applyFill="1" applyBorder="1"/>
    <xf numFmtId="0" fontId="1" fillId="10" borderId="0" xfId="0" applyFont="1" applyFill="1" applyAlignment="1">
      <alignment horizontal="center"/>
    </xf>
    <xf numFmtId="0" fontId="1" fillId="12" borderId="0" xfId="0" applyFont="1" applyFill="1"/>
    <xf numFmtId="0" fontId="1" fillId="0" borderId="0" xfId="0" quotePrefix="1" applyFont="1"/>
    <xf numFmtId="0" fontId="1" fillId="13" borderId="0" xfId="0" applyFont="1" applyFill="1" applyAlignment="1">
      <alignment horizontal="left"/>
    </xf>
    <xf numFmtId="0" fontId="1" fillId="13" borderId="0" xfId="0" applyFont="1" applyFill="1"/>
    <xf numFmtId="0" fontId="1" fillId="10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/>
    </xf>
    <xf numFmtId="41" fontId="1" fillId="0" borderId="0" xfId="2" applyFont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1" fontId="1" fillId="3" borderId="0" xfId="0" applyNumberFormat="1" applyFont="1" applyFill="1" applyAlignment="1">
      <alignment horizontal="center" vertical="center"/>
    </xf>
    <xf numFmtId="164" fontId="26" fillId="0" borderId="0" xfId="1" applyNumberFormat="1" applyFont="1" applyBorder="1"/>
    <xf numFmtId="9" fontId="1" fillId="0" borderId="0" xfId="3" applyFont="1" applyBorder="1"/>
    <xf numFmtId="10" fontId="1" fillId="0" borderId="0" xfId="3" applyNumberFormat="1" applyFont="1" applyBorder="1"/>
    <xf numFmtId="0" fontId="1" fillId="0" borderId="0" xfId="0" applyFont="1" applyAlignment="1">
      <alignment wrapText="1"/>
    </xf>
    <xf numFmtId="164" fontId="1" fillId="0" borderId="0" xfId="1" applyNumberFormat="1" applyFont="1" applyFill="1" applyBorder="1" applyAlignment="1"/>
    <xf numFmtId="164" fontId="1" fillId="0" borderId="0" xfId="1" applyNumberFormat="1" applyFont="1" applyFill="1" applyBorder="1" applyAlignment="1">
      <alignment wrapText="1"/>
    </xf>
    <xf numFmtId="0" fontId="28" fillId="0" borderId="0" xfId="0" applyFont="1"/>
    <xf numFmtId="0" fontId="1" fillId="0" borderId="0" xfId="0" applyFont="1" applyAlignment="1">
      <alignment vertical="center" wrapText="1"/>
    </xf>
    <xf numFmtId="164" fontId="1" fillId="0" borderId="0" xfId="1" applyNumberFormat="1" applyFont="1" applyFill="1" applyBorder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0" xfId="1" applyNumberFormat="1" applyFont="1" applyBorder="1" applyAlignment="1">
      <alignment vertical="center"/>
    </xf>
    <xf numFmtId="164" fontId="26" fillId="0" borderId="0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9" fontId="1" fillId="0" borderId="0" xfId="3" applyFont="1" applyBorder="1" applyAlignment="1">
      <alignment vertical="center"/>
    </xf>
    <xf numFmtId="168" fontId="1" fillId="0" borderId="0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vertical="center"/>
    </xf>
    <xf numFmtId="9" fontId="1" fillId="13" borderId="0" xfId="3" applyFont="1" applyFill="1" applyBorder="1" applyAlignment="1">
      <alignment horizontal="center" vertical="center" wrapText="1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4" borderId="0" xfId="0" applyFont="1" applyFill="1"/>
    <xf numFmtId="0" fontId="1" fillId="14" borderId="0" xfId="0" applyFont="1" applyFill="1" applyAlignment="1">
      <alignment wrapText="1"/>
    </xf>
    <xf numFmtId="0" fontId="1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 wrapText="1"/>
    </xf>
    <xf numFmtId="164" fontId="3" fillId="13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4" fontId="1" fillId="0" borderId="1" xfId="1" applyNumberFormat="1" applyFont="1" applyBorder="1"/>
    <xf numFmtId="41" fontId="0" fillId="0" borderId="0" xfId="2" applyFont="1"/>
    <xf numFmtId="41" fontId="0" fillId="0" borderId="0" xfId="2" applyFont="1" applyAlignme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1" fontId="1" fillId="0" borderId="0" xfId="2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" fontId="0" fillId="0" borderId="0" xfId="0" applyNumberFormat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1" fillId="0" borderId="0" xfId="0" applyFont="1"/>
    <xf numFmtId="0" fontId="1" fillId="6" borderId="0" xfId="0" applyFont="1" applyFill="1"/>
    <xf numFmtId="0" fontId="3" fillId="0" borderId="0" xfId="0" applyFont="1"/>
    <xf numFmtId="0" fontId="29" fillId="0" borderId="0" xfId="0" applyFont="1" applyAlignment="1">
      <alignment horizontal="left" vertical="top" wrapText="1"/>
    </xf>
    <xf numFmtId="0" fontId="11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7" fillId="0" borderId="0" xfId="0" applyFont="1" applyAlignment="1">
      <alignment horizontal="left" vertical="center" wrapText="1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 File Utama ) Excel Practice.xlsx]Hasil Tabel Pivot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'Hasil Tabel Pivot 1'!$D$3</c:f>
              <c:strCache>
                <c:ptCount val="1"/>
                <c:pt idx="0">
                  <c:v>Sum of Penjualan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'Hasil Tabel Pivot 1'!$A$4:$C$13</c:f>
              <c:multiLvlStrCache>
                <c:ptCount val="9"/>
                <c:lvl>
                  <c:pt idx="2">
                    <c:v>Toyota</c:v>
                  </c:pt>
                  <c:pt idx="5">
                    <c:v>Toyota</c:v>
                  </c:pt>
                  <c:pt idx="8">
                    <c:v>Toyota</c:v>
                  </c:pt>
                </c:lvl>
                <c:lvl>
                  <c:pt idx="0">
                    <c:v>H+M</c:v>
                  </c:pt>
                  <c:pt idx="1">
                    <c:v>N+S</c:v>
                  </c:pt>
                  <c:pt idx="2">
                    <c:v>Toyota</c:v>
                  </c:pt>
                  <c:pt idx="3">
                    <c:v>H+M</c:v>
                  </c:pt>
                  <c:pt idx="4">
                    <c:v>N+S</c:v>
                  </c:pt>
                  <c:pt idx="5">
                    <c:v>Toyota</c:v>
                  </c:pt>
                  <c:pt idx="6">
                    <c:v>H+M</c:v>
                  </c:pt>
                  <c:pt idx="7">
                    <c:v>N+S</c:v>
                  </c:pt>
                  <c:pt idx="8">
                    <c:v>Toyota</c:v>
                  </c:pt>
                </c:lvl>
                <c:lvl>
                  <c:pt idx="0">
                    <c:v>Bandung</c:v>
                  </c:pt>
                  <c:pt idx="3">
                    <c:v>Jakarta</c:v>
                  </c:pt>
                  <c:pt idx="6">
                    <c:v>Surabaya</c:v>
                  </c:pt>
                </c:lvl>
              </c:multiLvlStrCache>
            </c:multiLvlStrRef>
          </c:cat>
          <c:val>
            <c:numRef>
              <c:f>'Hasil Tabel Pivot 1'!$D$4:$D$13</c:f>
              <c:numCache>
                <c:formatCode>General</c:formatCode>
                <c:ptCount val="9"/>
                <c:pt idx="0">
                  <c:v>18083000000</c:v>
                </c:pt>
                <c:pt idx="1">
                  <c:v>14478000000</c:v>
                </c:pt>
                <c:pt idx="2">
                  <c:v>8988000000</c:v>
                </c:pt>
                <c:pt idx="3">
                  <c:v>14896000000</c:v>
                </c:pt>
                <c:pt idx="4">
                  <c:v>11619000000</c:v>
                </c:pt>
                <c:pt idx="5">
                  <c:v>11019000000</c:v>
                </c:pt>
                <c:pt idx="6">
                  <c:v>14389000000</c:v>
                </c:pt>
                <c:pt idx="7">
                  <c:v>12892000000</c:v>
                </c:pt>
                <c:pt idx="8">
                  <c:v>10763000000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9-4220-97AB-63564E0CF533}"/>
            </c:ext>
          </c:extLst>
        </c:ser>
        <c:ser>
          <c:idx val="1"/>
          <c:order val="1"/>
          <c:tx>
            <c:strRef>
              <c:f>'Hasil Tabel Pivot 1'!$E$3</c:f>
              <c:strCache>
                <c:ptCount val="1"/>
                <c:pt idx="0">
                  <c:v>Sum of Profit Bersih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'Hasil Tabel Pivot 1'!$A$4:$C$13</c:f>
              <c:multiLvlStrCache>
                <c:ptCount val="9"/>
                <c:lvl>
                  <c:pt idx="2">
                    <c:v>Toyota</c:v>
                  </c:pt>
                  <c:pt idx="5">
                    <c:v>Toyota</c:v>
                  </c:pt>
                  <c:pt idx="8">
                    <c:v>Toyota</c:v>
                  </c:pt>
                </c:lvl>
                <c:lvl>
                  <c:pt idx="0">
                    <c:v>H+M</c:v>
                  </c:pt>
                  <c:pt idx="1">
                    <c:v>N+S</c:v>
                  </c:pt>
                  <c:pt idx="2">
                    <c:v>Toyota</c:v>
                  </c:pt>
                  <c:pt idx="3">
                    <c:v>H+M</c:v>
                  </c:pt>
                  <c:pt idx="4">
                    <c:v>N+S</c:v>
                  </c:pt>
                  <c:pt idx="5">
                    <c:v>Toyota</c:v>
                  </c:pt>
                  <c:pt idx="6">
                    <c:v>H+M</c:v>
                  </c:pt>
                  <c:pt idx="7">
                    <c:v>N+S</c:v>
                  </c:pt>
                  <c:pt idx="8">
                    <c:v>Toyota</c:v>
                  </c:pt>
                </c:lvl>
                <c:lvl>
                  <c:pt idx="0">
                    <c:v>Bandung</c:v>
                  </c:pt>
                  <c:pt idx="3">
                    <c:v>Jakarta</c:v>
                  </c:pt>
                  <c:pt idx="6">
                    <c:v>Surabaya</c:v>
                  </c:pt>
                </c:lvl>
              </c:multiLvlStrCache>
            </c:multiLvlStrRef>
          </c:cat>
          <c:val>
            <c:numRef>
              <c:f>'Hasil Tabel Pivot 1'!$E$4:$E$13</c:f>
              <c:numCache>
                <c:formatCode>General</c:formatCode>
                <c:ptCount val="9"/>
                <c:pt idx="0">
                  <c:v>6280200000</c:v>
                </c:pt>
                <c:pt idx="1">
                  <c:v>4702500000</c:v>
                </c:pt>
                <c:pt idx="2">
                  <c:v>2504700000</c:v>
                </c:pt>
                <c:pt idx="3">
                  <c:v>4651200000</c:v>
                </c:pt>
                <c:pt idx="4">
                  <c:v>3465000000</c:v>
                </c:pt>
                <c:pt idx="5">
                  <c:v>3204000000</c:v>
                </c:pt>
                <c:pt idx="6">
                  <c:v>4014000000</c:v>
                </c:pt>
                <c:pt idx="7">
                  <c:v>3679200000</c:v>
                </c:pt>
                <c:pt idx="8">
                  <c:v>3162600000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89-4220-97AB-63564E0CF533}"/>
            </c:ext>
          </c:extLst>
        </c:ser>
        <c:ser>
          <c:idx val="2"/>
          <c:order val="2"/>
          <c:tx>
            <c:strRef>
              <c:f>'Hasil Tabel Pivot 1'!$F$3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'Hasil Tabel Pivot 1'!$A$4:$C$13</c:f>
              <c:multiLvlStrCache>
                <c:ptCount val="9"/>
                <c:lvl>
                  <c:pt idx="2">
                    <c:v>Toyota</c:v>
                  </c:pt>
                  <c:pt idx="5">
                    <c:v>Toyota</c:v>
                  </c:pt>
                  <c:pt idx="8">
                    <c:v>Toyota</c:v>
                  </c:pt>
                </c:lvl>
                <c:lvl>
                  <c:pt idx="0">
                    <c:v>H+M</c:v>
                  </c:pt>
                  <c:pt idx="1">
                    <c:v>N+S</c:v>
                  </c:pt>
                  <c:pt idx="2">
                    <c:v>Toyota</c:v>
                  </c:pt>
                  <c:pt idx="3">
                    <c:v>H+M</c:v>
                  </c:pt>
                  <c:pt idx="4">
                    <c:v>N+S</c:v>
                  </c:pt>
                  <c:pt idx="5">
                    <c:v>Toyota</c:v>
                  </c:pt>
                  <c:pt idx="6">
                    <c:v>H+M</c:v>
                  </c:pt>
                  <c:pt idx="7">
                    <c:v>N+S</c:v>
                  </c:pt>
                  <c:pt idx="8">
                    <c:v>Toyota</c:v>
                  </c:pt>
                </c:lvl>
                <c:lvl>
                  <c:pt idx="0">
                    <c:v>Bandung</c:v>
                  </c:pt>
                  <c:pt idx="3">
                    <c:v>Jakarta</c:v>
                  </c:pt>
                  <c:pt idx="6">
                    <c:v>Surabaya</c:v>
                  </c:pt>
                </c:lvl>
              </c:multiLvlStrCache>
            </c:multiLvlStrRef>
          </c:cat>
          <c:val>
            <c:numRef>
              <c:f>'Hasil Tabel Pivot 1'!$F$4:$F$13</c:f>
              <c:numCache>
                <c:formatCode>_(* #,##0_);_(* \(#,##0\);_(* "-"??_);_(@_)</c:formatCode>
                <c:ptCount val="9"/>
                <c:pt idx="0">
                  <c:v>6978000000</c:v>
                </c:pt>
                <c:pt idx="1">
                  <c:v>5225000000</c:v>
                </c:pt>
                <c:pt idx="2">
                  <c:v>2783000000</c:v>
                </c:pt>
                <c:pt idx="3">
                  <c:v>5168000000</c:v>
                </c:pt>
                <c:pt idx="4">
                  <c:v>3850000000</c:v>
                </c:pt>
                <c:pt idx="5">
                  <c:v>3560000000</c:v>
                </c:pt>
                <c:pt idx="6">
                  <c:v>4460000000</c:v>
                </c:pt>
                <c:pt idx="7">
                  <c:v>4088000000</c:v>
                </c:pt>
                <c:pt idx="8">
                  <c:v>3514000000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89-4220-97AB-63564E0CF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183872"/>
        <c:axId val="416184288"/>
      </c:barChart>
      <c:catAx>
        <c:axId val="4161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4288"/>
        <c:crosses val="autoZero"/>
        <c:auto val="1"/>
        <c:lblAlgn val="ctr"/>
        <c:lblOffset val="100"/>
        <c:noMultiLvlLbl val="0"/>
      </c:catAx>
      <c:valAx>
        <c:axId val="4161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77405</xdr:colOff>
      <xdr:row>26</xdr:row>
      <xdr:rowOff>51679</xdr:rowOff>
    </xdr:from>
    <xdr:to>
      <xdr:col>10</xdr:col>
      <xdr:colOff>784784</xdr:colOff>
      <xdr:row>29</xdr:row>
      <xdr:rowOff>85941</xdr:rowOff>
    </xdr:to>
    <xdr:sp macro="" textlink="">
      <xdr:nvSpPr>
        <xdr:cNvPr id="2" name="Curved Up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20665147">
          <a:off x="6576436" y="4457801"/>
          <a:ext cx="2528144" cy="578548"/>
        </a:xfrm>
        <a:prstGeom prst="curvedUpArrow">
          <a:avLst>
            <a:gd name="adj1" fmla="val 50000"/>
            <a:gd name="adj2" fmla="val 91796"/>
            <a:gd name="adj3" fmla="val 25000"/>
          </a:avLst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ctr"/>
          <a:endParaRPr lang="ar-SA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79374</xdr:rowOff>
    </xdr:from>
    <xdr:to>
      <xdr:col>12</xdr:col>
      <xdr:colOff>88900</xdr:colOff>
      <xdr:row>19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1804A-756B-1AB6-B8C5-E9F36DD65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87315</xdr:colOff>
      <xdr:row>6</xdr:row>
      <xdr:rowOff>119063</xdr:rowOff>
    </xdr:from>
    <xdr:to>
      <xdr:col>15</xdr:col>
      <xdr:colOff>515939</xdr:colOff>
      <xdr:row>25</xdr:row>
      <xdr:rowOff>134937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CD99D-3D6D-16D7-0F5C-86C64F946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9190" y="1182688"/>
          <a:ext cx="3484562" cy="3484562"/>
        </a:xfrm>
        <a:prstGeom prst="rect">
          <a:avLst/>
        </a:prstGeom>
      </xdr:spPr>
    </xdr:pic>
    <xdr:clientData/>
  </xdr:twoCellAnchor>
  <xdr:twoCellAnchor editAs="oneCell">
    <xdr:from>
      <xdr:col>2</xdr:col>
      <xdr:colOff>87313</xdr:colOff>
      <xdr:row>6</xdr:row>
      <xdr:rowOff>79372</xdr:rowOff>
    </xdr:from>
    <xdr:to>
      <xdr:col>7</xdr:col>
      <xdr:colOff>523875</xdr:colOff>
      <xdr:row>25</xdr:row>
      <xdr:rowOff>103184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44A3324-C4A1-413F-1C6B-F1D15E2FB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688" y="1142997"/>
          <a:ext cx="3492500" cy="349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D66C0-73F8-4368-9D49-E7A10EB9EC5B}" name="Table1" displayName="Table1" ref="O86:S91" totalsRowShown="0" headerRowDxfId="30" dataDxfId="29">
  <autoFilter ref="O86:S91" xr:uid="{A1DD66C0-73F8-4368-9D49-E7A10EB9EC5B}"/>
  <tableColumns count="5">
    <tableColumn id="1" xr3:uid="{BD0A57A9-8454-4070-A0F8-F4D596BC88D3}" name="ID Karyawan" dataDxfId="28"/>
    <tableColumn id="2" xr3:uid="{1EDA0B82-7514-4C98-9C35-2305BB47ED9B}" name="Nama Karyawan" dataDxfId="27"/>
    <tableColumn id="3" xr3:uid="{FA18192A-9F8B-4D14-A849-7CA2C8BECBFD}" name="Jenis Kelamin" dataDxfId="26"/>
    <tableColumn id="4" xr3:uid="{435E7838-D637-46EC-8469-8E24581516F9}" name="Posisi" dataDxfId="25"/>
    <tableColumn id="5" xr3:uid="{0BE44863-8D5E-4CF5-B295-5CFF53E415E1}" name="Domisili" dataDxfId="2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4DA869-83DD-4D04-B401-68ECC97AE0F5}" name="Table5" displayName="Table5" ref="A1:H28" totalsRowShown="0">
  <autoFilter ref="A1:H28" xr:uid="{F04DA869-83DD-4D04-B401-68ECC97AE0F5}"/>
  <tableColumns count="8">
    <tableColumn id="1" xr3:uid="{DA75D3E6-07CA-4586-9CDC-841AC79200E6}" name="Bulan"/>
    <tableColumn id="2" xr3:uid="{5EAD64B7-AD49-4D04-A761-D90EA5AFF623}" name="Merek"/>
    <tableColumn id="3" xr3:uid="{B8C77265-E751-47E6-BA95-550E476E2614}" name="Tipe"/>
    <tableColumn id="4" xr3:uid="{F98E931D-BBE8-4E48-BE66-8830B8D29AAF}" name="Area"/>
    <tableColumn id="5" xr3:uid="{9C8042DD-DF25-4C9F-97CF-6C2F183BC196}" name="Stok Terjual"/>
    <tableColumn id="6" xr3:uid="{4ADE9A48-3E21-4496-BF41-834B5DDD201A}" name="Pajak Kadaluwarsa" dataDxfId="23"/>
    <tableColumn id="7" xr3:uid="{0FB9C750-9721-4127-A066-1D904F924AAC}" name="Penjualan"/>
    <tableColumn id="8" xr3:uid="{1F26C8D9-34E9-4755-BB07-0C464596EDF8}" name="Harga 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989CB8-48D5-4574-9993-752A91BB935B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opLeftCell="O37" zoomScale="85" zoomScaleNormal="100" workbookViewId="0">
      <selection activeCell="X49" sqref="X49"/>
    </sheetView>
  </sheetViews>
  <sheetFormatPr defaultColWidth="9" defaultRowHeight="13"/>
  <cols>
    <col min="1" max="1" width="9" style="8"/>
    <col min="2" max="2" width="13.6328125" style="6" customWidth="1"/>
    <col min="3" max="5" width="10.6328125" style="6" customWidth="1"/>
    <col min="6" max="6" width="13" style="6" customWidth="1"/>
    <col min="7" max="7" width="13.7265625" style="6" customWidth="1"/>
    <col min="8" max="8" width="11.7265625" style="6" customWidth="1"/>
    <col min="9" max="9" width="15.1796875" style="6" customWidth="1"/>
    <col min="10" max="10" width="10.81640625" style="6" customWidth="1"/>
    <col min="11" max="11" width="15.36328125" style="6" customWidth="1"/>
    <col min="12" max="12" width="12.81640625" style="6" customWidth="1"/>
    <col min="13" max="13" width="9.08984375" style="6" customWidth="1"/>
    <col min="14" max="14" width="13.08984375" style="6" customWidth="1"/>
    <col min="15" max="15" width="15.1796875" style="6" customWidth="1"/>
    <col min="16" max="16" width="15.54296875" style="6" customWidth="1"/>
    <col min="17" max="17" width="12.6328125" style="6" customWidth="1"/>
    <col min="18" max="18" width="10.6328125" style="6" customWidth="1"/>
    <col min="19" max="19" width="16.81640625" style="6" customWidth="1"/>
    <col min="20" max="20" width="14.453125" style="6" customWidth="1"/>
    <col min="21" max="21" width="9" style="6" customWidth="1"/>
    <col min="22" max="22" width="15.36328125" style="6" customWidth="1"/>
    <col min="23" max="23" width="6.81640625" style="6" customWidth="1"/>
    <col min="24" max="24" width="14.7265625" style="6" customWidth="1"/>
    <col min="25" max="16384" width="9" style="6"/>
  </cols>
  <sheetData>
    <row r="1" spans="1:27" s="9" customFormat="1">
      <c r="A1" s="148" t="s">
        <v>12</v>
      </c>
      <c r="B1" s="148"/>
      <c r="C1" s="148"/>
      <c r="E1" s="26" t="s">
        <v>37</v>
      </c>
      <c r="F1" s="27"/>
    </row>
    <row r="2" spans="1:27" s="9" customFormat="1">
      <c r="A2" s="148"/>
      <c r="B2" s="148"/>
      <c r="C2" s="148"/>
      <c r="E2" s="26"/>
      <c r="F2" s="27"/>
    </row>
    <row r="4" spans="1:27">
      <c r="A4" s="145" t="s">
        <v>77</v>
      </c>
      <c r="B4" s="145"/>
      <c r="E4" s="13" t="s">
        <v>76</v>
      </c>
      <c r="I4" s="13" t="s">
        <v>123</v>
      </c>
      <c r="N4" s="13" t="s">
        <v>132</v>
      </c>
      <c r="Q4" s="13" t="s">
        <v>143</v>
      </c>
      <c r="Z4" s="13" t="s">
        <v>240</v>
      </c>
    </row>
    <row r="5" spans="1:27">
      <c r="B5" s="5" t="s">
        <v>1</v>
      </c>
      <c r="C5" s="5" t="s">
        <v>0</v>
      </c>
      <c r="E5" s="25" t="s">
        <v>3</v>
      </c>
      <c r="F5" s="25" t="s">
        <v>2</v>
      </c>
      <c r="G5" s="7" t="s">
        <v>4</v>
      </c>
      <c r="I5" s="5" t="s">
        <v>124</v>
      </c>
      <c r="J5" s="5" t="s">
        <v>3</v>
      </c>
      <c r="K5" s="5" t="s">
        <v>252</v>
      </c>
      <c r="L5" s="5" t="s">
        <v>125</v>
      </c>
      <c r="N5" s="5" t="s">
        <v>129</v>
      </c>
      <c r="Q5" s="5" t="s">
        <v>129</v>
      </c>
      <c r="R5" s="5" t="s">
        <v>19</v>
      </c>
      <c r="S5" s="5" t="s">
        <v>20</v>
      </c>
      <c r="T5" s="5" t="s">
        <v>21</v>
      </c>
      <c r="U5" s="5" t="s">
        <v>138</v>
      </c>
      <c r="V5" s="5" t="s">
        <v>139</v>
      </c>
      <c r="W5" s="5" t="s">
        <v>140</v>
      </c>
      <c r="X5" s="5" t="s">
        <v>141</v>
      </c>
      <c r="Z5" s="5" t="s">
        <v>241</v>
      </c>
    </row>
    <row r="6" spans="1:27" ht="14.5" customHeight="1">
      <c r="A6" s="8">
        <v>1</v>
      </c>
      <c r="B6" s="8">
        <f t="shared" ref="B6:B15" si="0">_xlfn.ARABIC(C6)</f>
        <v>1</v>
      </c>
      <c r="C6" s="8" t="str">
        <f t="shared" ref="C6:C15" si="1">ROMAN(A6)</f>
        <v>I</v>
      </c>
      <c r="E6" s="1" t="s">
        <v>5</v>
      </c>
      <c r="F6" s="1" t="s">
        <v>8</v>
      </c>
      <c r="G6" s="2">
        <v>75</v>
      </c>
      <c r="I6" s="8">
        <v>1</v>
      </c>
      <c r="J6" s="6" t="s">
        <v>5</v>
      </c>
      <c r="K6" s="8">
        <f ca="1">RANDBETWEEN(1,10)</f>
        <v>3</v>
      </c>
      <c r="L6" s="34">
        <f ca="1">RAND()</f>
        <v>0.39249544576424278</v>
      </c>
      <c r="N6" s="35" t="s">
        <v>5</v>
      </c>
      <c r="O6" s="38" t="s">
        <v>136</v>
      </c>
      <c r="Q6" s="141" t="s">
        <v>5</v>
      </c>
      <c r="R6" s="141">
        <v>10</v>
      </c>
      <c r="S6" s="141">
        <v>15</v>
      </c>
      <c r="T6" s="141">
        <v>50</v>
      </c>
      <c r="U6" s="141">
        <v>40</v>
      </c>
      <c r="V6" s="141">
        <v>25</v>
      </c>
      <c r="W6" s="141">
        <v>30</v>
      </c>
      <c r="X6" s="152"/>
      <c r="Y6"/>
      <c r="Z6" s="8">
        <v>1</v>
      </c>
    </row>
    <row r="7" spans="1:27" ht="14.5" customHeight="1">
      <c r="A7" s="8">
        <v>2</v>
      </c>
      <c r="B7" s="8">
        <f t="shared" si="0"/>
        <v>2</v>
      </c>
      <c r="C7" s="8" t="str">
        <f t="shared" si="1"/>
        <v>II</v>
      </c>
      <c r="E7" s="1" t="s">
        <v>16</v>
      </c>
      <c r="F7" s="1" t="s">
        <v>9</v>
      </c>
      <c r="G7" s="2">
        <v>90</v>
      </c>
      <c r="I7" s="8">
        <v>2</v>
      </c>
      <c r="J7" s="6" t="s">
        <v>126</v>
      </c>
      <c r="K7" s="8">
        <f t="shared" ref="K7:K15" ca="1" si="2">RANDBETWEEN(1,10)</f>
        <v>8</v>
      </c>
      <c r="L7" s="34">
        <f t="shared" ref="L7:L15" ca="1" si="3">RAND()</f>
        <v>0.95313950041468642</v>
      </c>
      <c r="N7" s="6" t="s">
        <v>126</v>
      </c>
      <c r="Q7" s="141"/>
      <c r="R7" s="141"/>
      <c r="S7" s="141"/>
      <c r="T7" s="141"/>
      <c r="U7" s="141"/>
      <c r="V7" s="141"/>
      <c r="W7" s="141"/>
      <c r="X7" s="152"/>
      <c r="Y7"/>
      <c r="Z7" s="8">
        <v>2</v>
      </c>
    </row>
    <row r="8" spans="1:27">
      <c r="A8" s="8">
        <v>3</v>
      </c>
      <c r="B8" s="8">
        <f t="shared" si="0"/>
        <v>3</v>
      </c>
      <c r="C8" s="8" t="str">
        <f t="shared" si="1"/>
        <v>III</v>
      </c>
      <c r="E8" s="1" t="s">
        <v>14</v>
      </c>
      <c r="F8" s="1" t="s">
        <v>8</v>
      </c>
      <c r="G8" s="2">
        <v>80</v>
      </c>
      <c r="I8" s="8">
        <v>3</v>
      </c>
      <c r="J8" s="6" t="s">
        <v>58</v>
      </c>
      <c r="K8" s="8">
        <f t="shared" ca="1" si="2"/>
        <v>9</v>
      </c>
      <c r="L8" s="34">
        <f t="shared" ca="1" si="3"/>
        <v>9.2034801795638832E-2</v>
      </c>
      <c r="N8" s="6" t="s">
        <v>130</v>
      </c>
      <c r="Q8" s="141" t="s">
        <v>126</v>
      </c>
      <c r="R8" s="141">
        <v>5</v>
      </c>
      <c r="S8" s="141">
        <v>8</v>
      </c>
      <c r="T8" s="141">
        <v>12</v>
      </c>
      <c r="U8" s="141">
        <v>15</v>
      </c>
      <c r="V8" s="141">
        <v>12</v>
      </c>
      <c r="W8" s="141">
        <v>20</v>
      </c>
      <c r="X8" s="152"/>
      <c r="Z8" s="8">
        <v>3</v>
      </c>
    </row>
    <row r="9" spans="1:27">
      <c r="A9" s="8">
        <v>4</v>
      </c>
      <c r="B9" s="8">
        <f t="shared" si="0"/>
        <v>4</v>
      </c>
      <c r="C9" s="8" t="str">
        <f t="shared" si="1"/>
        <v>IV</v>
      </c>
      <c r="E9" s="1" t="s">
        <v>15</v>
      </c>
      <c r="F9" s="1" t="s">
        <v>9</v>
      </c>
      <c r="G9" s="2">
        <v>85</v>
      </c>
      <c r="I9" s="8">
        <v>4</v>
      </c>
      <c r="J9" s="6" t="s">
        <v>40</v>
      </c>
      <c r="K9" s="8">
        <f t="shared" ca="1" si="2"/>
        <v>2</v>
      </c>
      <c r="L9" s="34">
        <f t="shared" ca="1" si="3"/>
        <v>8.0839270319761458E-2</v>
      </c>
      <c r="M9" s="6" t="s">
        <v>26</v>
      </c>
      <c r="N9" s="6" t="s">
        <v>40</v>
      </c>
      <c r="Q9" s="141"/>
      <c r="R9" s="141"/>
      <c r="S9" s="141"/>
      <c r="T9" s="141"/>
      <c r="U9" s="141"/>
      <c r="V9" s="141"/>
      <c r="W9" s="141"/>
      <c r="X9" s="152"/>
      <c r="Z9" s="8">
        <v>4</v>
      </c>
      <c r="AA9" s="6" t="s">
        <v>26</v>
      </c>
    </row>
    <row r="10" spans="1:27">
      <c r="A10" s="8">
        <v>5</v>
      </c>
      <c r="B10" s="8">
        <f t="shared" si="0"/>
        <v>5</v>
      </c>
      <c r="C10" s="8" t="str">
        <f t="shared" si="1"/>
        <v>V</v>
      </c>
      <c r="E10" s="1" t="s">
        <v>6</v>
      </c>
      <c r="F10" s="1" t="s">
        <v>9</v>
      </c>
      <c r="G10" s="2">
        <v>75</v>
      </c>
      <c r="I10" s="8">
        <v>5</v>
      </c>
      <c r="J10" s="6" t="s">
        <v>59</v>
      </c>
      <c r="K10" s="8">
        <f t="shared" ca="1" si="2"/>
        <v>1</v>
      </c>
      <c r="L10" s="34">
        <f t="shared" ca="1" si="3"/>
        <v>0.11132995067483742</v>
      </c>
      <c r="N10" s="6" t="s">
        <v>59</v>
      </c>
      <c r="Q10" s="141" t="s">
        <v>130</v>
      </c>
      <c r="R10" s="141">
        <v>10</v>
      </c>
      <c r="S10" s="141">
        <v>10</v>
      </c>
      <c r="T10" s="141">
        <v>10</v>
      </c>
      <c r="U10" s="141">
        <v>15</v>
      </c>
      <c r="V10" s="141">
        <v>5</v>
      </c>
      <c r="W10" s="141">
        <v>18</v>
      </c>
      <c r="X10" s="152"/>
      <c r="Z10" s="8">
        <v>5</v>
      </c>
    </row>
    <row r="11" spans="1:27">
      <c r="A11" s="8">
        <v>6</v>
      </c>
      <c r="B11" s="8">
        <f t="shared" si="0"/>
        <v>6</v>
      </c>
      <c r="C11" s="8" t="str">
        <f t="shared" si="1"/>
        <v>VI</v>
      </c>
      <c r="E11" s="1" t="s">
        <v>13</v>
      </c>
      <c r="F11" s="1" t="s">
        <v>8</v>
      </c>
      <c r="G11" s="2">
        <v>65</v>
      </c>
      <c r="I11" s="8">
        <v>6</v>
      </c>
      <c r="J11" s="6" t="s">
        <v>127</v>
      </c>
      <c r="K11" s="8">
        <f t="shared" ca="1" si="2"/>
        <v>3</v>
      </c>
      <c r="L11" s="34">
        <f t="shared" ca="1" si="3"/>
        <v>0.40345508839883537</v>
      </c>
      <c r="N11" s="6" t="s">
        <v>127</v>
      </c>
      <c r="Q11" s="141"/>
      <c r="R11" s="141"/>
      <c r="S11" s="141"/>
      <c r="T11" s="141"/>
      <c r="U11" s="141"/>
      <c r="V11" s="141"/>
      <c r="W11" s="141"/>
      <c r="X11" s="152"/>
      <c r="Z11" s="8">
        <v>6</v>
      </c>
    </row>
    <row r="12" spans="1:27" ht="14.5" customHeight="1">
      <c r="A12" s="8">
        <v>7</v>
      </c>
      <c r="B12" s="8">
        <f t="shared" si="0"/>
        <v>7</v>
      </c>
      <c r="C12" s="8" t="str">
        <f t="shared" si="1"/>
        <v>VII</v>
      </c>
      <c r="D12" s="6" t="s">
        <v>26</v>
      </c>
      <c r="E12" s="19" t="s">
        <v>7</v>
      </c>
      <c r="F12" s="1" t="s">
        <v>8</v>
      </c>
      <c r="G12" s="2">
        <v>80</v>
      </c>
      <c r="I12" s="8">
        <v>7</v>
      </c>
      <c r="J12" s="6" t="s">
        <v>60</v>
      </c>
      <c r="K12" s="8">
        <f t="shared" ca="1" si="2"/>
        <v>1</v>
      </c>
      <c r="L12" s="34">
        <f t="shared" ca="1" si="3"/>
        <v>0.61002769581086214</v>
      </c>
      <c r="N12" s="6" t="s">
        <v>60</v>
      </c>
      <c r="Q12" s="141" t="s">
        <v>40</v>
      </c>
      <c r="R12" s="141">
        <v>30</v>
      </c>
      <c r="S12" s="141">
        <v>15</v>
      </c>
      <c r="T12" s="141">
        <v>5</v>
      </c>
      <c r="U12" s="141">
        <v>10</v>
      </c>
      <c r="V12" s="141">
        <v>5</v>
      </c>
      <c r="W12" s="141">
        <v>40</v>
      </c>
      <c r="X12" s="152"/>
      <c r="Z12" s="8">
        <v>7</v>
      </c>
    </row>
    <row r="13" spans="1:27">
      <c r="A13" s="8">
        <v>8</v>
      </c>
      <c r="B13" s="8">
        <f t="shared" si="0"/>
        <v>8</v>
      </c>
      <c r="C13" s="8" t="str">
        <f t="shared" si="1"/>
        <v>VIII</v>
      </c>
      <c r="E13" s="144" t="s">
        <v>10</v>
      </c>
      <c r="F13" s="4" t="s">
        <v>8</v>
      </c>
      <c r="G13" s="3">
        <f>AVERAGEIF(F6:F12,F13,G6:G12)</f>
        <v>75</v>
      </c>
      <c r="I13" s="8">
        <v>8</v>
      </c>
      <c r="J13" s="6" t="s">
        <v>61</v>
      </c>
      <c r="K13" s="8">
        <f t="shared" ca="1" si="2"/>
        <v>10</v>
      </c>
      <c r="L13" s="34">
        <f t="shared" ca="1" si="3"/>
        <v>0.99979851793544516</v>
      </c>
      <c r="N13" s="6" t="s">
        <v>61</v>
      </c>
      <c r="Q13" s="141"/>
      <c r="R13" s="141"/>
      <c r="S13" s="141"/>
      <c r="T13" s="141"/>
      <c r="U13" s="141"/>
      <c r="V13" s="141"/>
      <c r="W13" s="141"/>
      <c r="X13" s="152"/>
      <c r="Z13" s="8">
        <v>8</v>
      </c>
    </row>
    <row r="14" spans="1:27">
      <c r="A14" s="8">
        <v>9</v>
      </c>
      <c r="B14" s="8">
        <f t="shared" si="0"/>
        <v>9</v>
      </c>
      <c r="C14" s="8" t="str">
        <f t="shared" si="1"/>
        <v>IX</v>
      </c>
      <c r="E14" s="144"/>
      <c r="F14" s="4" t="s">
        <v>9</v>
      </c>
      <c r="G14" s="3">
        <f>AVERAGEIF(F6:F12,F14,G6:G12)</f>
        <v>83.333333333333329</v>
      </c>
      <c r="I14" s="8">
        <v>9</v>
      </c>
      <c r="J14" s="6" t="s">
        <v>62</v>
      </c>
      <c r="K14" s="8">
        <f t="shared" ca="1" si="2"/>
        <v>9</v>
      </c>
      <c r="L14" s="34">
        <f t="shared" ca="1" si="3"/>
        <v>0.88726811909005976</v>
      </c>
      <c r="M14" s="6" t="s">
        <v>26</v>
      </c>
      <c r="N14" s="6" t="s">
        <v>62</v>
      </c>
      <c r="Q14" s="141" t="s">
        <v>142</v>
      </c>
      <c r="R14" s="141">
        <v>20</v>
      </c>
      <c r="S14" s="141">
        <v>25</v>
      </c>
      <c r="T14" s="141">
        <v>15</v>
      </c>
      <c r="U14" s="141">
        <v>20</v>
      </c>
      <c r="V14" s="141">
        <v>35</v>
      </c>
      <c r="W14" s="141">
        <v>32</v>
      </c>
      <c r="X14" s="152"/>
      <c r="Z14" s="8">
        <v>9</v>
      </c>
    </row>
    <row r="15" spans="1:27">
      <c r="A15" s="8">
        <v>10</v>
      </c>
      <c r="B15" s="8">
        <f t="shared" si="0"/>
        <v>10</v>
      </c>
      <c r="C15" s="8" t="str">
        <f t="shared" si="1"/>
        <v>X</v>
      </c>
      <c r="E15" s="144"/>
      <c r="F15" s="3" t="s">
        <v>11</v>
      </c>
      <c r="G15" s="3">
        <f>AVERAGE(G6:G12)</f>
        <v>78.571428571428569</v>
      </c>
      <c r="I15" s="8">
        <v>10</v>
      </c>
      <c r="J15" s="6" t="s">
        <v>39</v>
      </c>
      <c r="K15" s="8">
        <f t="shared" ca="1" si="2"/>
        <v>7</v>
      </c>
      <c r="L15" s="34">
        <f t="shared" ca="1" si="3"/>
        <v>0.41496191812493088</v>
      </c>
      <c r="N15" s="6" t="s">
        <v>39</v>
      </c>
      <c r="Q15" s="141"/>
      <c r="R15" s="141"/>
      <c r="S15" s="141"/>
      <c r="T15" s="141"/>
      <c r="U15" s="141"/>
      <c r="V15" s="141"/>
      <c r="W15" s="141"/>
      <c r="X15" s="152"/>
      <c r="Z15" s="8">
        <v>10</v>
      </c>
    </row>
    <row r="16" spans="1:27">
      <c r="E16" s="146" t="s">
        <v>79</v>
      </c>
      <c r="F16" s="146"/>
      <c r="G16" s="146"/>
      <c r="I16" s="137" t="s">
        <v>128</v>
      </c>
      <c r="J16" s="137"/>
      <c r="K16" s="137"/>
      <c r="L16" s="137"/>
      <c r="N16" s="137" t="s">
        <v>131</v>
      </c>
      <c r="O16" s="137"/>
      <c r="Q16" s="134" t="s">
        <v>287</v>
      </c>
      <c r="R16" s="134"/>
      <c r="S16" s="134"/>
      <c r="T16" s="134"/>
      <c r="U16" s="134"/>
      <c r="V16" s="134"/>
      <c r="W16" s="134"/>
      <c r="X16" s="134"/>
      <c r="Z16" s="8">
        <v>11</v>
      </c>
    </row>
    <row r="17" spans="2:28">
      <c r="B17" s="13" t="s">
        <v>47</v>
      </c>
      <c r="C17" s="12"/>
      <c r="D17" s="6" t="s">
        <v>26</v>
      </c>
      <c r="E17" s="146"/>
      <c r="F17" s="146"/>
      <c r="G17" s="146"/>
      <c r="I17" s="137"/>
      <c r="J17" s="137"/>
      <c r="K17" s="137"/>
      <c r="L17" s="137"/>
      <c r="N17" s="137"/>
      <c r="O17" s="137"/>
      <c r="Q17" s="134"/>
      <c r="R17" s="134"/>
      <c r="S17" s="134"/>
      <c r="T17" s="134"/>
      <c r="U17" s="134"/>
      <c r="V17" s="134"/>
      <c r="W17" s="134"/>
      <c r="X17" s="134"/>
      <c r="Z17" s="8">
        <v>12</v>
      </c>
    </row>
    <row r="18" spans="2:28">
      <c r="B18" s="11" t="s">
        <v>3</v>
      </c>
      <c r="C18" s="11" t="s">
        <v>38</v>
      </c>
      <c r="L18" s="6" t="s">
        <v>26</v>
      </c>
      <c r="N18" s="137"/>
      <c r="O18" s="137"/>
      <c r="Z18" s="8">
        <v>13</v>
      </c>
      <c r="AB18" s="6" t="s">
        <v>26</v>
      </c>
    </row>
    <row r="19" spans="2:28" ht="14.5">
      <c r="B19" s="6" t="s">
        <v>39</v>
      </c>
      <c r="C19" s="6" t="s">
        <v>45</v>
      </c>
      <c r="E19" s="13" t="s">
        <v>64</v>
      </c>
      <c r="F19" s="2"/>
      <c r="G19" s="2"/>
      <c r="H19" s="56" t="s">
        <v>64</v>
      </c>
      <c r="I19" s="56" t="s">
        <v>250</v>
      </c>
      <c r="L19" s="6" t="s">
        <v>26</v>
      </c>
      <c r="Z19"/>
    </row>
    <row r="20" spans="2:28" ht="14.5">
      <c r="B20" s="6" t="s">
        <v>40</v>
      </c>
      <c r="C20" s="6" t="s">
        <v>46</v>
      </c>
      <c r="E20" s="25" t="s">
        <v>3</v>
      </c>
      <c r="F20" s="25" t="s">
        <v>2</v>
      </c>
      <c r="G20" s="7" t="s">
        <v>4</v>
      </c>
      <c r="H20" s="5" t="s">
        <v>4</v>
      </c>
      <c r="I20" s="5" t="s">
        <v>250</v>
      </c>
      <c r="K20" s="5" t="s">
        <v>27</v>
      </c>
      <c r="L20" s="5" t="s">
        <v>28</v>
      </c>
      <c r="Z20"/>
    </row>
    <row r="21" spans="2:28" ht="14.5">
      <c r="B21" s="6" t="s">
        <v>41</v>
      </c>
      <c r="C21" s="6" t="s">
        <v>46</v>
      </c>
      <c r="E21" s="1" t="s">
        <v>5</v>
      </c>
      <c r="F21" s="1" t="s">
        <v>8</v>
      </c>
      <c r="G21" s="2">
        <v>75</v>
      </c>
      <c r="H21" s="8" t="str">
        <f>IF(G21&gt;90,"A",IF(G21&gt;70,"B",IF(G21&gt;50,"C","D")))</f>
        <v>B</v>
      </c>
      <c r="I21" s="6">
        <f>RANK(G21,$G$21:$G$27)</f>
        <v>4</v>
      </c>
      <c r="K21" s="8" t="s">
        <v>29</v>
      </c>
      <c r="L21" s="8" t="s">
        <v>33</v>
      </c>
      <c r="N21" s="13" t="s">
        <v>172</v>
      </c>
      <c r="Q21" s="56" t="s">
        <v>291</v>
      </c>
      <c r="T21"/>
      <c r="U21"/>
      <c r="V21"/>
      <c r="W21"/>
      <c r="X21"/>
      <c r="Z21"/>
    </row>
    <row r="22" spans="2:28">
      <c r="B22" s="6" t="s">
        <v>42</v>
      </c>
      <c r="C22" s="6" t="s">
        <v>45</v>
      </c>
      <c r="E22" s="1" t="s">
        <v>16</v>
      </c>
      <c r="F22" s="1" t="s">
        <v>9</v>
      </c>
      <c r="G22" s="2">
        <v>91</v>
      </c>
      <c r="H22" s="8" t="str">
        <f t="shared" ref="H22:H27" si="4">IF(G22&gt;90,"A",IF(G22&gt;70,"B",IF(G22&gt;50,"C","D")))</f>
        <v>A</v>
      </c>
      <c r="I22" s="6">
        <f t="shared" ref="I22:I27" si="5">RANK(G22,$G$21:$G$27)</f>
        <v>1</v>
      </c>
      <c r="K22" s="8" t="s">
        <v>30</v>
      </c>
      <c r="L22" s="8" t="s">
        <v>34</v>
      </c>
      <c r="N22" s="5" t="s">
        <v>3</v>
      </c>
      <c r="O22" s="153" t="s">
        <v>173</v>
      </c>
      <c r="P22" s="153"/>
      <c r="Q22" s="5" t="s">
        <v>174</v>
      </c>
      <c r="S22" s="13" t="s">
        <v>261</v>
      </c>
    </row>
    <row r="23" spans="2:28" ht="14.5">
      <c r="B23" s="6" t="s">
        <v>43</v>
      </c>
      <c r="C23" s="6" t="s">
        <v>45</v>
      </c>
      <c r="D23"/>
      <c r="E23" s="1" t="s">
        <v>14</v>
      </c>
      <c r="F23" s="1" t="s">
        <v>8</v>
      </c>
      <c r="G23" s="2">
        <v>80</v>
      </c>
      <c r="H23" s="8" t="str">
        <f t="shared" si="4"/>
        <v>B</v>
      </c>
      <c r="I23" s="6">
        <f t="shared" si="5"/>
        <v>2</v>
      </c>
      <c r="K23" s="8" t="s">
        <v>31</v>
      </c>
      <c r="L23" s="8" t="s">
        <v>35</v>
      </c>
      <c r="N23" s="6" t="s">
        <v>175</v>
      </c>
      <c r="O23" s="154">
        <v>36427</v>
      </c>
      <c r="P23" s="155"/>
      <c r="Q23" s="6">
        <f ca="1">DATEDIF(O23,TODAY(),"y")</f>
        <v>23</v>
      </c>
      <c r="R23"/>
      <c r="S23" s="132" t="s">
        <v>262</v>
      </c>
      <c r="T23" s="132"/>
      <c r="U23" s="132" t="s">
        <v>263</v>
      </c>
      <c r="V23" s="132"/>
      <c r="W23" s="132"/>
      <c r="X23" s="7" t="s">
        <v>264</v>
      </c>
      <c r="Y23" s="132" t="s">
        <v>265</v>
      </c>
      <c r="Z23" s="132"/>
    </row>
    <row r="24" spans="2:28" ht="14.5">
      <c r="B24" s="6" t="s">
        <v>44</v>
      </c>
      <c r="C24" s="6" t="s">
        <v>46</v>
      </c>
      <c r="E24" s="1" t="s">
        <v>15</v>
      </c>
      <c r="F24" s="1" t="s">
        <v>9</v>
      </c>
      <c r="G24" s="2">
        <v>40</v>
      </c>
      <c r="H24" s="8" t="str">
        <f t="shared" si="4"/>
        <v>D</v>
      </c>
      <c r="I24" s="6">
        <f t="shared" si="5"/>
        <v>7</v>
      </c>
      <c r="K24" s="8" t="s">
        <v>32</v>
      </c>
      <c r="L24" s="8" t="s">
        <v>36</v>
      </c>
      <c r="N24" s="6" t="s">
        <v>176</v>
      </c>
      <c r="O24" s="154">
        <v>37567</v>
      </c>
      <c r="P24" s="155"/>
      <c r="Q24" s="6">
        <f t="shared" ref="Q24:Q27" ca="1" si="6">DATEDIF(O24,TODAY(),"y")</f>
        <v>20</v>
      </c>
      <c r="R24"/>
      <c r="S24" s="155" t="s">
        <v>266</v>
      </c>
      <c r="T24" s="155"/>
      <c r="U24" s="155" t="str">
        <f>LEFT(S24,3)</f>
        <v>ARI</v>
      </c>
      <c r="V24" s="155"/>
      <c r="W24" s="155"/>
      <c r="X24" s="8" t="str">
        <f>MID(S24,5,3)</f>
        <v>AKT</v>
      </c>
      <c r="Y24" s="155" t="str">
        <f>RIGHT(S24,2)</f>
        <v>90</v>
      </c>
      <c r="Z24" s="155"/>
      <c r="AA24"/>
    </row>
    <row r="25" spans="2:28" ht="14.5">
      <c r="B25" s="137" t="s">
        <v>133</v>
      </c>
      <c r="C25" s="138"/>
      <c r="E25" s="1" t="s">
        <v>6</v>
      </c>
      <c r="F25" s="1" t="s">
        <v>9</v>
      </c>
      <c r="G25" s="2">
        <v>75</v>
      </c>
      <c r="H25" s="8" t="str">
        <f t="shared" si="4"/>
        <v>B</v>
      </c>
      <c r="I25" s="6">
        <f t="shared" si="5"/>
        <v>4</v>
      </c>
      <c r="N25" s="6" t="s">
        <v>177</v>
      </c>
      <c r="O25" s="154">
        <v>33835</v>
      </c>
      <c r="P25" s="155"/>
      <c r="Q25" s="6">
        <f t="shared" ca="1" si="6"/>
        <v>30</v>
      </c>
      <c r="R25"/>
      <c r="S25" s="155" t="s">
        <v>267</v>
      </c>
      <c r="T25" s="155"/>
      <c r="U25" s="155" t="str">
        <f t="shared" ref="U25:U28" si="7">LEFT(S25,3)</f>
        <v>IDA</v>
      </c>
      <c r="V25" s="155"/>
      <c r="W25" s="155"/>
      <c r="X25" s="8" t="str">
        <f t="shared" ref="X25:X28" si="8">MID(S25,5,3)</f>
        <v>OPS</v>
      </c>
      <c r="Y25" s="155" t="str">
        <f t="shared" ref="Y25:Y28" si="9">RIGHT(S25,2)</f>
        <v>85</v>
      </c>
      <c r="Z25" s="155"/>
      <c r="AA25"/>
    </row>
    <row r="26" spans="2:28" ht="14.5">
      <c r="B26" s="138"/>
      <c r="C26" s="138"/>
      <c r="E26" s="6" t="s">
        <v>13</v>
      </c>
      <c r="F26" s="6" t="s">
        <v>8</v>
      </c>
      <c r="G26" s="8">
        <v>65</v>
      </c>
      <c r="H26" s="8" t="str">
        <f t="shared" si="4"/>
        <v>C</v>
      </c>
      <c r="I26" s="6">
        <f t="shared" si="5"/>
        <v>6</v>
      </c>
      <c r="L26" s="6" t="s">
        <v>26</v>
      </c>
      <c r="N26" s="6" t="s">
        <v>178</v>
      </c>
      <c r="O26" s="154">
        <v>42155</v>
      </c>
      <c r="P26" s="155"/>
      <c r="Q26" s="6">
        <f t="shared" ca="1" si="6"/>
        <v>8</v>
      </c>
      <c r="R26"/>
      <c r="S26" s="155" t="s">
        <v>268</v>
      </c>
      <c r="T26" s="155"/>
      <c r="U26" s="155" t="str">
        <f t="shared" si="7"/>
        <v>SEL</v>
      </c>
      <c r="V26" s="155"/>
      <c r="W26" s="155"/>
      <c r="X26" s="8" t="str">
        <f t="shared" si="8"/>
        <v>HRD</v>
      </c>
      <c r="Y26" s="155" t="str">
        <f t="shared" si="9"/>
        <v>92</v>
      </c>
      <c r="Z26" s="155"/>
      <c r="AA26"/>
    </row>
    <row r="27" spans="2:28" ht="14.5">
      <c r="B27" s="138"/>
      <c r="C27" s="138"/>
      <c r="E27" s="6" t="s">
        <v>7</v>
      </c>
      <c r="F27" s="6" t="s">
        <v>8</v>
      </c>
      <c r="G27" s="8">
        <v>80</v>
      </c>
      <c r="H27" s="8" t="str">
        <f t="shared" si="4"/>
        <v>B</v>
      </c>
      <c r="I27" s="6">
        <f t="shared" si="5"/>
        <v>2</v>
      </c>
      <c r="N27" s="6" t="s">
        <v>179</v>
      </c>
      <c r="O27" s="154">
        <v>35885</v>
      </c>
      <c r="P27" s="155"/>
      <c r="Q27" s="6">
        <f t="shared" ca="1" si="6"/>
        <v>25</v>
      </c>
      <c r="R27"/>
      <c r="S27" s="155" t="s">
        <v>269</v>
      </c>
      <c r="T27" s="155"/>
      <c r="U27" s="155" t="str">
        <f t="shared" si="7"/>
        <v>DER</v>
      </c>
      <c r="V27" s="155"/>
      <c r="W27" s="155"/>
      <c r="X27" s="8" t="str">
        <f t="shared" si="8"/>
        <v>TAX</v>
      </c>
      <c r="Y27" s="155" t="str">
        <f t="shared" si="9"/>
        <v>87</v>
      </c>
      <c r="Z27" s="155"/>
      <c r="AA27"/>
    </row>
    <row r="28" spans="2:28" ht="14.5">
      <c r="B28" s="138"/>
      <c r="C28" s="138"/>
      <c r="E28" s="146" t="s">
        <v>78</v>
      </c>
      <c r="F28" s="146"/>
      <c r="G28" s="146"/>
      <c r="H28" s="146"/>
      <c r="N28" s="134" t="s">
        <v>180</v>
      </c>
      <c r="O28" s="134"/>
      <c r="P28" s="134"/>
      <c r="Q28" s="134"/>
      <c r="S28" s="155" t="s">
        <v>270</v>
      </c>
      <c r="T28" s="155"/>
      <c r="U28" s="155" t="str">
        <f t="shared" si="7"/>
        <v>KEN</v>
      </c>
      <c r="V28" s="155"/>
      <c r="W28" s="155"/>
      <c r="X28" s="8" t="str">
        <f t="shared" si="8"/>
        <v>MKT</v>
      </c>
      <c r="Y28" s="155" t="str">
        <f t="shared" si="9"/>
        <v>91</v>
      </c>
      <c r="Z28" s="155"/>
      <c r="AA28"/>
    </row>
    <row r="29" spans="2:28" ht="14.5">
      <c r="B29" s="138"/>
      <c r="C29" s="138"/>
      <c r="E29" s="146"/>
      <c r="F29" s="146"/>
      <c r="G29" s="146"/>
      <c r="H29" s="146"/>
      <c r="K29" s="6" t="s">
        <v>26</v>
      </c>
      <c r="N29" s="134"/>
      <c r="O29" s="134"/>
      <c r="P29" s="134"/>
      <c r="Q29" s="134"/>
      <c r="V29" s="56" t="s">
        <v>284</v>
      </c>
      <c r="W29" s="58"/>
      <c r="X29" s="59" t="s">
        <v>285</v>
      </c>
      <c r="Y29" s="133" t="s">
        <v>286</v>
      </c>
      <c r="Z29" s="133"/>
      <c r="AA29"/>
    </row>
    <row r="30" spans="2:28" ht="14.5">
      <c r="E30" s="151" t="s">
        <v>251</v>
      </c>
      <c r="F30" s="151"/>
      <c r="G30" s="151"/>
      <c r="H30" s="151"/>
      <c r="S30" s="13" t="s">
        <v>271</v>
      </c>
      <c r="Z30"/>
    </row>
    <row r="31" spans="2:28">
      <c r="B31" s="13" t="s">
        <v>48</v>
      </c>
      <c r="C31" s="12"/>
      <c r="S31" s="11" t="s">
        <v>272</v>
      </c>
      <c r="T31" s="132" t="s">
        <v>425</v>
      </c>
      <c r="U31" s="132"/>
      <c r="V31" s="132"/>
      <c r="W31" s="132"/>
      <c r="X31" s="132"/>
      <c r="Y31" s="132"/>
      <c r="Z31" s="132"/>
    </row>
    <row r="32" spans="2:28">
      <c r="B32" s="149" t="s">
        <v>49</v>
      </c>
      <c r="C32" s="150" t="s">
        <v>50</v>
      </c>
      <c r="D32" s="150" t="s">
        <v>51</v>
      </c>
      <c r="E32" s="150" t="s">
        <v>52</v>
      </c>
      <c r="F32" s="149" t="s">
        <v>53</v>
      </c>
      <c r="G32" s="149" t="s">
        <v>54</v>
      </c>
      <c r="H32" s="149" t="s">
        <v>55</v>
      </c>
      <c r="S32" s="49" t="s">
        <v>273</v>
      </c>
      <c r="T32" s="155" t="str">
        <f>TRIM(T31)</f>
        <v>Saya suka belajar Microsoft Excel</v>
      </c>
      <c r="U32" s="155"/>
      <c r="V32" s="155"/>
      <c r="W32" s="155"/>
      <c r="X32" s="155"/>
      <c r="Y32" s="155"/>
      <c r="Z32" s="155"/>
    </row>
    <row r="33" spans="2:29">
      <c r="B33" s="149"/>
      <c r="C33" s="150"/>
      <c r="D33" s="150"/>
      <c r="E33" s="150"/>
      <c r="F33" s="149"/>
      <c r="G33" s="149"/>
      <c r="H33" s="149"/>
      <c r="J33" s="13" t="s">
        <v>65</v>
      </c>
      <c r="K33" s="13"/>
      <c r="L33" s="21"/>
      <c r="M33" s="19"/>
      <c r="N33" s="21" t="s">
        <v>296</v>
      </c>
      <c r="O33" s="19"/>
      <c r="S33" s="49" t="s">
        <v>274</v>
      </c>
      <c r="T33" s="155" t="str">
        <f>UPPER(T32)</f>
        <v>SAYA SUKA BELAJAR MICROSOFT EXCEL</v>
      </c>
      <c r="U33" s="155"/>
      <c r="V33" s="155"/>
      <c r="W33" s="155"/>
      <c r="X33" s="155"/>
      <c r="Y33" s="155"/>
      <c r="Z33" s="155"/>
    </row>
    <row r="34" spans="2:29" ht="14.5">
      <c r="B34" s="6" t="s">
        <v>5</v>
      </c>
      <c r="C34" s="6" t="s">
        <v>45</v>
      </c>
      <c r="D34" s="6" t="s">
        <v>56</v>
      </c>
      <c r="E34" s="14">
        <v>44260</v>
      </c>
      <c r="F34" s="15" t="s">
        <v>22</v>
      </c>
      <c r="G34" s="16">
        <v>12</v>
      </c>
      <c r="H34" s="15">
        <v>18000000</v>
      </c>
      <c r="I34" s="6" t="s">
        <v>26</v>
      </c>
      <c r="J34" s="5" t="s">
        <v>66</v>
      </c>
      <c r="K34" s="5" t="s">
        <v>67</v>
      </c>
      <c r="L34" s="23" t="s">
        <v>68</v>
      </c>
      <c r="M34" s="19"/>
      <c r="N34" s="156" t="s">
        <v>297</v>
      </c>
      <c r="O34" s="156"/>
      <c r="P34" s="132" t="s">
        <v>298</v>
      </c>
      <c r="Q34" s="132"/>
      <c r="S34" s="49" t="s">
        <v>225</v>
      </c>
      <c r="T34" s="155" t="str">
        <f>LOWER(T32)</f>
        <v>saya suka belajar microsoft excel</v>
      </c>
      <c r="U34" s="155"/>
      <c r="V34" s="155"/>
      <c r="W34" s="155"/>
      <c r="X34" s="155"/>
      <c r="Y34" s="155"/>
      <c r="Z34" s="155"/>
    </row>
    <row r="35" spans="2:29" ht="14.5">
      <c r="B35" s="6" t="s">
        <v>5</v>
      </c>
      <c r="C35" s="6" t="s">
        <v>45</v>
      </c>
      <c r="D35" s="6" t="s">
        <v>57</v>
      </c>
      <c r="E35" s="14">
        <v>44261</v>
      </c>
      <c r="F35" s="15" t="s">
        <v>22</v>
      </c>
      <c r="G35" s="16">
        <v>25</v>
      </c>
      <c r="H35" s="15">
        <v>11000000</v>
      </c>
      <c r="J35" s="8" t="s">
        <v>69</v>
      </c>
      <c r="K35" s="8">
        <v>5000</v>
      </c>
      <c r="L35" s="22">
        <v>10</v>
      </c>
      <c r="M35" s="19"/>
      <c r="N35" s="147">
        <v>3406751239875640</v>
      </c>
      <c r="O35" s="147"/>
      <c r="P35" s="155" t="str">
        <f>LEFT(N35,12)&amp;"****"</f>
        <v>340675123987****</v>
      </c>
      <c r="Q35" s="155"/>
      <c r="S35" s="49" t="s">
        <v>227</v>
      </c>
      <c r="T35" s="155" t="str">
        <f>PROPER(T32)</f>
        <v>Saya Suka Belajar Microsoft Excel</v>
      </c>
      <c r="U35" s="155"/>
      <c r="V35" s="155"/>
      <c r="W35" s="155"/>
      <c r="X35" s="155"/>
      <c r="Y35" s="155"/>
      <c r="Z35" s="155"/>
    </row>
    <row r="36" spans="2:29" ht="14.5">
      <c r="B36" s="6" t="s">
        <v>58</v>
      </c>
      <c r="C36" s="6" t="s">
        <v>46</v>
      </c>
      <c r="D36" s="6" t="s">
        <v>57</v>
      </c>
      <c r="E36" s="14">
        <v>44262</v>
      </c>
      <c r="F36" s="17" t="s">
        <v>23</v>
      </c>
      <c r="G36" s="16">
        <v>23</v>
      </c>
      <c r="H36" s="20">
        <v>15000000</v>
      </c>
      <c r="J36" s="8" t="s">
        <v>70</v>
      </c>
      <c r="K36" s="8">
        <v>10000</v>
      </c>
      <c r="L36" s="22">
        <v>15</v>
      </c>
      <c r="M36" s="19"/>
      <c r="N36" s="147">
        <v>3408761356981650</v>
      </c>
      <c r="O36" s="147"/>
      <c r="P36" s="155" t="str">
        <f t="shared" ref="P36:P39" si="10">LEFT(N36,12)&amp;"****"</f>
        <v>340876135698****</v>
      </c>
      <c r="Q36" s="155"/>
    </row>
    <row r="37" spans="2:29" ht="14.5">
      <c r="B37" s="6" t="s">
        <v>40</v>
      </c>
      <c r="C37" s="6" t="s">
        <v>46</v>
      </c>
      <c r="D37" s="6" t="s">
        <v>57</v>
      </c>
      <c r="E37" s="14">
        <v>44263</v>
      </c>
      <c r="F37" s="15" t="s">
        <v>24</v>
      </c>
      <c r="G37" s="16">
        <v>8</v>
      </c>
      <c r="H37" s="15">
        <v>13000000</v>
      </c>
      <c r="J37" s="8" t="s">
        <v>71</v>
      </c>
      <c r="K37" s="8">
        <v>25000</v>
      </c>
      <c r="L37" s="8">
        <v>13</v>
      </c>
      <c r="N37" s="147">
        <v>3410771474087660</v>
      </c>
      <c r="O37" s="147"/>
      <c r="P37" s="155" t="str">
        <f t="shared" si="10"/>
        <v>341077147408****</v>
      </c>
      <c r="Q37" s="155"/>
      <c r="S37" s="13" t="s">
        <v>275</v>
      </c>
    </row>
    <row r="38" spans="2:29" ht="14.5">
      <c r="B38" s="6" t="s">
        <v>59</v>
      </c>
      <c r="C38" s="6" t="s">
        <v>45</v>
      </c>
      <c r="D38" s="6" t="s">
        <v>57</v>
      </c>
      <c r="E38" s="14">
        <v>44264</v>
      </c>
      <c r="F38" s="15" t="s">
        <v>24</v>
      </c>
      <c r="G38" s="16">
        <v>30</v>
      </c>
      <c r="H38" s="15">
        <v>14000000</v>
      </c>
      <c r="J38" s="8" t="s">
        <v>72</v>
      </c>
      <c r="K38" s="8">
        <v>12000</v>
      </c>
      <c r="L38" s="8">
        <v>24</v>
      </c>
      <c r="N38" s="147">
        <v>3402781591193670</v>
      </c>
      <c r="O38" s="147"/>
      <c r="P38" s="155" t="str">
        <f t="shared" si="10"/>
        <v>340278159119****</v>
      </c>
      <c r="Q38" s="155"/>
      <c r="S38" s="132" t="s">
        <v>276</v>
      </c>
      <c r="T38" s="132"/>
      <c r="U38" s="132" t="s">
        <v>277</v>
      </c>
      <c r="V38" s="132"/>
      <c r="W38" s="157" t="s">
        <v>292</v>
      </c>
      <c r="X38" s="157"/>
      <c r="Y38" s="157" t="s">
        <v>293</v>
      </c>
      <c r="Z38" s="157"/>
      <c r="AC38" s="6" t="s">
        <v>26</v>
      </c>
    </row>
    <row r="39" spans="2:29" ht="14.5">
      <c r="B39" s="6" t="s">
        <v>59</v>
      </c>
      <c r="C39" s="6" t="s">
        <v>46</v>
      </c>
      <c r="D39" s="6" t="s">
        <v>56</v>
      </c>
      <c r="E39" s="14">
        <v>44270</v>
      </c>
      <c r="F39" s="15" t="s">
        <v>22</v>
      </c>
      <c r="G39" s="16">
        <v>41</v>
      </c>
      <c r="H39" s="15">
        <v>17000000</v>
      </c>
      <c r="J39" s="8" t="s">
        <v>73</v>
      </c>
      <c r="K39" s="8">
        <v>8000</v>
      </c>
      <c r="L39" s="8">
        <v>5</v>
      </c>
      <c r="N39" s="147">
        <v>3404791708299870</v>
      </c>
      <c r="O39" s="147"/>
      <c r="P39" s="155" t="str">
        <f t="shared" si="10"/>
        <v>340479170829****</v>
      </c>
      <c r="Q39" s="155"/>
      <c r="S39" s="155" t="s">
        <v>280</v>
      </c>
      <c r="T39" s="155"/>
      <c r="U39" s="155" t="s">
        <v>281</v>
      </c>
      <c r="V39" s="155"/>
      <c r="W39" s="155" t="str">
        <f>CONCATENATE(S39," ",U39)</f>
        <v>Microsoft Excel</v>
      </c>
      <c r="X39" s="155"/>
      <c r="Y39" s="155" t="str">
        <f>S39&amp;" "&amp;U39</f>
        <v>Microsoft Excel</v>
      </c>
      <c r="Z39" s="155"/>
    </row>
    <row r="40" spans="2:29">
      <c r="B40" s="6" t="s">
        <v>60</v>
      </c>
      <c r="C40" s="6" t="s">
        <v>46</v>
      </c>
      <c r="D40" s="6" t="s">
        <v>56</v>
      </c>
      <c r="E40" s="14">
        <v>44266</v>
      </c>
      <c r="F40" s="15" t="s">
        <v>23</v>
      </c>
      <c r="G40" s="16">
        <v>22</v>
      </c>
      <c r="H40" s="15">
        <v>20000000</v>
      </c>
      <c r="S40" s="155" t="s">
        <v>282</v>
      </c>
      <c r="T40" s="155"/>
      <c r="U40" s="155" t="s">
        <v>283</v>
      </c>
      <c r="V40" s="155"/>
      <c r="W40" s="155" t="str">
        <f>CONCATENATE(S40," ",U40)</f>
        <v>Ternyata Gampang</v>
      </c>
      <c r="X40" s="155"/>
      <c r="Y40" s="155" t="str">
        <f>S40&amp;" "&amp;U40</f>
        <v>Ternyata Gampang</v>
      </c>
      <c r="Z40" s="155"/>
    </row>
    <row r="41" spans="2:29">
      <c r="B41" s="6" t="s">
        <v>61</v>
      </c>
      <c r="C41" s="6" t="s">
        <v>46</v>
      </c>
      <c r="D41" s="6" t="s">
        <v>56</v>
      </c>
      <c r="E41" s="14">
        <v>44267</v>
      </c>
      <c r="F41" s="15" t="s">
        <v>24</v>
      </c>
      <c r="G41" s="16">
        <v>6</v>
      </c>
      <c r="H41" s="15">
        <v>13000000</v>
      </c>
      <c r="J41" s="8" t="s">
        <v>74</v>
      </c>
      <c r="K41" s="8" t="s">
        <v>68</v>
      </c>
      <c r="L41" s="2" t="s">
        <v>171</v>
      </c>
      <c r="W41" s="136" t="s">
        <v>278</v>
      </c>
      <c r="X41" s="136"/>
      <c r="Y41" s="136" t="s">
        <v>279</v>
      </c>
      <c r="Z41" s="136"/>
    </row>
    <row r="42" spans="2:29" ht="14.5">
      <c r="B42" s="6" t="s">
        <v>62</v>
      </c>
      <c r="C42" s="6" t="s">
        <v>45</v>
      </c>
      <c r="D42" s="6" t="s">
        <v>57</v>
      </c>
      <c r="E42" s="14">
        <v>44268</v>
      </c>
      <c r="F42" s="15" t="s">
        <v>24</v>
      </c>
      <c r="G42" s="16">
        <v>3</v>
      </c>
      <c r="H42" s="15">
        <v>14000000</v>
      </c>
      <c r="J42" s="8" t="s">
        <v>73</v>
      </c>
      <c r="K42" s="6">
        <f>VLOOKUP(J42,$J$35:$L$39,3,0)</f>
        <v>5</v>
      </c>
      <c r="L42" s="6">
        <f>IFERROR(VLOOKUP(J42,$J$35:$L$39,3,0),"tidak tersedia")</f>
        <v>5</v>
      </c>
      <c r="M42"/>
      <c r="P42" s="13" t="s">
        <v>310</v>
      </c>
    </row>
    <row r="43" spans="2:29" ht="14.5">
      <c r="B43" s="6" t="s">
        <v>63</v>
      </c>
      <c r="C43" s="6" t="s">
        <v>45</v>
      </c>
      <c r="D43" s="6" t="s">
        <v>56</v>
      </c>
      <c r="E43" s="14">
        <v>44269</v>
      </c>
      <c r="F43" s="15" t="s">
        <v>24</v>
      </c>
      <c r="G43" s="16">
        <v>19</v>
      </c>
      <c r="H43" s="15">
        <v>17000000</v>
      </c>
      <c r="J43" s="8" t="s">
        <v>75</v>
      </c>
      <c r="K43" s="24" t="e">
        <f t="shared" ref="K43" si="11">VLOOKUP(J43,$J$35:$L$39,3,0)</f>
        <v>#N/A</v>
      </c>
      <c r="L43" s="24" t="str">
        <f t="shared" ref="L43:L44" si="12">IFERROR(VLOOKUP(J43,$J$35:$L$39,3,0),"tidak tersedia")</f>
        <v>tidak tersedia</v>
      </c>
      <c r="M43"/>
      <c r="P43" s="7" t="s">
        <v>299</v>
      </c>
      <c r="Q43" s="7" t="s">
        <v>300</v>
      </c>
      <c r="R43" s="7" t="s">
        <v>67</v>
      </c>
      <c r="S43" s="7" t="s">
        <v>68</v>
      </c>
    </row>
    <row r="44" spans="2:29" ht="14.5">
      <c r="B44" s="6" t="s">
        <v>63</v>
      </c>
      <c r="C44" s="6" t="s">
        <v>45</v>
      </c>
      <c r="D44" s="6" t="s">
        <v>56</v>
      </c>
      <c r="E44" s="14">
        <v>44270</v>
      </c>
      <c r="F44" s="15" t="s">
        <v>24</v>
      </c>
      <c r="G44" s="16">
        <v>19</v>
      </c>
      <c r="H44" s="15">
        <v>17000000</v>
      </c>
      <c r="J44" s="8" t="s">
        <v>70</v>
      </c>
      <c r="K44" s="6">
        <f>VLOOKUP(J44,J35:L39,3,0)</f>
        <v>15</v>
      </c>
      <c r="L44" s="6">
        <f t="shared" si="12"/>
        <v>15</v>
      </c>
      <c r="M44"/>
      <c r="P44" s="6" t="s">
        <v>301</v>
      </c>
      <c r="Q44" s="6" t="s">
        <v>302</v>
      </c>
      <c r="R44" s="6" t="s">
        <v>303</v>
      </c>
      <c r="S44" s="6">
        <v>32</v>
      </c>
      <c r="U44" s="49" t="s">
        <v>152</v>
      </c>
    </row>
    <row r="45" spans="2:29">
      <c r="B45" s="18" t="s">
        <v>137</v>
      </c>
      <c r="P45" s="6" t="s">
        <v>304</v>
      </c>
      <c r="Q45" s="6" t="s">
        <v>302</v>
      </c>
      <c r="R45" s="6" t="s">
        <v>303</v>
      </c>
      <c r="S45" s="6">
        <v>25</v>
      </c>
      <c r="U45" s="132" t="s">
        <v>305</v>
      </c>
      <c r="V45" s="132"/>
      <c r="W45" s="6">
        <f>SUM(S44:S55)</f>
        <v>219</v>
      </c>
    </row>
    <row r="46" spans="2:29">
      <c r="P46" s="6" t="s">
        <v>301</v>
      </c>
      <c r="Q46" s="6" t="s">
        <v>302</v>
      </c>
      <c r="R46" s="6" t="s">
        <v>303</v>
      </c>
      <c r="S46" s="6">
        <v>12</v>
      </c>
    </row>
    <row r="47" spans="2:29" ht="14.5">
      <c r="J47" s="13" t="s">
        <v>157</v>
      </c>
      <c r="L47" s="60" t="s">
        <v>160</v>
      </c>
      <c r="M47" s="61" t="s">
        <v>161</v>
      </c>
      <c r="N47" s="62" t="s">
        <v>162</v>
      </c>
      <c r="P47" s="6" t="s">
        <v>304</v>
      </c>
      <c r="Q47" s="6" t="s">
        <v>302</v>
      </c>
      <c r="R47" s="6" t="s">
        <v>306</v>
      </c>
      <c r="S47" s="6">
        <v>10</v>
      </c>
      <c r="U47" s="49" t="s">
        <v>204</v>
      </c>
      <c r="W47"/>
      <c r="X47"/>
      <c r="Y47"/>
    </row>
    <row r="48" spans="2:29" ht="14.5" customHeight="1">
      <c r="B48" s="13" t="s">
        <v>134</v>
      </c>
      <c r="E48" s="13" t="s">
        <v>144</v>
      </c>
      <c r="J48" s="5" t="s">
        <v>3</v>
      </c>
      <c r="K48" s="5" t="s">
        <v>158</v>
      </c>
      <c r="L48" s="5" t="s">
        <v>288</v>
      </c>
      <c r="M48" s="5" t="s">
        <v>289</v>
      </c>
      <c r="N48" s="5" t="s">
        <v>290</v>
      </c>
      <c r="P48" s="6" t="s">
        <v>307</v>
      </c>
      <c r="Q48" s="6" t="s">
        <v>302</v>
      </c>
      <c r="R48" s="6" t="s">
        <v>306</v>
      </c>
      <c r="S48" s="6">
        <v>5</v>
      </c>
      <c r="U48" s="132" t="s">
        <v>304</v>
      </c>
      <c r="V48" s="132"/>
      <c r="W48">
        <f>SUMIF(P44:P55,U48,S44:S55)</f>
        <v>100</v>
      </c>
      <c r="X48"/>
      <c r="Y48"/>
    </row>
    <row r="49" spans="2:25" ht="14.5">
      <c r="E49" s="5" t="s">
        <v>66</v>
      </c>
      <c r="F49" s="5" t="s">
        <v>145</v>
      </c>
      <c r="G49" s="5" t="s">
        <v>146</v>
      </c>
      <c r="J49" s="6" t="s">
        <v>5</v>
      </c>
      <c r="K49" s="8">
        <v>80.2</v>
      </c>
      <c r="L49" s="8">
        <f>ROUND(K49,0)</f>
        <v>80</v>
      </c>
      <c r="M49" s="8">
        <f>ROUNDUP(K49,0)</f>
        <v>81</v>
      </c>
      <c r="N49" s="8">
        <f>ROUNDDOWN(K49,0)</f>
        <v>80</v>
      </c>
      <c r="P49" s="6" t="s">
        <v>307</v>
      </c>
      <c r="Q49" s="6" t="s">
        <v>302</v>
      </c>
      <c r="R49" s="6" t="s">
        <v>306</v>
      </c>
      <c r="S49" s="6">
        <v>2</v>
      </c>
      <c r="W49"/>
      <c r="X49"/>
      <c r="Y49"/>
    </row>
    <row r="50" spans="2:25" ht="14.5">
      <c r="B50" s="37" t="s">
        <v>135</v>
      </c>
      <c r="E50" s="6" t="s">
        <v>69</v>
      </c>
      <c r="F50" s="6">
        <v>10</v>
      </c>
      <c r="G50" s="40">
        <v>10000</v>
      </c>
      <c r="J50" s="6" t="s">
        <v>126</v>
      </c>
      <c r="K50" s="8">
        <v>45.6</v>
      </c>
      <c r="L50" s="8">
        <f t="shared" ref="L50:L53" si="13">ROUND(K50,0)</f>
        <v>46</v>
      </c>
      <c r="M50" s="8">
        <f t="shared" ref="M50:M53" si="14">ROUNDUP(K50,0)</f>
        <v>46</v>
      </c>
      <c r="N50" s="8">
        <f t="shared" ref="N50:N53" si="15">ROUNDDOWN(K50,0)</f>
        <v>45</v>
      </c>
      <c r="P50" s="6" t="s">
        <v>304</v>
      </c>
      <c r="Q50" s="6" t="s">
        <v>308</v>
      </c>
      <c r="R50" s="6" t="s">
        <v>303</v>
      </c>
      <c r="S50" s="6">
        <v>40</v>
      </c>
      <c r="U50" s="49" t="s">
        <v>309</v>
      </c>
      <c r="W50"/>
      <c r="X50"/>
      <c r="Y50"/>
    </row>
    <row r="51" spans="2:25" ht="14.5">
      <c r="E51" s="6" t="s">
        <v>70</v>
      </c>
      <c r="F51" s="6">
        <v>20</v>
      </c>
      <c r="G51" s="40">
        <v>5000</v>
      </c>
      <c r="J51" s="6" t="s">
        <v>58</v>
      </c>
      <c r="K51" s="8">
        <v>67.8</v>
      </c>
      <c r="L51" s="8">
        <f t="shared" si="13"/>
        <v>68</v>
      </c>
      <c r="M51" s="8">
        <f t="shared" si="14"/>
        <v>68</v>
      </c>
      <c r="N51" s="8">
        <f t="shared" si="15"/>
        <v>67</v>
      </c>
      <c r="P51" s="6" t="s">
        <v>301</v>
      </c>
      <c r="Q51" s="6" t="s">
        <v>308</v>
      </c>
      <c r="R51" s="6" t="s">
        <v>303</v>
      </c>
      <c r="S51" s="6">
        <v>33</v>
      </c>
      <c r="U51" s="25" t="s">
        <v>304</v>
      </c>
      <c r="V51" s="25" t="s">
        <v>302</v>
      </c>
      <c r="W51">
        <f>SUMIFS(S44:S55,P44:P55,U51,Q44:Q55,V51)</f>
        <v>35</v>
      </c>
      <c r="X51"/>
      <c r="Y51"/>
    </row>
    <row r="52" spans="2:25" ht="14.5">
      <c r="B52" s="36"/>
      <c r="C52" s="36"/>
      <c r="E52" s="6" t="s">
        <v>71</v>
      </c>
      <c r="F52" s="6">
        <v>25</v>
      </c>
      <c r="G52" s="40">
        <v>20000</v>
      </c>
      <c r="J52" s="6" t="s">
        <v>40</v>
      </c>
      <c r="K52" s="8">
        <v>56.3</v>
      </c>
      <c r="L52" s="8">
        <f t="shared" si="13"/>
        <v>56</v>
      </c>
      <c r="M52" s="8">
        <f t="shared" si="14"/>
        <v>57</v>
      </c>
      <c r="N52" s="8">
        <f t="shared" si="15"/>
        <v>56</v>
      </c>
      <c r="O52" s="6" t="s">
        <v>26</v>
      </c>
      <c r="P52" s="6" t="s">
        <v>304</v>
      </c>
      <c r="Q52" s="6" t="s">
        <v>308</v>
      </c>
      <c r="R52" s="6" t="s">
        <v>303</v>
      </c>
      <c r="S52" s="6">
        <v>25</v>
      </c>
      <c r="U52" s="25" t="s">
        <v>302</v>
      </c>
      <c r="V52" s="25" t="s">
        <v>306</v>
      </c>
      <c r="W52">
        <f>SUMIFS(S44:S55,Q44:Q55,U52,R44:R55,V52)</f>
        <v>17</v>
      </c>
      <c r="X52"/>
      <c r="Y52"/>
    </row>
    <row r="53" spans="2:25" ht="14.5">
      <c r="B53" s="36"/>
      <c r="C53" s="36"/>
      <c r="E53" s="6" t="s">
        <v>72</v>
      </c>
      <c r="F53" s="6">
        <v>5</v>
      </c>
      <c r="G53" s="40">
        <v>14000</v>
      </c>
      <c r="J53" s="6" t="s">
        <v>59</v>
      </c>
      <c r="K53" s="8">
        <v>13.9</v>
      </c>
      <c r="L53" s="8">
        <f t="shared" si="13"/>
        <v>14</v>
      </c>
      <c r="M53" s="8">
        <f t="shared" si="14"/>
        <v>14</v>
      </c>
      <c r="N53" s="8">
        <f t="shared" si="15"/>
        <v>13</v>
      </c>
      <c r="P53" s="6" t="s">
        <v>307</v>
      </c>
      <c r="Q53" s="6" t="s">
        <v>308</v>
      </c>
      <c r="R53" s="6" t="s">
        <v>306</v>
      </c>
      <c r="S53" s="6">
        <v>18</v>
      </c>
      <c r="W53"/>
      <c r="X53"/>
      <c r="Y53"/>
    </row>
    <row r="54" spans="2:25" ht="13" customHeight="1">
      <c r="B54" s="143" t="s">
        <v>181</v>
      </c>
      <c r="C54" s="143"/>
      <c r="E54" s="6" t="s">
        <v>73</v>
      </c>
      <c r="F54" s="6">
        <v>10</v>
      </c>
      <c r="G54" s="40">
        <v>6000</v>
      </c>
      <c r="J54" s="137" t="s">
        <v>159</v>
      </c>
      <c r="K54" s="137"/>
      <c r="L54" s="137"/>
      <c r="M54" s="137"/>
      <c r="N54" s="137"/>
      <c r="P54" s="6" t="s">
        <v>301</v>
      </c>
      <c r="Q54" s="6" t="s">
        <v>308</v>
      </c>
      <c r="R54" s="6" t="s">
        <v>306</v>
      </c>
      <c r="S54" s="6">
        <v>10</v>
      </c>
      <c r="W54"/>
      <c r="X54"/>
    </row>
    <row r="55" spans="2:25">
      <c r="B55" s="143"/>
      <c r="C55" s="143"/>
      <c r="J55" s="137"/>
      <c r="K55" s="137"/>
      <c r="L55" s="137"/>
      <c r="M55" s="137"/>
      <c r="N55" s="137"/>
      <c r="P55" s="6" t="s">
        <v>307</v>
      </c>
      <c r="Q55" s="6" t="s">
        <v>308</v>
      </c>
      <c r="R55" s="6" t="s">
        <v>306</v>
      </c>
      <c r="S55" s="6">
        <v>7</v>
      </c>
    </row>
    <row r="56" spans="2:25">
      <c r="B56" s="36"/>
      <c r="C56" s="36"/>
      <c r="E56" s="6" t="s">
        <v>147</v>
      </c>
      <c r="G56" s="8">
        <f>SUM(F50:F54)</f>
        <v>70</v>
      </c>
      <c r="H56" s="1" t="s">
        <v>152</v>
      </c>
      <c r="J56" s="39"/>
      <c r="K56" s="39"/>
      <c r="L56" s="39"/>
      <c r="M56" s="39"/>
    </row>
    <row r="57" spans="2:25">
      <c r="B57" s="36"/>
      <c r="C57" s="36"/>
      <c r="E57" s="6" t="s">
        <v>148</v>
      </c>
      <c r="G57" s="8">
        <f>AVERAGE(F50:F54)</f>
        <v>14</v>
      </c>
      <c r="H57" s="1" t="s">
        <v>153</v>
      </c>
      <c r="J57" s="13" t="s">
        <v>163</v>
      </c>
    </row>
    <row r="58" spans="2:25">
      <c r="E58" s="6" t="s">
        <v>149</v>
      </c>
      <c r="G58" s="8">
        <f>COUNT(F50:F54)</f>
        <v>5</v>
      </c>
      <c r="H58" s="1" t="s">
        <v>156</v>
      </c>
      <c r="J58" s="153" t="s">
        <v>164</v>
      </c>
      <c r="K58" s="153"/>
      <c r="L58" s="5" t="s">
        <v>165</v>
      </c>
      <c r="M58" s="153" t="s">
        <v>254</v>
      </c>
      <c r="N58" s="153"/>
      <c r="O58" s="132" t="s">
        <v>253</v>
      </c>
      <c r="P58" s="132"/>
      <c r="Q58" s="132" t="s">
        <v>255</v>
      </c>
      <c r="R58" s="132"/>
      <c r="S58" s="132"/>
    </row>
    <row r="59" spans="2:25">
      <c r="E59" s="6" t="s">
        <v>150</v>
      </c>
      <c r="G59" s="8">
        <f>MAX(G50:G54)</f>
        <v>20000</v>
      </c>
      <c r="H59" s="1" t="s">
        <v>154</v>
      </c>
      <c r="J59" s="140" t="s">
        <v>166</v>
      </c>
      <c r="K59" s="140"/>
      <c r="L59" s="40">
        <v>15525</v>
      </c>
      <c r="M59" s="139">
        <f>CEILING(L59,100)</f>
        <v>15600</v>
      </c>
      <c r="N59" s="139"/>
      <c r="O59" s="139">
        <f>FLOOR(L59,100)</f>
        <v>15500</v>
      </c>
      <c r="P59" s="139"/>
      <c r="Q59" s="139">
        <f>MROUND(L59,100)</f>
        <v>15500</v>
      </c>
      <c r="R59" s="139"/>
      <c r="S59" s="139"/>
    </row>
    <row r="60" spans="2:25">
      <c r="E60" s="6" t="s">
        <v>151</v>
      </c>
      <c r="G60" s="8">
        <f>MIN(G50:G54)</f>
        <v>5000</v>
      </c>
      <c r="H60" s="1" t="s">
        <v>155</v>
      </c>
      <c r="J60" s="140" t="s">
        <v>167</v>
      </c>
      <c r="K60" s="140"/>
      <c r="L60" s="40">
        <v>7895</v>
      </c>
      <c r="M60" s="139">
        <f t="shared" ref="M60:M63" si="16">CEILING(L60,100)</f>
        <v>7900</v>
      </c>
      <c r="N60" s="139"/>
      <c r="O60" s="139">
        <f t="shared" ref="O60:O63" si="17">FLOOR(L60,100)</f>
        <v>7800</v>
      </c>
      <c r="P60" s="139"/>
      <c r="Q60" s="139">
        <f t="shared" ref="Q60:Q63" si="18">MROUND(L60,100)</f>
        <v>7900</v>
      </c>
      <c r="R60" s="139"/>
      <c r="S60" s="139"/>
    </row>
    <row r="61" spans="2:25">
      <c r="J61" s="140" t="s">
        <v>70</v>
      </c>
      <c r="K61" s="140"/>
      <c r="L61" s="40">
        <v>5500</v>
      </c>
      <c r="M61" s="139">
        <f t="shared" si="16"/>
        <v>5500</v>
      </c>
      <c r="N61" s="139"/>
      <c r="O61" s="139">
        <f t="shared" si="17"/>
        <v>5500</v>
      </c>
      <c r="P61" s="139"/>
      <c r="Q61" s="139">
        <f t="shared" si="18"/>
        <v>5500</v>
      </c>
      <c r="R61" s="139"/>
      <c r="S61" s="139"/>
    </row>
    <row r="62" spans="2:25">
      <c r="B62" s="13" t="s">
        <v>400</v>
      </c>
      <c r="J62" s="140" t="s">
        <v>168</v>
      </c>
      <c r="K62" s="140"/>
      <c r="L62" s="40">
        <v>10250</v>
      </c>
      <c r="M62" s="139">
        <f t="shared" si="16"/>
        <v>10300</v>
      </c>
      <c r="N62" s="139"/>
      <c r="O62" s="139">
        <f t="shared" si="17"/>
        <v>10200</v>
      </c>
      <c r="P62" s="139"/>
      <c r="Q62" s="139">
        <f t="shared" si="18"/>
        <v>10300</v>
      </c>
      <c r="R62" s="139"/>
      <c r="S62" s="139"/>
    </row>
    <row r="63" spans="2:25">
      <c r="B63" s="7" t="s">
        <v>395</v>
      </c>
      <c r="C63" s="7" t="s">
        <v>396</v>
      </c>
      <c r="D63" s="7" t="s">
        <v>397</v>
      </c>
      <c r="E63" s="7" t="s">
        <v>398</v>
      </c>
      <c r="G63" s="132" t="s">
        <v>306</v>
      </c>
      <c r="H63" s="132"/>
      <c r="J63" s="140" t="s">
        <v>169</v>
      </c>
      <c r="K63" s="140"/>
      <c r="L63" s="40">
        <v>7650</v>
      </c>
      <c r="M63" s="139">
        <f t="shared" si="16"/>
        <v>7700</v>
      </c>
      <c r="N63" s="139"/>
      <c r="O63" s="139">
        <f t="shared" si="17"/>
        <v>7600</v>
      </c>
      <c r="P63" s="139"/>
      <c r="Q63" s="139">
        <f t="shared" si="18"/>
        <v>7700</v>
      </c>
      <c r="R63" s="139"/>
      <c r="S63" s="139"/>
    </row>
    <row r="64" spans="2:25">
      <c r="B64" s="15">
        <v>12000</v>
      </c>
      <c r="C64" s="6">
        <v>10</v>
      </c>
      <c r="D64" s="81">
        <f>B64*C64</f>
        <v>120000</v>
      </c>
      <c r="E64" s="81">
        <f>D64*$G$64</f>
        <v>12000</v>
      </c>
      <c r="G64" s="82">
        <v>0.1</v>
      </c>
      <c r="H64" s="82">
        <v>0.2</v>
      </c>
      <c r="M64" s="136" t="s">
        <v>256</v>
      </c>
      <c r="N64" s="136"/>
      <c r="O64" s="136" t="s">
        <v>257</v>
      </c>
      <c r="P64" s="136"/>
      <c r="Q64" s="136" t="s">
        <v>259</v>
      </c>
      <c r="R64" s="136"/>
      <c r="S64" s="136"/>
    </row>
    <row r="65" spans="2:24">
      <c r="B65" s="15">
        <v>5000</v>
      </c>
      <c r="C65" s="6">
        <v>6</v>
      </c>
      <c r="D65" s="81">
        <f t="shared" ref="D65:D68" si="19">B65*C65</f>
        <v>30000</v>
      </c>
      <c r="E65" s="81">
        <f t="shared" ref="E65:E68" si="20">D65*$G$64</f>
        <v>3000</v>
      </c>
    </row>
    <row r="66" spans="2:24">
      <c r="B66" s="15">
        <v>10000</v>
      </c>
      <c r="C66" s="6">
        <v>8</v>
      </c>
      <c r="D66" s="81">
        <f t="shared" si="19"/>
        <v>80000</v>
      </c>
      <c r="E66" s="81">
        <f t="shared" si="20"/>
        <v>8000</v>
      </c>
      <c r="J66" s="137" t="s">
        <v>170</v>
      </c>
      <c r="K66" s="138"/>
      <c r="L66" s="138"/>
      <c r="M66" s="138"/>
      <c r="N66" s="138"/>
    </row>
    <row r="67" spans="2:24">
      <c r="B67" s="15">
        <v>20000</v>
      </c>
      <c r="C67" s="6">
        <v>12</v>
      </c>
      <c r="D67" s="81">
        <f t="shared" si="19"/>
        <v>240000</v>
      </c>
      <c r="E67" s="81">
        <f t="shared" si="20"/>
        <v>24000</v>
      </c>
      <c r="J67" s="138"/>
      <c r="K67" s="138"/>
      <c r="L67" s="138"/>
      <c r="M67" s="138"/>
      <c r="N67" s="138"/>
    </row>
    <row r="68" spans="2:24">
      <c r="B68" s="15">
        <v>15000</v>
      </c>
      <c r="C68" s="6">
        <v>20</v>
      </c>
      <c r="D68" s="81">
        <f t="shared" si="19"/>
        <v>300000</v>
      </c>
      <c r="E68" s="81">
        <f t="shared" si="20"/>
        <v>30000</v>
      </c>
      <c r="F68" s="6" t="s">
        <v>26</v>
      </c>
      <c r="J68" s="137" t="s">
        <v>258</v>
      </c>
      <c r="K68" s="138"/>
      <c r="L68" s="138"/>
      <c r="M68" s="138"/>
      <c r="N68" s="138"/>
      <c r="P68" s="13" t="s">
        <v>525</v>
      </c>
      <c r="Q68" s="13"/>
    </row>
    <row r="69" spans="2:24">
      <c r="D69" s="142" t="s">
        <v>401</v>
      </c>
      <c r="E69" s="142" t="s">
        <v>402</v>
      </c>
      <c r="J69" s="138"/>
      <c r="K69" s="138"/>
      <c r="L69" s="138"/>
      <c r="M69" s="138"/>
      <c r="N69" s="138"/>
      <c r="P69" s="7" t="s">
        <v>349</v>
      </c>
      <c r="Q69" s="7" t="s">
        <v>299</v>
      </c>
      <c r="R69" s="7" t="s">
        <v>300</v>
      </c>
      <c r="S69" s="7" t="s">
        <v>67</v>
      </c>
      <c r="T69" s="7" t="s">
        <v>68</v>
      </c>
    </row>
    <row r="70" spans="2:24">
      <c r="D70" s="142"/>
      <c r="E70" s="142"/>
      <c r="J70" s="137" t="s">
        <v>260</v>
      </c>
      <c r="K70" s="137"/>
      <c r="L70" s="137"/>
      <c r="M70" s="137"/>
      <c r="N70" s="137"/>
      <c r="P70" s="6" t="s">
        <v>488</v>
      </c>
      <c r="Q70" s="6" t="s">
        <v>304</v>
      </c>
      <c r="R70" s="6" t="s">
        <v>308</v>
      </c>
      <c r="S70" s="6" t="s">
        <v>303</v>
      </c>
      <c r="T70" s="6">
        <v>25</v>
      </c>
      <c r="V70" s="6" t="s">
        <v>489</v>
      </c>
    </row>
    <row r="71" spans="2:24">
      <c r="J71" s="137"/>
      <c r="K71" s="137"/>
      <c r="L71" s="137"/>
      <c r="M71" s="137"/>
      <c r="N71" s="137"/>
      <c r="P71" s="6" t="s">
        <v>490</v>
      </c>
      <c r="Q71" s="6" t="s">
        <v>304</v>
      </c>
      <c r="R71" s="6" t="s">
        <v>302</v>
      </c>
      <c r="S71" s="6" t="s">
        <v>306</v>
      </c>
      <c r="T71" s="6">
        <v>32</v>
      </c>
      <c r="V71" s="132" t="s">
        <v>305</v>
      </c>
      <c r="W71" s="132"/>
      <c r="X71" s="2">
        <f>COUNT(T70:T81)</f>
        <v>12</v>
      </c>
    </row>
    <row r="72" spans="2:24">
      <c r="B72" s="7" t="s">
        <v>395</v>
      </c>
      <c r="C72" s="7" t="s">
        <v>396</v>
      </c>
      <c r="D72" s="7" t="s">
        <v>397</v>
      </c>
      <c r="E72" s="7" t="s">
        <v>398</v>
      </c>
      <c r="F72" s="7" t="s">
        <v>399</v>
      </c>
      <c r="P72" s="6" t="s">
        <v>491</v>
      </c>
      <c r="Q72" s="6" t="s">
        <v>304</v>
      </c>
      <c r="R72" s="6" t="s">
        <v>302</v>
      </c>
      <c r="S72" s="6" t="s">
        <v>303</v>
      </c>
      <c r="T72" s="6">
        <v>12</v>
      </c>
      <c r="X72" s="2"/>
    </row>
    <row r="73" spans="2:24">
      <c r="B73" s="15">
        <v>12000</v>
      </c>
      <c r="C73" s="6">
        <v>10</v>
      </c>
      <c r="D73" s="81">
        <f>B73*C73</f>
        <v>120000</v>
      </c>
      <c r="E73" s="81">
        <f>$D73*G$64</f>
        <v>12000</v>
      </c>
      <c r="F73" s="81">
        <f>$D73*H$64</f>
        <v>24000</v>
      </c>
      <c r="H73" s="6" t="s">
        <v>26</v>
      </c>
      <c r="P73" s="6" t="s">
        <v>492</v>
      </c>
      <c r="Q73" s="6" t="s">
        <v>307</v>
      </c>
      <c r="R73" s="6" t="s">
        <v>308</v>
      </c>
      <c r="S73" s="6" t="s">
        <v>306</v>
      </c>
      <c r="T73" s="6">
        <v>5</v>
      </c>
      <c r="V73" s="6" t="s">
        <v>203</v>
      </c>
      <c r="X73" s="2"/>
    </row>
    <row r="74" spans="2:24">
      <c r="B74" s="15">
        <v>5000</v>
      </c>
      <c r="C74" s="6">
        <v>6</v>
      </c>
      <c r="D74" s="81">
        <f t="shared" ref="D74:D77" si="21">B74*C74</f>
        <v>30000</v>
      </c>
      <c r="E74" s="81">
        <f t="shared" ref="E74:E77" si="22">$D74*G$64</f>
        <v>3000</v>
      </c>
      <c r="F74" s="81">
        <f t="shared" ref="F74:F77" si="23">$D74*H$64</f>
        <v>6000</v>
      </c>
      <c r="I74" s="13" t="s">
        <v>419</v>
      </c>
      <c r="P74" s="6" t="s">
        <v>493</v>
      </c>
      <c r="Q74" s="6" t="s">
        <v>307</v>
      </c>
      <c r="R74" s="6" t="s">
        <v>494</v>
      </c>
      <c r="S74" s="6" t="s">
        <v>303</v>
      </c>
      <c r="T74" s="6">
        <v>2</v>
      </c>
      <c r="V74" s="132" t="s">
        <v>304</v>
      </c>
      <c r="W74" s="132"/>
      <c r="X74" s="2">
        <f>COUNTIF(Q70:Q81,V74)</f>
        <v>3</v>
      </c>
    </row>
    <row r="75" spans="2:24" ht="14.5">
      <c r="B75" s="15">
        <v>10000</v>
      </c>
      <c r="C75" s="6">
        <v>8</v>
      </c>
      <c r="D75" s="81">
        <f t="shared" si="21"/>
        <v>80000</v>
      </c>
      <c r="E75" s="81">
        <f t="shared" si="22"/>
        <v>8000</v>
      </c>
      <c r="F75" s="81">
        <f t="shared" si="23"/>
        <v>16000</v>
      </c>
      <c r="J75" s="84" t="s">
        <v>405</v>
      </c>
      <c r="K75" s="84" t="s">
        <v>406</v>
      </c>
      <c r="L75" s="84" t="s">
        <v>407</v>
      </c>
      <c r="M75" s="84" t="s">
        <v>408</v>
      </c>
      <c r="O75"/>
      <c r="P75" s="6" t="s">
        <v>495</v>
      </c>
      <c r="Q75" s="6" t="s">
        <v>307</v>
      </c>
      <c r="R75" s="6" t="s">
        <v>302</v>
      </c>
      <c r="S75" s="6" t="s">
        <v>306</v>
      </c>
      <c r="T75" s="6">
        <v>40</v>
      </c>
      <c r="V75" s="132" t="s">
        <v>306</v>
      </c>
      <c r="W75" s="132"/>
      <c r="X75" s="2">
        <f>COUNTIF(S70:S81,V75)</f>
        <v>6</v>
      </c>
    </row>
    <row r="76" spans="2:24">
      <c r="B76" s="15">
        <v>20000</v>
      </c>
      <c r="C76" s="6">
        <v>12</v>
      </c>
      <c r="D76" s="81">
        <f t="shared" si="21"/>
        <v>240000</v>
      </c>
      <c r="E76" s="81">
        <f t="shared" si="22"/>
        <v>24000</v>
      </c>
      <c r="F76" s="81">
        <f t="shared" si="23"/>
        <v>48000</v>
      </c>
      <c r="I76" s="85" t="s">
        <v>409</v>
      </c>
      <c r="J76" s="15">
        <v>15000</v>
      </c>
      <c r="K76" s="15">
        <v>25000</v>
      </c>
      <c r="L76" s="15">
        <v>35000</v>
      </c>
      <c r="M76" s="15">
        <v>45000</v>
      </c>
      <c r="P76" s="6" t="s">
        <v>496</v>
      </c>
      <c r="Q76" s="6" t="s">
        <v>307</v>
      </c>
      <c r="R76" s="6" t="s">
        <v>497</v>
      </c>
      <c r="S76" s="6" t="s">
        <v>303</v>
      </c>
      <c r="T76" s="6">
        <v>25</v>
      </c>
      <c r="X76" s="2"/>
    </row>
    <row r="77" spans="2:24">
      <c r="B77" s="15">
        <v>15000</v>
      </c>
      <c r="C77" s="6">
        <v>20</v>
      </c>
      <c r="D77" s="81">
        <f t="shared" si="21"/>
        <v>300000</v>
      </c>
      <c r="E77" s="81">
        <f t="shared" si="22"/>
        <v>30000</v>
      </c>
      <c r="F77" s="81">
        <f t="shared" si="23"/>
        <v>60000</v>
      </c>
      <c r="G77" s="6" t="s">
        <v>26</v>
      </c>
      <c r="I77" s="85" t="s">
        <v>411</v>
      </c>
      <c r="J77" s="15">
        <v>20000</v>
      </c>
      <c r="K77" s="15">
        <v>25000</v>
      </c>
      <c r="L77" s="83">
        <v>30000</v>
      </c>
      <c r="M77" s="15">
        <v>40000</v>
      </c>
      <c r="P77" s="6" t="s">
        <v>498</v>
      </c>
      <c r="Q77" s="6" t="s">
        <v>301</v>
      </c>
      <c r="R77" s="6" t="s">
        <v>494</v>
      </c>
      <c r="S77" s="6" t="s">
        <v>306</v>
      </c>
      <c r="T77" s="6">
        <v>33</v>
      </c>
      <c r="V77" s="6" t="s">
        <v>499</v>
      </c>
      <c r="X77" s="2"/>
    </row>
    <row r="78" spans="2:24">
      <c r="E78" s="133" t="s">
        <v>403</v>
      </c>
      <c r="F78" s="133"/>
      <c r="I78" s="85" t="s">
        <v>412</v>
      </c>
      <c r="J78" s="15">
        <v>12000</v>
      </c>
      <c r="K78" s="15">
        <v>15000</v>
      </c>
      <c r="L78" s="15">
        <v>18000</v>
      </c>
      <c r="M78" s="15">
        <v>21000</v>
      </c>
      <c r="P78" s="6" t="s">
        <v>500</v>
      </c>
      <c r="Q78" s="6" t="s">
        <v>301</v>
      </c>
      <c r="R78" s="6" t="s">
        <v>302</v>
      </c>
      <c r="S78" s="6" t="s">
        <v>303</v>
      </c>
      <c r="T78" s="6">
        <v>10</v>
      </c>
      <c r="V78" s="25" t="s">
        <v>304</v>
      </c>
      <c r="W78" s="25" t="s">
        <v>302</v>
      </c>
      <c r="X78" s="2">
        <f>COUNTIFS(Q70:Q81,V78,R70:R81,W78)</f>
        <v>2</v>
      </c>
    </row>
    <row r="79" spans="2:24" ht="14.5">
      <c r="I79" s="85" t="s">
        <v>413</v>
      </c>
      <c r="J79" s="15">
        <v>33000</v>
      </c>
      <c r="K79" s="15">
        <v>38000</v>
      </c>
      <c r="L79" s="15">
        <v>41000</v>
      </c>
      <c r="M79" s="15">
        <v>45000</v>
      </c>
      <c r="O79"/>
      <c r="P79" s="6" t="s">
        <v>501</v>
      </c>
      <c r="Q79" s="6" t="s">
        <v>502</v>
      </c>
      <c r="R79" s="6" t="s">
        <v>308</v>
      </c>
      <c r="S79" s="6" t="s">
        <v>306</v>
      </c>
      <c r="T79" s="6">
        <v>18</v>
      </c>
      <c r="V79" s="25" t="s">
        <v>302</v>
      </c>
      <c r="W79" s="25" t="s">
        <v>306</v>
      </c>
      <c r="X79" s="2">
        <f>COUNTIFS(R70:R81,V79,S70:S81,W79)</f>
        <v>3</v>
      </c>
    </row>
    <row r="80" spans="2:24" ht="14.5">
      <c r="B80" s="13" t="s">
        <v>404</v>
      </c>
      <c r="I80" s="85" t="s">
        <v>414</v>
      </c>
      <c r="J80" s="15">
        <v>22000</v>
      </c>
      <c r="K80" s="15">
        <v>25000</v>
      </c>
      <c r="L80" s="15">
        <v>28000</v>
      </c>
      <c r="M80" s="15">
        <v>30000</v>
      </c>
      <c r="O80"/>
      <c r="P80" s="6" t="s">
        <v>503</v>
      </c>
      <c r="Q80" s="6" t="s">
        <v>502</v>
      </c>
      <c r="R80" s="6" t="s">
        <v>494</v>
      </c>
      <c r="S80" s="6" t="s">
        <v>303</v>
      </c>
      <c r="T80" s="6">
        <v>7</v>
      </c>
    </row>
    <row r="81" spans="2:22" ht="14.5">
      <c r="B81" s="8"/>
      <c r="C81" s="89">
        <v>1</v>
      </c>
      <c r="D81" s="89">
        <v>2</v>
      </c>
      <c r="E81" s="89">
        <v>3</v>
      </c>
      <c r="F81" s="89">
        <v>4</v>
      </c>
      <c r="G81" s="89">
        <v>5</v>
      </c>
      <c r="I81" s="85" t="s">
        <v>415</v>
      </c>
      <c r="J81" s="15">
        <v>27000</v>
      </c>
      <c r="K81" s="15">
        <v>30000</v>
      </c>
      <c r="L81" s="15">
        <v>33000</v>
      </c>
      <c r="M81" s="15">
        <v>36000</v>
      </c>
      <c r="O81"/>
      <c r="P81" s="6" t="s">
        <v>504</v>
      </c>
      <c r="Q81" s="6" t="s">
        <v>502</v>
      </c>
      <c r="R81" s="6" t="s">
        <v>302</v>
      </c>
      <c r="S81" s="6" t="s">
        <v>306</v>
      </c>
      <c r="T81" s="6">
        <v>10</v>
      </c>
    </row>
    <row r="82" spans="2:22" ht="14.5">
      <c r="B82" s="90">
        <v>1</v>
      </c>
      <c r="C82" s="8">
        <f>$B82*C$81</f>
        <v>1</v>
      </c>
      <c r="D82" s="8">
        <f t="shared" ref="D82:G82" si="24">$B82*D$81</f>
        <v>2</v>
      </c>
      <c r="E82" s="8">
        <f t="shared" si="24"/>
        <v>3</v>
      </c>
      <c r="F82" s="8">
        <f t="shared" si="24"/>
        <v>4</v>
      </c>
      <c r="G82" s="8">
        <f t="shared" si="24"/>
        <v>5</v>
      </c>
      <c r="O82"/>
      <c r="P82"/>
    </row>
    <row r="83" spans="2:22" ht="14.5">
      <c r="B83" s="90">
        <v>2</v>
      </c>
      <c r="C83" s="8">
        <f t="shared" ref="C83:G86" si="25">$B83*C$81</f>
        <v>2</v>
      </c>
      <c r="D83" s="8">
        <f t="shared" si="25"/>
        <v>4</v>
      </c>
      <c r="E83" s="8">
        <f t="shared" si="25"/>
        <v>6</v>
      </c>
      <c r="F83" s="8">
        <f t="shared" si="25"/>
        <v>8</v>
      </c>
      <c r="G83" s="8">
        <f t="shared" si="25"/>
        <v>10</v>
      </c>
      <c r="I83" s="85" t="s">
        <v>416</v>
      </c>
      <c r="J83" s="86" t="s">
        <v>420</v>
      </c>
      <c r="O83"/>
      <c r="P83"/>
    </row>
    <row r="84" spans="2:22" ht="14.5">
      <c r="B84" s="90">
        <v>3</v>
      </c>
      <c r="C84" s="8">
        <f t="shared" si="25"/>
        <v>3</v>
      </c>
      <c r="D84" s="8">
        <f t="shared" si="25"/>
        <v>6</v>
      </c>
      <c r="E84" s="8">
        <f t="shared" si="25"/>
        <v>9</v>
      </c>
      <c r="F84" s="8">
        <f t="shared" si="25"/>
        <v>12</v>
      </c>
      <c r="G84" s="8">
        <f t="shared" si="25"/>
        <v>15</v>
      </c>
      <c r="I84" s="85" t="s">
        <v>417</v>
      </c>
      <c r="J84" s="86" t="s">
        <v>418</v>
      </c>
      <c r="O84"/>
      <c r="P84"/>
      <c r="U84" s="6" t="s">
        <v>26</v>
      </c>
    </row>
    <row r="85" spans="2:22">
      <c r="B85" s="90">
        <v>4</v>
      </c>
      <c r="C85" s="8">
        <f t="shared" si="25"/>
        <v>4</v>
      </c>
      <c r="D85" s="8">
        <f t="shared" si="25"/>
        <v>8</v>
      </c>
      <c r="E85" s="8">
        <f t="shared" si="25"/>
        <v>12</v>
      </c>
      <c r="F85" s="8">
        <f t="shared" si="25"/>
        <v>16</v>
      </c>
      <c r="G85" s="8">
        <f t="shared" si="25"/>
        <v>20</v>
      </c>
      <c r="O85" s="13" t="s">
        <v>505</v>
      </c>
    </row>
    <row r="86" spans="2:22">
      <c r="B86" s="90">
        <v>5</v>
      </c>
      <c r="C86" s="8">
        <f t="shared" si="25"/>
        <v>5</v>
      </c>
      <c r="D86" s="8">
        <f t="shared" si="25"/>
        <v>10</v>
      </c>
      <c r="E86" s="8">
        <f t="shared" si="25"/>
        <v>15</v>
      </c>
      <c r="F86" s="8">
        <f t="shared" si="25"/>
        <v>20</v>
      </c>
      <c r="G86" s="8">
        <f t="shared" si="25"/>
        <v>25</v>
      </c>
      <c r="I86" s="87" t="s">
        <v>410</v>
      </c>
      <c r="J86" s="8" t="s">
        <v>411</v>
      </c>
      <c r="K86" s="8" t="s">
        <v>414</v>
      </c>
      <c r="L86" s="8" t="s">
        <v>411</v>
      </c>
      <c r="O86" s="8" t="s">
        <v>506</v>
      </c>
      <c r="P86" s="8" t="s">
        <v>313</v>
      </c>
      <c r="Q86" s="8" t="s">
        <v>50</v>
      </c>
      <c r="R86" s="8" t="s">
        <v>507</v>
      </c>
      <c r="S86" s="8" t="s">
        <v>53</v>
      </c>
    </row>
    <row r="87" spans="2:22">
      <c r="I87" s="88" t="s">
        <v>300</v>
      </c>
      <c r="J87" s="8" t="s">
        <v>407</v>
      </c>
      <c r="K87" s="8" t="s">
        <v>408</v>
      </c>
      <c r="L87" s="8" t="s">
        <v>406</v>
      </c>
      <c r="O87" s="6" t="s">
        <v>508</v>
      </c>
      <c r="P87" s="6" t="s">
        <v>347</v>
      </c>
      <c r="Q87" s="6" t="s">
        <v>45</v>
      </c>
      <c r="R87" s="6" t="s">
        <v>322</v>
      </c>
      <c r="S87" s="6" t="s">
        <v>509</v>
      </c>
    </row>
    <row r="88" spans="2:22">
      <c r="I88" s="88" t="s">
        <v>67</v>
      </c>
      <c r="J88" s="83">
        <f>INDEX(J76:M81,2,3)</f>
        <v>30000</v>
      </c>
      <c r="K88" s="8">
        <f>INDEX(J76:M81,MATCH(K86,I76:I81,0),MATCH(M75,J75:M75,0))</f>
        <v>30000</v>
      </c>
      <c r="L88" s="8">
        <f>INDEX(J76:M81,MATCH(L86,I76:I81,0),MATCH(L87,J75:M75,0))</f>
        <v>25000</v>
      </c>
      <c r="O88" s="6" t="s">
        <v>510</v>
      </c>
      <c r="P88" s="6" t="s">
        <v>511</v>
      </c>
      <c r="Q88" s="6" t="s">
        <v>45</v>
      </c>
      <c r="R88" s="6" t="s">
        <v>512</v>
      </c>
      <c r="S88" s="6" t="s">
        <v>513</v>
      </c>
    </row>
    <row r="89" spans="2:22" ht="14.5" customHeight="1">
      <c r="I89" s="134" t="s">
        <v>421</v>
      </c>
      <c r="J89" s="134"/>
      <c r="K89" s="134"/>
      <c r="L89" s="134"/>
      <c r="M89" s="134"/>
      <c r="O89" s="6" t="s">
        <v>514</v>
      </c>
      <c r="P89" s="6" t="s">
        <v>515</v>
      </c>
      <c r="Q89" s="6" t="s">
        <v>46</v>
      </c>
      <c r="R89" s="6" t="s">
        <v>516</v>
      </c>
      <c r="S89" s="6" t="s">
        <v>517</v>
      </c>
    </row>
    <row r="90" spans="2:22">
      <c r="I90" s="134"/>
      <c r="J90" s="134"/>
      <c r="K90" s="134"/>
      <c r="L90" s="134"/>
      <c r="M90" s="134"/>
      <c r="O90" s="6" t="s">
        <v>518</v>
      </c>
      <c r="P90" s="6" t="s">
        <v>519</v>
      </c>
      <c r="Q90" s="6" t="s">
        <v>46</v>
      </c>
      <c r="R90" s="6" t="s">
        <v>520</v>
      </c>
      <c r="S90" s="6" t="s">
        <v>517</v>
      </c>
    </row>
    <row r="91" spans="2:22">
      <c r="I91" s="134" t="s">
        <v>422</v>
      </c>
      <c r="J91" s="135"/>
      <c r="K91" s="135"/>
      <c r="L91" s="135"/>
      <c r="M91" s="135"/>
      <c r="O91" s="6" t="s">
        <v>521</v>
      </c>
      <c r="P91" s="6" t="s">
        <v>6</v>
      </c>
      <c r="Q91" s="6" t="s">
        <v>46</v>
      </c>
      <c r="R91" s="6" t="s">
        <v>522</v>
      </c>
      <c r="S91" s="6" t="s">
        <v>523</v>
      </c>
    </row>
    <row r="92" spans="2:22">
      <c r="I92" s="135"/>
      <c r="J92" s="135"/>
      <c r="K92" s="135"/>
      <c r="L92" s="135"/>
      <c r="M92" s="135"/>
    </row>
    <row r="93" spans="2:22">
      <c r="I93" s="134" t="s">
        <v>423</v>
      </c>
      <c r="J93" s="134"/>
      <c r="K93" s="134"/>
      <c r="L93" s="134"/>
      <c r="M93" s="134"/>
      <c r="S93" s="6" t="s">
        <v>26</v>
      </c>
    </row>
    <row r="94" spans="2:22">
      <c r="I94" s="134"/>
      <c r="J94" s="134"/>
      <c r="K94" s="134"/>
      <c r="L94" s="134"/>
      <c r="M94" s="134"/>
      <c r="O94" s="13" t="s">
        <v>524</v>
      </c>
    </row>
    <row r="95" spans="2:22">
      <c r="O95" s="5" t="s">
        <v>230</v>
      </c>
      <c r="P95" s="5" t="s">
        <v>49</v>
      </c>
      <c r="Q95" s="5" t="s">
        <v>53</v>
      </c>
      <c r="S95" s="5" t="s">
        <v>49</v>
      </c>
      <c r="T95" s="5" t="s">
        <v>50</v>
      </c>
      <c r="U95" s="5" t="s">
        <v>53</v>
      </c>
      <c r="V95" s="5" t="s">
        <v>230</v>
      </c>
    </row>
    <row r="96" spans="2:22">
      <c r="O96" s="8">
        <v>106</v>
      </c>
      <c r="P96" s="6" t="str">
        <f>INDEX($S$96:$U$105,MATCH(O96,$V$96:$V$105,0),1)</f>
        <v>Fiona</v>
      </c>
      <c r="Q96" s="6" t="str">
        <f>INDEX($S$96:$U$105,MATCH(O96,$V$96:$V$105,0),3)</f>
        <v>Palembang</v>
      </c>
      <c r="S96" s="19" t="s">
        <v>5</v>
      </c>
      <c r="T96" s="19" t="s">
        <v>8</v>
      </c>
      <c r="U96" s="19" t="s">
        <v>23</v>
      </c>
      <c r="V96" s="8">
        <v>101</v>
      </c>
    </row>
    <row r="97" spans="15:22">
      <c r="O97" s="8">
        <v>102</v>
      </c>
      <c r="P97" s="6" t="str">
        <f t="shared" ref="P97:P105" si="26">INDEX($S$96:$U$105,MATCH(O97,$V$96:$V$105,0),1)</f>
        <v>Budi</v>
      </c>
      <c r="Q97" s="6" t="str">
        <f t="shared" ref="Q97:Q105" si="27">INDEX($S$96:$U$105,MATCH(O97,$V$96:$V$105,0),3)</f>
        <v>Jakarta</v>
      </c>
      <c r="S97" s="19" t="s">
        <v>126</v>
      </c>
      <c r="T97" s="19" t="s">
        <v>8</v>
      </c>
      <c r="U97" s="19" t="s">
        <v>22</v>
      </c>
      <c r="V97" s="8">
        <v>102</v>
      </c>
    </row>
    <row r="98" spans="15:22">
      <c r="O98" s="8">
        <v>104</v>
      </c>
      <c r="P98" s="6" t="str">
        <f t="shared" si="26"/>
        <v>Dewi</v>
      </c>
      <c r="Q98" s="6" t="str">
        <f t="shared" si="27"/>
        <v>Surabaya</v>
      </c>
      <c r="S98" s="19" t="s">
        <v>58</v>
      </c>
      <c r="T98" s="19" t="s">
        <v>9</v>
      </c>
      <c r="U98" s="19" t="s">
        <v>232</v>
      </c>
      <c r="V98" s="8">
        <v>103</v>
      </c>
    </row>
    <row r="99" spans="15:22">
      <c r="O99" s="8">
        <v>105</v>
      </c>
      <c r="P99" s="6" t="str">
        <f t="shared" si="26"/>
        <v>Eko</v>
      </c>
      <c r="Q99" s="6" t="str">
        <f t="shared" si="27"/>
        <v>Jakarta</v>
      </c>
      <c r="S99" s="19" t="s">
        <v>40</v>
      </c>
      <c r="T99" s="19" t="s">
        <v>9</v>
      </c>
      <c r="U99" s="19" t="s">
        <v>24</v>
      </c>
      <c r="V99" s="8">
        <v>104</v>
      </c>
    </row>
    <row r="100" spans="15:22">
      <c r="O100" s="8">
        <v>110</v>
      </c>
      <c r="P100" s="6" t="str">
        <f t="shared" si="26"/>
        <v>Juned</v>
      </c>
      <c r="Q100" s="6" t="str">
        <f t="shared" si="27"/>
        <v>Bandung</v>
      </c>
      <c r="S100" s="19" t="s">
        <v>59</v>
      </c>
      <c r="T100" s="19" t="s">
        <v>8</v>
      </c>
      <c r="U100" s="19" t="s">
        <v>22</v>
      </c>
      <c r="V100" s="8">
        <v>105</v>
      </c>
    </row>
    <row r="101" spans="15:22">
      <c r="O101" s="8">
        <v>103</v>
      </c>
      <c r="P101" s="6" t="str">
        <f t="shared" si="26"/>
        <v>Clara</v>
      </c>
      <c r="Q101" s="6" t="str">
        <f t="shared" si="27"/>
        <v>Palembang</v>
      </c>
      <c r="S101" s="19" t="s">
        <v>127</v>
      </c>
      <c r="T101" s="19" t="s">
        <v>9</v>
      </c>
      <c r="U101" s="19" t="s">
        <v>232</v>
      </c>
      <c r="V101" s="8">
        <v>106</v>
      </c>
    </row>
    <row r="102" spans="15:22">
      <c r="O102" s="8">
        <v>108</v>
      </c>
      <c r="P102" s="6" t="str">
        <f t="shared" si="26"/>
        <v>Hesti</v>
      </c>
      <c r="Q102" s="6" t="str">
        <f t="shared" si="27"/>
        <v>Bandung</v>
      </c>
      <c r="S102" s="19" t="s">
        <v>60</v>
      </c>
      <c r="T102" s="19" t="s">
        <v>9</v>
      </c>
      <c r="U102" s="19" t="s">
        <v>24</v>
      </c>
      <c r="V102" s="8">
        <v>107</v>
      </c>
    </row>
    <row r="103" spans="15:22">
      <c r="O103" s="8">
        <v>109</v>
      </c>
      <c r="P103" s="6" t="str">
        <f t="shared" si="26"/>
        <v>Igna</v>
      </c>
      <c r="Q103" s="6" t="str">
        <f t="shared" si="27"/>
        <v>Jakarta</v>
      </c>
      <c r="S103" s="19" t="s">
        <v>61</v>
      </c>
      <c r="T103" s="19" t="s">
        <v>9</v>
      </c>
      <c r="U103" s="19" t="s">
        <v>23</v>
      </c>
      <c r="V103" s="8">
        <v>108</v>
      </c>
    </row>
    <row r="104" spans="15:22">
      <c r="O104" s="8">
        <v>101</v>
      </c>
      <c r="P104" s="6" t="str">
        <f t="shared" si="26"/>
        <v>Andi</v>
      </c>
      <c r="Q104" s="6" t="str">
        <f t="shared" si="27"/>
        <v>Bandung</v>
      </c>
      <c r="S104" s="19" t="s">
        <v>233</v>
      </c>
      <c r="T104" s="19" t="s">
        <v>8</v>
      </c>
      <c r="U104" s="19" t="s">
        <v>22</v>
      </c>
      <c r="V104" s="8">
        <v>109</v>
      </c>
    </row>
    <row r="105" spans="15:22">
      <c r="O105" s="8">
        <v>107</v>
      </c>
      <c r="P105" s="6" t="str">
        <f t="shared" si="26"/>
        <v>Gina</v>
      </c>
      <c r="Q105" s="6" t="str">
        <f t="shared" si="27"/>
        <v>Surabaya</v>
      </c>
      <c r="S105" s="19" t="s">
        <v>63</v>
      </c>
      <c r="T105" s="19" t="s">
        <v>8</v>
      </c>
      <c r="U105" s="19" t="s">
        <v>23</v>
      </c>
      <c r="V105" s="8">
        <v>110</v>
      </c>
    </row>
    <row r="106" spans="15:22">
      <c r="R106" s="6" t="s">
        <v>26</v>
      </c>
    </row>
  </sheetData>
  <mergeCells count="158">
    <mergeCell ref="W41:X41"/>
    <mergeCell ref="W39:X39"/>
    <mergeCell ref="Y41:Z41"/>
    <mergeCell ref="Y39:Z39"/>
    <mergeCell ref="Y29:Z29"/>
    <mergeCell ref="S38:T38"/>
    <mergeCell ref="S39:T39"/>
    <mergeCell ref="S40:T40"/>
    <mergeCell ref="U38:V38"/>
    <mergeCell ref="U39:V39"/>
    <mergeCell ref="U40:V40"/>
    <mergeCell ref="Y28:Z28"/>
    <mergeCell ref="T31:Z31"/>
    <mergeCell ref="T32:Z32"/>
    <mergeCell ref="T33:Z33"/>
    <mergeCell ref="T34:Z34"/>
    <mergeCell ref="T35:Z35"/>
    <mergeCell ref="W40:X40"/>
    <mergeCell ref="Y40:Z40"/>
    <mergeCell ref="W38:X38"/>
    <mergeCell ref="Y38:Z38"/>
    <mergeCell ref="Y23:Z23"/>
    <mergeCell ref="Y24:Z24"/>
    <mergeCell ref="Y25:Z25"/>
    <mergeCell ref="Y26:Z26"/>
    <mergeCell ref="Y27:Z27"/>
    <mergeCell ref="S28:T28"/>
    <mergeCell ref="U23:W23"/>
    <mergeCell ref="U24:W24"/>
    <mergeCell ref="U25:W25"/>
    <mergeCell ref="U26:W26"/>
    <mergeCell ref="U27:W27"/>
    <mergeCell ref="U28:W28"/>
    <mergeCell ref="S23:T23"/>
    <mergeCell ref="S24:T24"/>
    <mergeCell ref="S25:T25"/>
    <mergeCell ref="S26:T26"/>
    <mergeCell ref="S27:T27"/>
    <mergeCell ref="X14:X15"/>
    <mergeCell ref="Q16:X17"/>
    <mergeCell ref="J54:N55"/>
    <mergeCell ref="J58:K58"/>
    <mergeCell ref="M58:N58"/>
    <mergeCell ref="Q14:Q15"/>
    <mergeCell ref="R14:R15"/>
    <mergeCell ref="S14:S15"/>
    <mergeCell ref="T14:T15"/>
    <mergeCell ref="U14:U15"/>
    <mergeCell ref="I16:L17"/>
    <mergeCell ref="N16:O18"/>
    <mergeCell ref="O23:P23"/>
    <mergeCell ref="O24:P24"/>
    <mergeCell ref="O25:P25"/>
    <mergeCell ref="O22:P22"/>
    <mergeCell ref="O26:P26"/>
    <mergeCell ref="V14:V15"/>
    <mergeCell ref="W14:W15"/>
    <mergeCell ref="O27:P27"/>
    <mergeCell ref="N28:Q29"/>
    <mergeCell ref="N34:O34"/>
    <mergeCell ref="N35:O35"/>
    <mergeCell ref="N36:O36"/>
    <mergeCell ref="W10:W11"/>
    <mergeCell ref="X10:X11"/>
    <mergeCell ref="Q12:Q13"/>
    <mergeCell ref="R12:R13"/>
    <mergeCell ref="S12:S13"/>
    <mergeCell ref="T12:T13"/>
    <mergeCell ref="U12:U13"/>
    <mergeCell ref="V12:V13"/>
    <mergeCell ref="W12:W13"/>
    <mergeCell ref="X12:X13"/>
    <mergeCell ref="Q10:Q11"/>
    <mergeCell ref="R10:R11"/>
    <mergeCell ref="S10:S11"/>
    <mergeCell ref="T10:T11"/>
    <mergeCell ref="U10:U11"/>
    <mergeCell ref="W8:W9"/>
    <mergeCell ref="X8:X9"/>
    <mergeCell ref="Q6:Q7"/>
    <mergeCell ref="R6:R7"/>
    <mergeCell ref="S6:S7"/>
    <mergeCell ref="T6:T7"/>
    <mergeCell ref="U6:U7"/>
    <mergeCell ref="X6:X7"/>
    <mergeCell ref="Q8:Q9"/>
    <mergeCell ref="R8:R9"/>
    <mergeCell ref="A1:C2"/>
    <mergeCell ref="E28:H29"/>
    <mergeCell ref="B32:B33"/>
    <mergeCell ref="C32:C33"/>
    <mergeCell ref="D32:D33"/>
    <mergeCell ref="E32:E33"/>
    <mergeCell ref="F32:F33"/>
    <mergeCell ref="G32:G33"/>
    <mergeCell ref="H32:H33"/>
    <mergeCell ref="B25:C29"/>
    <mergeCell ref="E30:H30"/>
    <mergeCell ref="W6:W7"/>
    <mergeCell ref="D69:D70"/>
    <mergeCell ref="E69:E70"/>
    <mergeCell ref="B54:C55"/>
    <mergeCell ref="E13:E15"/>
    <mergeCell ref="A4:B4"/>
    <mergeCell ref="E16:G17"/>
    <mergeCell ref="O60:P60"/>
    <mergeCell ref="O61:P61"/>
    <mergeCell ref="O62:P62"/>
    <mergeCell ref="O63:P63"/>
    <mergeCell ref="J60:K60"/>
    <mergeCell ref="J61:K61"/>
    <mergeCell ref="M59:N59"/>
    <mergeCell ref="M60:N60"/>
    <mergeCell ref="M61:N61"/>
    <mergeCell ref="N37:O37"/>
    <mergeCell ref="N38:O38"/>
    <mergeCell ref="N39:O39"/>
    <mergeCell ref="O58:P58"/>
    <mergeCell ref="O59:P59"/>
    <mergeCell ref="J62:K62"/>
    <mergeCell ref="J63:K63"/>
    <mergeCell ref="M62:N62"/>
    <mergeCell ref="G63:H63"/>
    <mergeCell ref="Q58:S58"/>
    <mergeCell ref="Q59:S59"/>
    <mergeCell ref="Q60:S60"/>
    <mergeCell ref="Q61:S61"/>
    <mergeCell ref="Q62:S62"/>
    <mergeCell ref="Q63:S63"/>
    <mergeCell ref="J59:K59"/>
    <mergeCell ref="V6:V7"/>
    <mergeCell ref="M63:N63"/>
    <mergeCell ref="S8:S9"/>
    <mergeCell ref="T8:T9"/>
    <mergeCell ref="U8:U9"/>
    <mergeCell ref="V8:V9"/>
    <mergeCell ref="V10:V11"/>
    <mergeCell ref="U45:V45"/>
    <mergeCell ref="U48:V48"/>
    <mergeCell ref="P34:Q34"/>
    <mergeCell ref="P35:Q35"/>
    <mergeCell ref="P36:Q36"/>
    <mergeCell ref="P37:Q37"/>
    <mergeCell ref="P38:Q38"/>
    <mergeCell ref="P39:Q39"/>
    <mergeCell ref="V71:W71"/>
    <mergeCell ref="V74:W74"/>
    <mergeCell ref="V75:W75"/>
    <mergeCell ref="E78:F78"/>
    <mergeCell ref="I89:M90"/>
    <mergeCell ref="I91:M92"/>
    <mergeCell ref="I93:M94"/>
    <mergeCell ref="Q64:S64"/>
    <mergeCell ref="M64:N64"/>
    <mergeCell ref="O64:P64"/>
    <mergeCell ref="J68:N69"/>
    <mergeCell ref="J70:N71"/>
    <mergeCell ref="J66:N67"/>
  </mergeCells>
  <conditionalFormatting sqref="B34:B44">
    <cfRule type="duplicateValues" dxfId="22" priority="2"/>
  </conditionalFormatting>
  <conditionalFormatting sqref="G34:G4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{00281E66-7C39-4863-B3D7-B421C537B384}</x14:id>
        </ext>
      </extLst>
    </cfRule>
  </conditionalFormatting>
  <conditionalFormatting sqref="H34:H35 H37:H44">
    <cfRule type="cellIs" dxfId="21" priority="8" operator="between">
      <formula>14999999</formula>
      <formula>15000001</formula>
    </cfRule>
    <cfRule type="cellIs" dxfId="20" priority="16" operator="between">
      <formula>14999999</formula>
      <formula>15000001</formula>
    </cfRule>
    <cfRule type="cellIs" dxfId="19" priority="17" operator="lessThan">
      <formula>15000000</formula>
    </cfRule>
    <cfRule type="cellIs" dxfId="18" priority="18" operator="greaterThan">
      <formula>15000000</formula>
    </cfRule>
    <cfRule type="cellIs" dxfId="17" priority="19" operator="greaterThan">
      <formula>15000000</formula>
    </cfRule>
    <cfRule type="cellIs" dxfId="16" priority="20" operator="greaterThan">
      <formula>15500000</formula>
    </cfRule>
    <cfRule type="cellIs" dxfId="15" priority="21" operator="greaterThan">
      <formula>15500000</formula>
    </cfRule>
    <cfRule type="cellIs" dxfId="14" priority="22" operator="greaterThan">
      <formula>15000000</formula>
    </cfRule>
  </conditionalFormatting>
  <pageMargins left="0.7" right="0.7" top="0.75" bottom="0.75" header="0.3" footer="0.3"/>
  <pageSetup orientation="portrait" horizontalDpi="4294967293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281E66-7C39-4863-B3D7-B421C537B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G34:G44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903DAD-1A57-475D-9E0C-3E6156CFA70E}">
          <x14:formula1>
            <xm:f>'Sheet 1'!$A$1:$A$2</xm:f>
          </x14:formula1>
          <xm:sqref>C18:C24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C231953-C9D5-410E-B014-BDCE1F2E26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General!R6:W6</xm:f>
              <xm:sqref>X6</xm:sqref>
            </x14:sparkline>
            <x14:sparkline>
              <xm:f>General!R7:W7</xm:f>
              <xm:sqref>X7</xm:sqref>
            </x14:sparkline>
            <x14:sparkline>
              <xm:f>General!R8:W8</xm:f>
              <xm:sqref>X8</xm:sqref>
            </x14:sparkline>
            <x14:sparkline>
              <xm:f>General!R9:W9</xm:f>
              <xm:sqref>X9</xm:sqref>
            </x14:sparkline>
            <x14:sparkline>
              <xm:f>General!R10:W10</xm:f>
              <xm:sqref>X10</xm:sqref>
            </x14:sparkline>
            <x14:sparkline>
              <xm:f>General!R11:W11</xm:f>
              <xm:sqref>X11</xm:sqref>
            </x14:sparkline>
            <x14:sparkline>
              <xm:f>General!R12:W12</xm:f>
              <xm:sqref>X12</xm:sqref>
            </x14:sparkline>
            <x14:sparkline>
              <xm:f>General!R13:W13</xm:f>
              <xm:sqref>X13</xm:sqref>
            </x14:sparkline>
            <x14:sparkline>
              <xm:f>General!R14:W14</xm:f>
              <xm:sqref>X14</xm:sqref>
            </x14:sparkline>
            <x14:sparkline>
              <xm:f>General!R15:W15</xm:f>
              <xm:sqref>X15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73E5-13C5-4258-9DAE-72A163B47C51}">
  <dimension ref="A1:P10"/>
  <sheetViews>
    <sheetView zoomScale="79" zoomScaleNormal="90" workbookViewId="0">
      <selection activeCell="U17" sqref="U17"/>
    </sheetView>
  </sheetViews>
  <sheetFormatPr defaultRowHeight="14.5"/>
  <sheetData>
    <row r="1" spans="1:16" s="9" customFormat="1" ht="13">
      <c r="A1" s="148" t="s">
        <v>12</v>
      </c>
      <c r="B1" s="148"/>
      <c r="C1" s="148"/>
      <c r="E1" s="26" t="s">
        <v>37</v>
      </c>
      <c r="F1" s="27"/>
    </row>
    <row r="2" spans="1:16" s="9" customFormat="1" ht="13">
      <c r="A2" s="148"/>
      <c r="B2" s="148"/>
      <c r="C2" s="148"/>
      <c r="E2" s="26"/>
      <c r="F2" s="27"/>
    </row>
    <row r="4" spans="1:16">
      <c r="B4" s="63" t="s">
        <v>295</v>
      </c>
    </row>
    <row r="6" spans="1:16">
      <c r="C6" s="171" t="s">
        <v>294</v>
      </c>
      <c r="D6" s="171"/>
      <c r="E6" s="171"/>
      <c r="F6" s="171"/>
      <c r="G6" s="171"/>
      <c r="H6" s="171"/>
      <c r="K6" s="171" t="s">
        <v>424</v>
      </c>
      <c r="L6" s="171"/>
      <c r="M6" s="171"/>
      <c r="N6" s="171"/>
      <c r="O6" s="171"/>
      <c r="P6" s="171"/>
    </row>
    <row r="10" spans="1:16">
      <c r="J10" t="s">
        <v>26</v>
      </c>
    </row>
  </sheetData>
  <mergeCells count="3">
    <mergeCell ref="A1:C2"/>
    <mergeCell ref="K6:P6"/>
    <mergeCell ref="C6:H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BD38-DF46-4FCD-A6E4-C1E0BDEB2A8B}">
  <dimension ref="A1:F19"/>
  <sheetViews>
    <sheetView zoomScaleNormal="100" workbookViewId="0">
      <selection activeCell="G13" sqref="G13"/>
    </sheetView>
  </sheetViews>
  <sheetFormatPr defaultRowHeight="14.5"/>
  <cols>
    <col min="1" max="6" width="15.6328125" customWidth="1"/>
  </cols>
  <sheetData>
    <row r="1" spans="1:6" s="9" customFormat="1" ht="13">
      <c r="A1" s="148" t="s">
        <v>12</v>
      </c>
      <c r="B1" s="148"/>
      <c r="C1" s="148"/>
      <c r="E1" s="26" t="s">
        <v>37</v>
      </c>
      <c r="F1" s="27"/>
    </row>
    <row r="2" spans="1:6" s="9" customFormat="1" ht="13">
      <c r="A2" s="148"/>
      <c r="B2" s="148"/>
      <c r="C2" s="148"/>
      <c r="E2" s="26"/>
      <c r="F2" s="27"/>
    </row>
    <row r="4" spans="1:6">
      <c r="A4" s="172" t="s">
        <v>354</v>
      </c>
      <c r="B4" s="172"/>
      <c r="C4" s="172"/>
      <c r="D4" s="172"/>
      <c r="E4" s="172"/>
      <c r="F4" s="172"/>
    </row>
    <row r="5" spans="1:6">
      <c r="A5" s="172" t="s">
        <v>355</v>
      </c>
      <c r="B5" s="172"/>
      <c r="C5" s="172"/>
      <c r="D5" s="172"/>
      <c r="E5" s="172"/>
      <c r="F5" s="172"/>
    </row>
    <row r="7" spans="1:6">
      <c r="A7" s="6" t="s">
        <v>348</v>
      </c>
      <c r="B7" s="6"/>
      <c r="C7" s="6"/>
      <c r="D7" s="6"/>
      <c r="E7" s="6"/>
      <c r="F7" s="6"/>
    </row>
    <row r="8" spans="1:6">
      <c r="A8" s="5" t="s">
        <v>349</v>
      </c>
      <c r="B8" s="5" t="s">
        <v>164</v>
      </c>
      <c r="C8" s="5" t="s">
        <v>350</v>
      </c>
      <c r="D8" s="5" t="s">
        <v>351</v>
      </c>
      <c r="E8" s="5" t="s">
        <v>352</v>
      </c>
      <c r="F8" s="5" t="s">
        <v>353</v>
      </c>
    </row>
    <row r="9" spans="1:6">
      <c r="A9" s="8" t="s">
        <v>356</v>
      </c>
      <c r="B9" s="6" t="s">
        <v>367</v>
      </c>
      <c r="C9" s="8">
        <v>50</v>
      </c>
      <c r="D9" s="8">
        <f>SUMIF('STok Barang Masuk-Keluar'!$C$10:$C$20,'Laporan Stok Barang'!A9,'STok Barang Masuk-Keluar'!$E$10:$E$20)</f>
        <v>9</v>
      </c>
      <c r="E9" s="8">
        <f>SUMIF('STok Barang Masuk-Keluar'!$J$10:$J$20,'Laporan Stok Barang'!A9,'STok Barang Masuk-Keluar'!$L$10:$L$20)</f>
        <v>59</v>
      </c>
      <c r="F9" s="8">
        <f>C9+D9-E9</f>
        <v>0</v>
      </c>
    </row>
    <row r="10" spans="1:6">
      <c r="A10" s="8" t="s">
        <v>357</v>
      </c>
      <c r="B10" s="6" t="s">
        <v>368</v>
      </c>
      <c r="C10" s="8">
        <v>50</v>
      </c>
      <c r="D10" s="8">
        <f>SUMIF('STok Barang Masuk-Keluar'!$C$10:$C$20,'Laporan Stok Barang'!A10,'STok Barang Masuk-Keluar'!$E$10:$E$20)</f>
        <v>21</v>
      </c>
      <c r="E10" s="8">
        <f>SUMIF('STok Barang Masuk-Keluar'!$J$10:$J$20,'Laporan Stok Barang'!A10,'STok Barang Masuk-Keluar'!$L$10:$L$20)</f>
        <v>56</v>
      </c>
      <c r="F10" s="8">
        <f t="shared" ref="F10:F19" si="0">C10+D10-E10</f>
        <v>15</v>
      </c>
    </row>
    <row r="11" spans="1:6">
      <c r="A11" s="8" t="s">
        <v>358</v>
      </c>
      <c r="B11" s="6" t="s">
        <v>369</v>
      </c>
      <c r="C11" s="8">
        <v>50</v>
      </c>
      <c r="D11" s="8">
        <f>SUMIF('STok Barang Masuk-Keluar'!$C$10:$C$20,'Laporan Stok Barang'!A11,'STok Barang Masuk-Keluar'!$E$10:$E$20)</f>
        <v>12</v>
      </c>
      <c r="E11" s="8">
        <f>SUMIF('STok Barang Masuk-Keluar'!$J$10:$J$20,'Laporan Stok Barang'!A11,'STok Barang Masuk-Keluar'!$L$10:$L$20)</f>
        <v>36</v>
      </c>
      <c r="F11" s="8">
        <f t="shared" si="0"/>
        <v>26</v>
      </c>
    </row>
    <row r="12" spans="1:6">
      <c r="A12" s="8" t="s">
        <v>359</v>
      </c>
      <c r="B12" s="6" t="s">
        <v>370</v>
      </c>
      <c r="C12" s="8">
        <v>50</v>
      </c>
      <c r="D12" s="8">
        <f>SUMIF('STok Barang Masuk-Keluar'!$C$10:$C$20,'Laporan Stok Barang'!A12,'STok Barang Masuk-Keluar'!$E$10:$E$20)</f>
        <v>30</v>
      </c>
      <c r="E12" s="8">
        <f>SUMIF('STok Barang Masuk-Keluar'!$J$10:$J$20,'Laporan Stok Barang'!A12,'STok Barang Masuk-Keluar'!$L$10:$L$20)</f>
        <v>41</v>
      </c>
      <c r="F12" s="8">
        <f t="shared" si="0"/>
        <v>39</v>
      </c>
    </row>
    <row r="13" spans="1:6">
      <c r="A13" s="8" t="s">
        <v>360</v>
      </c>
      <c r="B13" s="6" t="s">
        <v>371</v>
      </c>
      <c r="C13" s="8">
        <v>50</v>
      </c>
      <c r="D13" s="8">
        <f>SUMIF('STok Barang Masuk-Keluar'!$C$10:$C$20,'Laporan Stok Barang'!A13,'STok Barang Masuk-Keluar'!$E$10:$E$20)</f>
        <v>15</v>
      </c>
      <c r="E13" s="8">
        <f>SUMIF('STok Barang Masuk-Keluar'!$J$10:$J$20,'Laporan Stok Barang'!A13,'STok Barang Masuk-Keluar'!$L$10:$L$20)</f>
        <v>58</v>
      </c>
      <c r="F13" s="8">
        <f t="shared" si="0"/>
        <v>7</v>
      </c>
    </row>
    <row r="14" spans="1:6">
      <c r="A14" s="8" t="s">
        <v>361</v>
      </c>
      <c r="B14" s="6" t="s">
        <v>372</v>
      </c>
      <c r="C14" s="8">
        <v>50</v>
      </c>
      <c r="D14" s="8">
        <f>SUMIF('STok Barang Masuk-Keluar'!$C$10:$C$20,'Laporan Stok Barang'!A14,'STok Barang Masuk-Keluar'!$E$10:$E$20)</f>
        <v>25</v>
      </c>
      <c r="E14" s="8">
        <f>SUMIF('STok Barang Masuk-Keluar'!$J$10:$J$20,'Laporan Stok Barang'!A14,'STok Barang Masuk-Keluar'!$L$10:$L$20)</f>
        <v>38</v>
      </c>
      <c r="F14" s="8">
        <f t="shared" si="0"/>
        <v>37</v>
      </c>
    </row>
    <row r="15" spans="1:6">
      <c r="A15" s="8" t="s">
        <v>362</v>
      </c>
      <c r="B15" s="6" t="s">
        <v>373</v>
      </c>
      <c r="C15" s="8">
        <v>50</v>
      </c>
      <c r="D15" s="8">
        <f>SUMIF('STok Barang Masuk-Keluar'!$C$10:$C$20,'Laporan Stok Barang'!A15,'STok Barang Masuk-Keluar'!$E$10:$E$20)</f>
        <v>10</v>
      </c>
      <c r="E15" s="8">
        <f>SUMIF('STok Barang Masuk-Keluar'!$J$10:$J$20,'Laporan Stok Barang'!A15,'STok Barang Masuk-Keluar'!$L$10:$L$20)</f>
        <v>55</v>
      </c>
      <c r="F15" s="8">
        <f t="shared" si="0"/>
        <v>5</v>
      </c>
    </row>
    <row r="16" spans="1:6">
      <c r="A16" s="8" t="s">
        <v>363</v>
      </c>
      <c r="B16" s="6" t="s">
        <v>374</v>
      </c>
      <c r="C16" s="8">
        <v>50</v>
      </c>
      <c r="D16" s="8">
        <f>SUMIF('STok Barang Masuk-Keluar'!$C$10:$C$20,'Laporan Stok Barang'!A16,'STok Barang Masuk-Keluar'!$E$10:$E$20)</f>
        <v>22</v>
      </c>
      <c r="E16" s="8">
        <f>SUMIF('STok Barang Masuk-Keluar'!$J$10:$J$20,'Laporan Stok Barang'!A16,'STok Barang Masuk-Keluar'!$L$10:$L$20)</f>
        <v>38</v>
      </c>
      <c r="F16" s="8">
        <f t="shared" si="0"/>
        <v>34</v>
      </c>
    </row>
    <row r="17" spans="1:6">
      <c r="A17" s="8" t="s">
        <v>364</v>
      </c>
      <c r="B17" s="6" t="s">
        <v>375</v>
      </c>
      <c r="C17" s="8">
        <v>50</v>
      </c>
      <c r="D17" s="8">
        <f>SUMIF('STok Barang Masuk-Keluar'!$C$10:$C$20,'Laporan Stok Barang'!A17,'STok Barang Masuk-Keluar'!$E$10:$E$20)</f>
        <v>24</v>
      </c>
      <c r="E17" s="8">
        <f>SUMIF('STok Barang Masuk-Keluar'!$J$10:$J$20,'Laporan Stok Barang'!A17,'STok Barang Masuk-Keluar'!$L$10:$L$20)</f>
        <v>41</v>
      </c>
      <c r="F17" s="8">
        <f t="shared" si="0"/>
        <v>33</v>
      </c>
    </row>
    <row r="18" spans="1:6">
      <c r="A18" s="8" t="s">
        <v>365</v>
      </c>
      <c r="B18" s="6" t="s">
        <v>376</v>
      </c>
      <c r="C18" s="8">
        <v>50</v>
      </c>
      <c r="D18" s="8">
        <f>SUMIF('STok Barang Masuk-Keluar'!$C$10:$C$20,'Laporan Stok Barang'!A18,'STok Barang Masuk-Keluar'!$E$10:$E$20)</f>
        <v>18</v>
      </c>
      <c r="E18" s="8">
        <f>SUMIF('STok Barang Masuk-Keluar'!$J$10:$J$20,'Laporan Stok Barang'!A18,'STok Barang Masuk-Keluar'!$L$10:$L$20)</f>
        <v>35</v>
      </c>
      <c r="F18" s="8">
        <f t="shared" si="0"/>
        <v>33</v>
      </c>
    </row>
    <row r="19" spans="1:6">
      <c r="A19" s="8" t="s">
        <v>366</v>
      </c>
      <c r="B19" s="6" t="s">
        <v>377</v>
      </c>
      <c r="C19" s="8">
        <v>50</v>
      </c>
      <c r="D19" s="8">
        <f>SUMIF('STok Barang Masuk-Keluar'!$C$10:$C$20,'Laporan Stok Barang'!A19,'STok Barang Masuk-Keluar'!$E$10:$E$20)</f>
        <v>17</v>
      </c>
      <c r="E19" s="8">
        <f>SUMIF('STok Barang Masuk-Keluar'!$J$10:$J$20,'Laporan Stok Barang'!A19,'STok Barang Masuk-Keluar'!$L$10:$L$20)</f>
        <v>54</v>
      </c>
      <c r="F19" s="8">
        <f t="shared" si="0"/>
        <v>13</v>
      </c>
    </row>
  </sheetData>
  <mergeCells count="3">
    <mergeCell ref="A1:C2"/>
    <mergeCell ref="A4:F4"/>
    <mergeCell ref="A5:F5"/>
  </mergeCells>
  <phoneticPr fontId="23" type="noConversion"/>
  <conditionalFormatting sqref="F9:F19">
    <cfRule type="cellIs" dxfId="2" priority="1" operator="equal">
      <formula>30</formula>
    </cfRule>
    <cfRule type="cellIs" dxfId="1" priority="2" operator="greaterThan">
      <formula>30</formula>
    </cfRule>
    <cfRule type="cellIs" dxfId="0" priority="3" operator="lessThan">
      <formula>30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AA45-CD24-49F9-819A-85BAF3B9ED4E}">
  <dimension ref="A1:Q27"/>
  <sheetViews>
    <sheetView zoomScale="80" zoomScaleNormal="80" workbookViewId="0">
      <selection activeCell="B10" sqref="B10"/>
    </sheetView>
  </sheetViews>
  <sheetFormatPr defaultRowHeight="14.5"/>
  <cols>
    <col min="2" max="4" width="15.6328125" customWidth="1"/>
    <col min="5" max="5" width="20.36328125" customWidth="1"/>
    <col min="6" max="6" width="8.7265625" customWidth="1"/>
    <col min="9" max="11" width="15.6328125" customWidth="1"/>
    <col min="12" max="12" width="20.36328125" customWidth="1"/>
  </cols>
  <sheetData>
    <row r="1" spans="1:17" s="9" customFormat="1" ht="13">
      <c r="B1" s="148" t="s">
        <v>12</v>
      </c>
      <c r="C1" s="148"/>
      <c r="D1" s="148"/>
      <c r="F1" s="26" t="s">
        <v>37</v>
      </c>
      <c r="G1" s="27"/>
      <c r="H1" s="27"/>
    </row>
    <row r="2" spans="1:17" s="9" customFormat="1" ht="13">
      <c r="B2" s="148"/>
      <c r="C2" s="148"/>
      <c r="D2" s="148"/>
      <c r="F2" s="26"/>
      <c r="G2" s="27"/>
      <c r="H2" s="27"/>
    </row>
    <row r="3" spans="1:17" ht="15" thickBot="1"/>
    <row r="4" spans="1:17">
      <c r="A4" s="71"/>
      <c r="B4" s="72"/>
      <c r="C4" s="72"/>
      <c r="D4" s="72"/>
      <c r="E4" s="72"/>
      <c r="F4" s="73"/>
      <c r="H4" s="71"/>
      <c r="I4" s="72"/>
      <c r="J4" s="72"/>
      <c r="K4" s="72"/>
      <c r="L4" s="72"/>
      <c r="M4" s="73"/>
    </row>
    <row r="5" spans="1:17">
      <c r="A5" s="74"/>
      <c r="B5" s="172" t="s">
        <v>378</v>
      </c>
      <c r="C5" s="172"/>
      <c r="D5" s="172"/>
      <c r="E5" s="172"/>
      <c r="F5" s="75"/>
      <c r="G5" s="70"/>
      <c r="H5" s="80"/>
      <c r="I5" s="172" t="s">
        <v>393</v>
      </c>
      <c r="J5" s="172"/>
      <c r="K5" s="172"/>
      <c r="L5" s="172"/>
      <c r="M5" s="75"/>
      <c r="N5" s="70"/>
    </row>
    <row r="6" spans="1:17">
      <c r="A6" s="74"/>
      <c r="B6" s="172" t="s">
        <v>355</v>
      </c>
      <c r="C6" s="172"/>
      <c r="D6" s="172"/>
      <c r="E6" s="172"/>
      <c r="F6" s="75"/>
      <c r="G6" s="70"/>
      <c r="H6" s="80"/>
      <c r="I6" s="172" t="s">
        <v>355</v>
      </c>
      <c r="J6" s="172"/>
      <c r="K6" s="172"/>
      <c r="L6" s="172"/>
      <c r="M6" s="75"/>
      <c r="N6" s="70"/>
    </row>
    <row r="7" spans="1:17">
      <c r="A7" s="74"/>
      <c r="F7" s="76"/>
      <c r="H7" s="74"/>
      <c r="M7" s="76"/>
    </row>
    <row r="8" spans="1:17">
      <c r="A8" s="74"/>
      <c r="B8" s="6" t="s">
        <v>348</v>
      </c>
      <c r="C8" s="6"/>
      <c r="D8" s="6"/>
      <c r="E8" s="6"/>
      <c r="F8" s="76"/>
      <c r="H8" s="74"/>
      <c r="I8" s="6" t="s">
        <v>348</v>
      </c>
      <c r="J8" s="6"/>
      <c r="K8" s="6"/>
      <c r="L8" s="6"/>
      <c r="M8" s="76"/>
    </row>
    <row r="9" spans="1:17">
      <c r="A9" s="74"/>
      <c r="B9" s="5" t="s">
        <v>82</v>
      </c>
      <c r="C9" s="5" t="s">
        <v>349</v>
      </c>
      <c r="D9" s="5" t="s">
        <v>164</v>
      </c>
      <c r="E9" s="5" t="s">
        <v>379</v>
      </c>
      <c r="F9" s="76"/>
      <c r="H9" s="74"/>
      <c r="I9" s="5" t="s">
        <v>82</v>
      </c>
      <c r="J9" s="5" t="s">
        <v>349</v>
      </c>
      <c r="K9" s="5" t="s">
        <v>164</v>
      </c>
      <c r="L9" s="5" t="s">
        <v>392</v>
      </c>
      <c r="M9" s="76"/>
    </row>
    <row r="10" spans="1:17">
      <c r="A10" s="74"/>
      <c r="B10" s="6" t="s">
        <v>380</v>
      </c>
      <c r="C10" s="8" t="s">
        <v>363</v>
      </c>
      <c r="D10" s="6" t="str">
        <f>IFERROR(VLOOKUP(C10,'Laporan Stok Barang'!$A$8:$F$19,2,0),"tidak terdaftar")</f>
        <v xml:space="preserve">Realme </v>
      </c>
      <c r="E10" s="64">
        <v>22</v>
      </c>
      <c r="F10" s="76"/>
      <c r="H10" s="74"/>
      <c r="I10" s="6" t="s">
        <v>385</v>
      </c>
      <c r="J10" s="8" t="s">
        <v>363</v>
      </c>
      <c r="K10" s="6" t="str">
        <f>IFERROR(VLOOKUP(J10,'Laporan Stok Barang'!$A$8:$F$19,2,0),"tidak terdaftar")</f>
        <v xml:space="preserve">Realme </v>
      </c>
      <c r="L10" s="64">
        <v>38</v>
      </c>
      <c r="M10" s="76"/>
    </row>
    <row r="11" spans="1:17">
      <c r="A11" s="74"/>
      <c r="B11" s="6" t="s">
        <v>382</v>
      </c>
      <c r="C11" s="8" t="s">
        <v>357</v>
      </c>
      <c r="D11" s="6" t="str">
        <f>IFERROR(VLOOKUP(C11,'Laporan Stok Barang'!$A$8:$F$19,2,0),"tidak terdaftar")</f>
        <v>Vivo</v>
      </c>
      <c r="E11" s="64">
        <v>21</v>
      </c>
      <c r="F11" s="76"/>
      <c r="H11" s="74"/>
      <c r="I11" s="6" t="s">
        <v>381</v>
      </c>
      <c r="J11" s="8" t="s">
        <v>357</v>
      </c>
      <c r="K11" s="6" t="str">
        <f>IFERROR(VLOOKUP(J11,'Laporan Stok Barang'!$A$8:$F$19,2,0),"tidak terdaftar")</f>
        <v>Vivo</v>
      </c>
      <c r="L11" s="64">
        <v>56</v>
      </c>
      <c r="M11" s="76"/>
    </row>
    <row r="12" spans="1:17">
      <c r="A12" s="74"/>
      <c r="B12" s="6" t="s">
        <v>382</v>
      </c>
      <c r="C12" s="8" t="s">
        <v>360</v>
      </c>
      <c r="D12" s="6" t="str">
        <f>IFERROR(VLOOKUP(C12,'Laporan Stok Barang'!$A$8:$F$19,2,0),"tidak terdaftar")</f>
        <v>Nokia</v>
      </c>
      <c r="E12" s="64">
        <v>15</v>
      </c>
      <c r="F12" s="76"/>
      <c r="H12" s="74"/>
      <c r="I12" s="6" t="s">
        <v>381</v>
      </c>
      <c r="J12" s="8" t="s">
        <v>360</v>
      </c>
      <c r="K12" s="6" t="str">
        <f>IFERROR(VLOOKUP(J12,'Laporan Stok Barang'!$A$8:$F$19,2,0),"tidak terdaftar")</f>
        <v>Nokia</v>
      </c>
      <c r="L12" s="64">
        <v>58</v>
      </c>
      <c r="M12" s="76"/>
    </row>
    <row r="13" spans="1:17">
      <c r="A13" s="74"/>
      <c r="B13" s="6" t="s">
        <v>383</v>
      </c>
      <c r="C13" s="8" t="s">
        <v>358</v>
      </c>
      <c r="D13" s="6" t="str">
        <f>IFERROR(VLOOKUP(C13,'Laporan Stok Barang'!$A$8:$F$19,2,0),"tidak terdaftar")</f>
        <v>Oppo</v>
      </c>
      <c r="E13" s="64">
        <v>12</v>
      </c>
      <c r="F13" s="76"/>
      <c r="H13" s="74"/>
      <c r="I13" s="6" t="s">
        <v>382</v>
      </c>
      <c r="J13" s="8" t="s">
        <v>358</v>
      </c>
      <c r="K13" s="6" t="str">
        <f>IFERROR(VLOOKUP(J13,'Laporan Stok Barang'!$A$8:$F$19,2,0),"tidak terdaftar")</f>
        <v>Oppo</v>
      </c>
      <c r="L13" s="64">
        <v>36</v>
      </c>
      <c r="M13" s="76"/>
      <c r="Q13" t="s">
        <v>26</v>
      </c>
    </row>
    <row r="14" spans="1:17">
      <c r="A14" s="74"/>
      <c r="B14" s="6" t="s">
        <v>383</v>
      </c>
      <c r="C14" s="8" t="s">
        <v>364</v>
      </c>
      <c r="D14" s="6" t="str">
        <f>IFERROR(VLOOKUP(C14,'Laporan Stok Barang'!$A$8:$F$19,2,0),"tidak terdaftar")</f>
        <v>Blackberry</v>
      </c>
      <c r="E14" s="64">
        <v>24</v>
      </c>
      <c r="F14" s="76"/>
      <c r="H14" s="74"/>
      <c r="I14" s="6" t="s">
        <v>384</v>
      </c>
      <c r="J14" s="8" t="s">
        <v>364</v>
      </c>
      <c r="K14" s="6" t="str">
        <f>IFERROR(VLOOKUP(J14,'Laporan Stok Barang'!$A$8:$F$19,2,0),"tidak terdaftar")</f>
        <v>Blackberry</v>
      </c>
      <c r="L14" s="64">
        <v>41</v>
      </c>
      <c r="M14" s="76"/>
    </row>
    <row r="15" spans="1:17">
      <c r="A15" s="74"/>
      <c r="B15" s="6" t="s">
        <v>383</v>
      </c>
      <c r="C15" s="8" t="s">
        <v>365</v>
      </c>
      <c r="D15" s="6" t="str">
        <f>IFERROR(VLOOKUP(C15,'Laporan Stok Barang'!$A$8:$F$19,2,0),"tidak terdaftar")</f>
        <v>Mito</v>
      </c>
      <c r="E15" s="64">
        <v>18</v>
      </c>
      <c r="F15" s="76"/>
      <c r="H15" s="74"/>
      <c r="I15" s="6" t="s">
        <v>384</v>
      </c>
      <c r="J15" s="8" t="s">
        <v>365</v>
      </c>
      <c r="K15" s="6" t="str">
        <f>IFERROR(VLOOKUP(J15,'Laporan Stok Barang'!$A$8:$F$19,2,0),"tidak terdaftar")</f>
        <v>Mito</v>
      </c>
      <c r="L15" s="64">
        <v>35</v>
      </c>
      <c r="M15" s="76"/>
    </row>
    <row r="16" spans="1:17">
      <c r="A16" s="74"/>
      <c r="B16" s="6" t="s">
        <v>384</v>
      </c>
      <c r="C16" s="8" t="s">
        <v>361</v>
      </c>
      <c r="D16" s="6" t="str">
        <f>IFERROR(VLOOKUP(C16,'Laporan Stok Barang'!$A$8:$F$19,2,0),"tidak terdaftar")</f>
        <v>Advan</v>
      </c>
      <c r="E16" s="64">
        <v>25</v>
      </c>
      <c r="F16" s="76"/>
      <c r="H16" s="74"/>
      <c r="I16" s="6" t="s">
        <v>386</v>
      </c>
      <c r="J16" s="8" t="s">
        <v>361</v>
      </c>
      <c r="K16" s="6" t="str">
        <f>IFERROR(VLOOKUP(J16,'Laporan Stok Barang'!$A$8:$F$19,2,0),"tidak terdaftar")</f>
        <v>Advan</v>
      </c>
      <c r="L16" s="64">
        <v>38</v>
      </c>
      <c r="M16" s="76"/>
    </row>
    <row r="17" spans="1:13">
      <c r="A17" s="74"/>
      <c r="B17" s="6" t="s">
        <v>391</v>
      </c>
      <c r="C17" s="8" t="s">
        <v>362</v>
      </c>
      <c r="D17" s="6" t="str">
        <f>IFERROR(VLOOKUP(C17,'Laporan Stok Barang'!$A$8:$F$19,2,0),"tidak terdaftar")</f>
        <v>Lenovo</v>
      </c>
      <c r="E17" s="64">
        <v>10</v>
      </c>
      <c r="F17" s="76"/>
      <c r="H17" s="74"/>
      <c r="I17" s="6" t="s">
        <v>387</v>
      </c>
      <c r="J17" s="8" t="s">
        <v>362</v>
      </c>
      <c r="K17" s="6" t="str">
        <f>IFERROR(VLOOKUP(J17,'Laporan Stok Barang'!$A$8:$F$19,2,0),"tidak terdaftar")</f>
        <v>Lenovo</v>
      </c>
      <c r="L17" s="64">
        <v>55</v>
      </c>
      <c r="M17" s="76"/>
    </row>
    <row r="18" spans="1:13">
      <c r="A18" s="74"/>
      <c r="B18" s="6" t="s">
        <v>387</v>
      </c>
      <c r="C18" s="8" t="s">
        <v>356</v>
      </c>
      <c r="D18" s="6" t="str">
        <f>IFERROR(VLOOKUP(C18,'Laporan Stok Barang'!$A$8:$F$19,2,0),"tidak terdaftar")</f>
        <v>Samsung</v>
      </c>
      <c r="E18" s="64">
        <v>9</v>
      </c>
      <c r="F18" s="76"/>
      <c r="H18" s="74"/>
      <c r="I18" s="6" t="s">
        <v>387</v>
      </c>
      <c r="J18" s="8" t="s">
        <v>356</v>
      </c>
      <c r="K18" s="6" t="str">
        <f>IFERROR(VLOOKUP(J18,'Laporan Stok Barang'!$A$8:$F$19,2,0),"tidak terdaftar")</f>
        <v>Samsung</v>
      </c>
      <c r="L18" s="64">
        <v>59</v>
      </c>
      <c r="M18" s="76"/>
    </row>
    <row r="19" spans="1:13">
      <c r="A19" s="74"/>
      <c r="B19" s="6" t="s">
        <v>390</v>
      </c>
      <c r="C19" s="8" t="s">
        <v>359</v>
      </c>
      <c r="D19" s="6" t="str">
        <f>IFERROR(VLOOKUP(C19,'Laporan Stok Barang'!$A$8:$F$19,2,0),"tidak terdaftar")</f>
        <v>Xiaomi</v>
      </c>
      <c r="E19" s="64">
        <v>30</v>
      </c>
      <c r="F19" s="76"/>
      <c r="H19" s="74"/>
      <c r="I19" s="6" t="s">
        <v>388</v>
      </c>
      <c r="J19" s="8" t="s">
        <v>359</v>
      </c>
      <c r="K19" s="6" t="str">
        <f>IFERROR(VLOOKUP(J19,'Laporan Stok Barang'!$A$8:$F$19,2,0),"tidak terdaftar")</f>
        <v>Xiaomi</v>
      </c>
      <c r="L19" s="64">
        <v>41</v>
      </c>
      <c r="M19" s="76"/>
    </row>
    <row r="20" spans="1:13">
      <c r="A20" s="74"/>
      <c r="B20" s="6" t="s">
        <v>394</v>
      </c>
      <c r="C20" s="8" t="s">
        <v>366</v>
      </c>
      <c r="D20" s="6" t="str">
        <f>IFERROR(VLOOKUP(C20,'Laporan Stok Barang'!$A$8:$F$19,2,0),"tidak terdaftar")</f>
        <v>Asus</v>
      </c>
      <c r="E20" s="64">
        <v>17</v>
      </c>
      <c r="F20" s="76"/>
      <c r="H20" s="74"/>
      <c r="I20" s="6" t="s">
        <v>389</v>
      </c>
      <c r="J20" s="8" t="s">
        <v>366</v>
      </c>
      <c r="K20" s="6" t="str">
        <f>IFERROR(VLOOKUP(J20,'Laporan Stok Barang'!$A$8:$F$19,2,0),"tidak terdaftar")</f>
        <v>Asus</v>
      </c>
      <c r="L20" s="64">
        <v>54</v>
      </c>
      <c r="M20" s="76"/>
    </row>
    <row r="21" spans="1:13">
      <c r="A21" s="74"/>
      <c r="F21" s="76"/>
      <c r="H21" s="74"/>
      <c r="M21" s="76"/>
    </row>
    <row r="22" spans="1:13" ht="15" thickBot="1">
      <c r="A22" s="77"/>
      <c r="B22" s="78"/>
      <c r="C22" s="78"/>
      <c r="D22" s="78"/>
      <c r="E22" s="78"/>
      <c r="F22" s="79"/>
      <c r="H22" s="77"/>
      <c r="I22" s="78"/>
      <c r="J22" s="78"/>
      <c r="K22" s="78"/>
      <c r="L22" s="78"/>
      <c r="M22" s="79"/>
    </row>
    <row r="27" spans="1:13">
      <c r="G27" t="s">
        <v>26</v>
      </c>
    </row>
  </sheetData>
  <mergeCells count="5">
    <mergeCell ref="B1:D2"/>
    <mergeCell ref="I5:L5"/>
    <mergeCell ref="I6:L6"/>
    <mergeCell ref="B5:E5"/>
    <mergeCell ref="B6:E6"/>
  </mergeCells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4738-2104-45A8-B60B-90DF9F5F1243}">
  <dimension ref="A1:H28"/>
  <sheetViews>
    <sheetView workbookViewId="0">
      <selection activeCell="F13" sqref="F13"/>
    </sheetView>
  </sheetViews>
  <sheetFormatPr defaultRowHeight="13"/>
  <cols>
    <col min="1" max="5" width="15.6328125" style="6" customWidth="1"/>
    <col min="6" max="16384" width="8.7265625" style="6"/>
  </cols>
  <sheetData>
    <row r="1" spans="1:8" s="9" customFormat="1">
      <c r="B1" s="148" t="s">
        <v>12</v>
      </c>
      <c r="C1" s="148"/>
      <c r="D1" s="148"/>
      <c r="F1" s="26" t="s">
        <v>37</v>
      </c>
      <c r="G1" s="27"/>
      <c r="H1" s="27"/>
    </row>
    <row r="2" spans="1:8" s="9" customFormat="1">
      <c r="B2" s="148"/>
      <c r="C2" s="148"/>
      <c r="D2" s="148"/>
      <c r="F2" s="26"/>
      <c r="G2" s="27"/>
      <c r="H2" s="27"/>
    </row>
    <row r="4" spans="1:8">
      <c r="A4" s="173" t="s">
        <v>430</v>
      </c>
      <c r="B4" s="173"/>
      <c r="C4" s="173"/>
      <c r="D4" s="173"/>
      <c r="E4" s="173"/>
    </row>
    <row r="5" spans="1:8">
      <c r="A5" s="173" t="s">
        <v>431</v>
      </c>
      <c r="B5" s="173"/>
      <c r="C5" s="173"/>
      <c r="D5" s="173"/>
      <c r="E5" s="173"/>
    </row>
    <row r="6" spans="1:8">
      <c r="A6" s="173" t="s">
        <v>432</v>
      </c>
      <c r="B6" s="173"/>
      <c r="C6" s="173"/>
      <c r="D6" s="173"/>
      <c r="E6" s="173"/>
    </row>
    <row r="7" spans="1:8">
      <c r="A7" s="95"/>
      <c r="B7" s="95"/>
      <c r="C7" s="95"/>
      <c r="D7" s="95"/>
      <c r="E7" s="95"/>
    </row>
    <row r="8" spans="1:8">
      <c r="A8" s="6" t="s">
        <v>348</v>
      </c>
    </row>
    <row r="9" spans="1:8">
      <c r="A9" s="5" t="s">
        <v>82</v>
      </c>
      <c r="B9" s="5" t="s">
        <v>426</v>
      </c>
      <c r="C9" s="5" t="s">
        <v>427</v>
      </c>
      <c r="D9" s="5" t="s">
        <v>428</v>
      </c>
      <c r="E9" s="5" t="s">
        <v>429</v>
      </c>
    </row>
    <row r="10" spans="1:8">
      <c r="A10" s="92">
        <v>44744</v>
      </c>
      <c r="B10" s="91" t="s">
        <v>433</v>
      </c>
      <c r="C10" s="93">
        <v>10000000</v>
      </c>
      <c r="D10" s="93"/>
      <c r="E10" s="93">
        <v>10000000</v>
      </c>
    </row>
    <row r="11" spans="1:8">
      <c r="A11" s="92">
        <v>44746</v>
      </c>
      <c r="B11" s="91" t="s">
        <v>434</v>
      </c>
      <c r="C11" s="40"/>
      <c r="D11" s="93">
        <v>4700000</v>
      </c>
      <c r="E11" s="94">
        <f>IF(AND(C11="",D11="")," ",E10+C11-D11)</f>
        <v>5300000</v>
      </c>
    </row>
    <row r="12" spans="1:8" ht="26">
      <c r="A12" s="92">
        <v>44750</v>
      </c>
      <c r="B12" s="91" t="s">
        <v>440</v>
      </c>
      <c r="C12" s="93"/>
      <c r="D12" s="93">
        <v>100000</v>
      </c>
      <c r="E12" s="94">
        <f t="shared" ref="E12:E18" si="0">IF(AND(C12="",D12="")," ",E11+C12-D12)</f>
        <v>5200000</v>
      </c>
    </row>
    <row r="13" spans="1:8" ht="26">
      <c r="A13" s="92">
        <v>44757</v>
      </c>
      <c r="B13" s="91" t="s">
        <v>435</v>
      </c>
      <c r="C13" s="93"/>
      <c r="D13" s="93">
        <v>50000</v>
      </c>
      <c r="E13" s="94">
        <f t="shared" si="0"/>
        <v>5150000</v>
      </c>
    </row>
    <row r="14" spans="1:8">
      <c r="A14" s="92">
        <v>44761</v>
      </c>
      <c r="B14" s="91" t="s">
        <v>436</v>
      </c>
      <c r="C14" s="93"/>
      <c r="D14" s="93">
        <v>100000</v>
      </c>
      <c r="E14" s="94">
        <f t="shared" si="0"/>
        <v>5050000</v>
      </c>
    </row>
    <row r="15" spans="1:8">
      <c r="A15" s="92">
        <v>44762</v>
      </c>
      <c r="B15" s="91" t="s">
        <v>437</v>
      </c>
      <c r="C15" s="93">
        <v>200000</v>
      </c>
      <c r="D15" s="93"/>
      <c r="E15" s="94">
        <f t="shared" si="0"/>
        <v>5250000</v>
      </c>
    </row>
    <row r="16" spans="1:8" ht="26">
      <c r="A16" s="92">
        <v>44768</v>
      </c>
      <c r="B16" s="91" t="s">
        <v>438</v>
      </c>
      <c r="C16" s="93"/>
      <c r="D16" s="93">
        <v>300000</v>
      </c>
      <c r="E16" s="94">
        <f t="shared" si="0"/>
        <v>4950000</v>
      </c>
    </row>
    <row r="17" spans="1:7">
      <c r="A17" s="92">
        <v>44770</v>
      </c>
      <c r="B17" s="91" t="s">
        <v>439</v>
      </c>
      <c r="C17" s="93">
        <v>1610000</v>
      </c>
      <c r="D17" s="93"/>
      <c r="E17" s="94">
        <f t="shared" si="0"/>
        <v>6560000</v>
      </c>
    </row>
    <row r="18" spans="1:7">
      <c r="A18" s="92">
        <v>44771</v>
      </c>
      <c r="B18" s="91" t="s">
        <v>441</v>
      </c>
      <c r="C18" s="93"/>
      <c r="D18" s="93">
        <v>2000000</v>
      </c>
      <c r="E18" s="94">
        <f t="shared" si="0"/>
        <v>4560000</v>
      </c>
    </row>
    <row r="19" spans="1:7">
      <c r="A19" s="92"/>
      <c r="B19" s="8" t="s">
        <v>442</v>
      </c>
      <c r="C19" s="96">
        <f>SUM(C10:C18)</f>
        <v>11810000</v>
      </c>
      <c r="D19" s="96">
        <f>SUM(D10:D18)</f>
        <v>7250000</v>
      </c>
      <c r="E19" s="96">
        <f>C19-D19</f>
        <v>4560000</v>
      </c>
      <c r="G19" s="6" t="s">
        <v>26</v>
      </c>
    </row>
    <row r="20" spans="1:7">
      <c r="A20" s="92"/>
      <c r="B20" s="8"/>
      <c r="C20" s="8"/>
      <c r="D20" s="8"/>
      <c r="E20" s="8"/>
    </row>
    <row r="21" spans="1:7">
      <c r="A21" s="92"/>
      <c r="B21" s="8"/>
      <c r="C21" s="8"/>
      <c r="D21" s="8"/>
      <c r="E21" s="8"/>
    </row>
    <row r="22" spans="1:7">
      <c r="A22" s="92"/>
      <c r="B22" s="8"/>
      <c r="C22" s="8"/>
      <c r="D22" s="8"/>
      <c r="E22" s="8"/>
    </row>
    <row r="23" spans="1:7">
      <c r="A23" s="92"/>
      <c r="B23" s="8"/>
      <c r="C23" s="8"/>
      <c r="D23" s="8"/>
      <c r="E23" s="8"/>
    </row>
    <row r="24" spans="1:7">
      <c r="A24" s="92"/>
      <c r="B24" s="8"/>
      <c r="C24" s="8"/>
      <c r="D24" s="8"/>
      <c r="E24" s="8"/>
    </row>
    <row r="25" spans="1:7">
      <c r="A25" s="8"/>
      <c r="B25" s="8"/>
      <c r="C25" s="8"/>
      <c r="D25" s="8"/>
      <c r="E25" s="8"/>
    </row>
    <row r="26" spans="1:7">
      <c r="A26" s="8"/>
      <c r="B26" s="8"/>
      <c r="C26" s="8"/>
      <c r="D26" s="8"/>
      <c r="E26" s="8"/>
    </row>
    <row r="27" spans="1:7">
      <c r="A27" s="8"/>
      <c r="B27" s="8"/>
      <c r="C27" s="8"/>
      <c r="D27" s="8"/>
      <c r="E27" s="8"/>
    </row>
    <row r="28" spans="1:7">
      <c r="A28" s="8"/>
      <c r="B28" s="8"/>
      <c r="C28" s="8"/>
      <c r="D28" s="8"/>
      <c r="E28" s="8"/>
    </row>
  </sheetData>
  <mergeCells count="4">
    <mergeCell ref="B1:D2"/>
    <mergeCell ref="A4:E4"/>
    <mergeCell ref="A5:E5"/>
    <mergeCell ref="A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8F74-C81E-429E-9894-7F456B02D0AF}">
  <dimension ref="A1:J22"/>
  <sheetViews>
    <sheetView workbookViewId="0">
      <selection activeCell="F20" sqref="F20"/>
    </sheetView>
  </sheetViews>
  <sheetFormatPr defaultRowHeight="14.5"/>
  <cols>
    <col min="1" max="8" width="12.6328125" customWidth="1"/>
  </cols>
  <sheetData>
    <row r="1" spans="1:10" s="9" customFormat="1" ht="13">
      <c r="B1" s="148" t="s">
        <v>12</v>
      </c>
      <c r="C1" s="148"/>
      <c r="D1" s="148"/>
      <c r="F1" s="26" t="s">
        <v>37</v>
      </c>
      <c r="G1" s="27"/>
      <c r="H1" s="27"/>
    </row>
    <row r="2" spans="1:10" s="9" customFormat="1" ht="13">
      <c r="B2" s="148"/>
      <c r="C2" s="148"/>
      <c r="D2" s="148"/>
      <c r="F2" s="26"/>
      <c r="G2" s="27"/>
      <c r="H2" s="27"/>
    </row>
    <row r="5" spans="1:10" ht="26">
      <c r="A5" s="119" t="s">
        <v>33</v>
      </c>
      <c r="B5" s="119" t="s">
        <v>34</v>
      </c>
      <c r="C5" s="120" t="s">
        <v>443</v>
      </c>
      <c r="D5" s="120" t="s">
        <v>444</v>
      </c>
      <c r="E5" s="120" t="s">
        <v>445</v>
      </c>
      <c r="F5" s="120" t="s">
        <v>446</v>
      </c>
      <c r="G5" s="120" t="s">
        <v>447</v>
      </c>
      <c r="H5" s="120" t="s">
        <v>448</v>
      </c>
    </row>
    <row r="6" spans="1:10">
      <c r="A6" s="6">
        <v>120</v>
      </c>
      <c r="B6" s="6">
        <v>50</v>
      </c>
      <c r="C6" s="6">
        <f>A6+B6</f>
        <v>170</v>
      </c>
      <c r="D6" s="6">
        <f>A6-B6</f>
        <v>70</v>
      </c>
      <c r="E6" s="15">
        <f>A6*B6</f>
        <v>6000</v>
      </c>
      <c r="F6" s="6">
        <f>A6/B6</f>
        <v>2.4</v>
      </c>
      <c r="G6" s="6">
        <f>A6*0.3</f>
        <v>36</v>
      </c>
      <c r="H6" s="6">
        <f>B6-B6*0.1</f>
        <v>45</v>
      </c>
    </row>
    <row r="7" spans="1:10">
      <c r="A7" s="6">
        <v>90</v>
      </c>
      <c r="B7" s="6">
        <v>30</v>
      </c>
      <c r="C7" s="6">
        <f t="shared" ref="C7:C10" si="0">A7+B7</f>
        <v>120</v>
      </c>
      <c r="D7" s="6">
        <f t="shared" ref="D7:D10" si="1">A7-B7</f>
        <v>60</v>
      </c>
      <c r="E7" s="15">
        <f t="shared" ref="E7:E10" si="2">A7*B7</f>
        <v>2700</v>
      </c>
      <c r="F7" s="6">
        <f t="shared" ref="F7:F10" si="3">A7/B7</f>
        <v>3</v>
      </c>
      <c r="G7" s="6">
        <f t="shared" ref="G7:G10" si="4">A7*0.3</f>
        <v>27</v>
      </c>
      <c r="H7" s="6">
        <f t="shared" ref="H7:H10" si="5">B7-B7*0.1</f>
        <v>27</v>
      </c>
      <c r="I7" t="s">
        <v>26</v>
      </c>
    </row>
    <row r="8" spans="1:10">
      <c r="A8" s="6">
        <v>100</v>
      </c>
      <c r="B8" s="6">
        <v>25</v>
      </c>
      <c r="C8" s="6">
        <f t="shared" si="0"/>
        <v>125</v>
      </c>
      <c r="D8" s="6">
        <f t="shared" si="1"/>
        <v>75</v>
      </c>
      <c r="E8" s="15">
        <f t="shared" si="2"/>
        <v>2500</v>
      </c>
      <c r="F8" s="6">
        <f t="shared" si="3"/>
        <v>4</v>
      </c>
      <c r="G8" s="6">
        <f t="shared" si="4"/>
        <v>30</v>
      </c>
      <c r="H8" s="6">
        <f t="shared" si="5"/>
        <v>22.5</v>
      </c>
    </row>
    <row r="9" spans="1:10">
      <c r="A9" s="6">
        <v>12</v>
      </c>
      <c r="B9" s="6">
        <v>24</v>
      </c>
      <c r="C9" s="6">
        <f t="shared" si="0"/>
        <v>36</v>
      </c>
      <c r="D9" s="6">
        <f t="shared" si="1"/>
        <v>-12</v>
      </c>
      <c r="E9" s="15">
        <f t="shared" si="2"/>
        <v>288</v>
      </c>
      <c r="F9" s="6">
        <f t="shared" si="3"/>
        <v>0.5</v>
      </c>
      <c r="G9" s="6">
        <f t="shared" si="4"/>
        <v>3.5999999999999996</v>
      </c>
      <c r="H9" s="6">
        <f t="shared" si="5"/>
        <v>21.6</v>
      </c>
    </row>
    <row r="10" spans="1:10">
      <c r="A10" s="6">
        <v>18</v>
      </c>
      <c r="B10" s="6">
        <v>3</v>
      </c>
      <c r="C10" s="6">
        <f t="shared" si="0"/>
        <v>21</v>
      </c>
      <c r="D10" s="6">
        <f t="shared" si="1"/>
        <v>15</v>
      </c>
      <c r="E10" s="15">
        <f t="shared" si="2"/>
        <v>54</v>
      </c>
      <c r="F10" s="6">
        <f t="shared" si="3"/>
        <v>6</v>
      </c>
      <c r="G10" s="6">
        <f t="shared" si="4"/>
        <v>5.3999999999999995</v>
      </c>
      <c r="H10" s="6">
        <f t="shared" si="5"/>
        <v>2.7</v>
      </c>
    </row>
    <row r="11" spans="1:10">
      <c r="A11" s="6"/>
      <c r="B11" s="6"/>
      <c r="C11" s="6"/>
      <c r="D11" s="6"/>
      <c r="E11" s="6"/>
      <c r="F11" s="6"/>
      <c r="G11" s="6"/>
      <c r="H11" s="6" t="s">
        <v>26</v>
      </c>
    </row>
    <row r="12" spans="1:10" ht="26">
      <c r="A12" s="120" t="s">
        <v>85</v>
      </c>
      <c r="B12" s="120" t="s">
        <v>449</v>
      </c>
      <c r="C12" s="120" t="s">
        <v>450</v>
      </c>
      <c r="D12" s="6"/>
      <c r="E12" s="120" t="s">
        <v>50</v>
      </c>
      <c r="F12" s="120" t="s">
        <v>449</v>
      </c>
      <c r="G12" s="120" t="s">
        <v>451</v>
      </c>
      <c r="H12" s="6"/>
    </row>
    <row r="13" spans="1:10">
      <c r="A13" s="6">
        <v>2015</v>
      </c>
      <c r="B13" s="15">
        <v>4500</v>
      </c>
      <c r="C13" s="6">
        <v>0</v>
      </c>
      <c r="D13" s="6"/>
      <c r="E13" s="6" t="s">
        <v>45</v>
      </c>
      <c r="F13" s="15">
        <v>3500</v>
      </c>
      <c r="G13" s="98">
        <f>F13/$F$15</f>
        <v>0.51851851851851849</v>
      </c>
      <c r="H13" s="6"/>
    </row>
    <row r="14" spans="1:10">
      <c r="A14" s="6">
        <v>2016</v>
      </c>
      <c r="B14" s="15">
        <v>4800</v>
      </c>
      <c r="C14" s="99">
        <f>(B14-B13)/B13</f>
        <v>6.6666666666666666E-2</v>
      </c>
      <c r="D14" s="6"/>
      <c r="E14" s="6" t="s">
        <v>46</v>
      </c>
      <c r="F14" s="15">
        <v>3250</v>
      </c>
      <c r="G14" s="98">
        <f>F14/$F$15</f>
        <v>0.48148148148148145</v>
      </c>
      <c r="H14" s="6"/>
    </row>
    <row r="15" spans="1:10">
      <c r="A15" s="6">
        <v>2017</v>
      </c>
      <c r="B15" s="15">
        <v>5400</v>
      </c>
      <c r="C15" s="99">
        <f t="shared" ref="C15:C17" si="6">(B15-B14)/B14</f>
        <v>0.125</v>
      </c>
      <c r="D15" s="6"/>
      <c r="E15" s="6" t="s">
        <v>11</v>
      </c>
      <c r="F15" s="81">
        <v>6750</v>
      </c>
      <c r="G15" s="98">
        <f>F15/$F$15</f>
        <v>1</v>
      </c>
      <c r="H15" s="6"/>
      <c r="J15" t="s">
        <v>26</v>
      </c>
    </row>
    <row r="16" spans="1:10">
      <c r="A16" s="6">
        <v>2018</v>
      </c>
      <c r="B16" s="15">
        <v>5950</v>
      </c>
      <c r="C16" s="99">
        <f t="shared" si="6"/>
        <v>0.10185185185185185</v>
      </c>
      <c r="D16" s="6"/>
      <c r="E16" s="6"/>
      <c r="F16" s="6"/>
      <c r="G16" s="6"/>
      <c r="H16" s="6"/>
    </row>
    <row r="17" spans="1:8">
      <c r="A17" s="6">
        <v>2019</v>
      </c>
      <c r="B17" s="15">
        <v>6750</v>
      </c>
      <c r="C17" s="99">
        <f t="shared" si="6"/>
        <v>0.13445378151260504</v>
      </c>
      <c r="D17" s="6"/>
      <c r="E17" s="121" t="s">
        <v>452</v>
      </c>
      <c r="F17" s="15">
        <v>15000000</v>
      </c>
      <c r="G17" s="6"/>
      <c r="H17" s="6"/>
    </row>
    <row r="18" spans="1:8" ht="14.5" customHeight="1">
      <c r="A18" s="174" t="s">
        <v>456</v>
      </c>
      <c r="B18" s="174"/>
      <c r="C18" s="174"/>
      <c r="D18" s="6" t="s">
        <v>26</v>
      </c>
      <c r="E18" s="121" t="s">
        <v>453</v>
      </c>
      <c r="F18" s="97">
        <v>12000000</v>
      </c>
      <c r="G18" s="6"/>
      <c r="H18" s="6"/>
    </row>
    <row r="19" spans="1:8">
      <c r="A19" s="174"/>
      <c r="B19" s="174"/>
      <c r="C19" s="174"/>
      <c r="D19" s="6"/>
      <c r="E19" s="121" t="s">
        <v>454</v>
      </c>
      <c r="F19" s="81">
        <f>F17-F18</f>
        <v>3000000</v>
      </c>
      <c r="G19" s="6"/>
      <c r="H19" s="6"/>
    </row>
    <row r="20" spans="1:8">
      <c r="A20" s="174"/>
      <c r="B20" s="174"/>
      <c r="C20" s="174"/>
      <c r="D20" s="6"/>
      <c r="E20" s="121" t="s">
        <v>455</v>
      </c>
      <c r="F20" s="98">
        <f>F19/F17</f>
        <v>0.2</v>
      </c>
      <c r="G20" s="6"/>
      <c r="H20" s="6"/>
    </row>
    <row r="21" spans="1:8">
      <c r="A21" s="174"/>
      <c r="B21" s="174"/>
      <c r="C21" s="174"/>
    </row>
    <row r="22" spans="1:8">
      <c r="A22" s="174"/>
      <c r="B22" s="174"/>
      <c r="C22" s="174"/>
    </row>
  </sheetData>
  <mergeCells count="2">
    <mergeCell ref="B1:D2"/>
    <mergeCell ref="A18:C2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98FE-B5BE-4C64-930D-B87FF289B32D}">
  <dimension ref="A1:K35"/>
  <sheetViews>
    <sheetView workbookViewId="0">
      <selection activeCell="F6" sqref="F6"/>
    </sheetView>
  </sheetViews>
  <sheetFormatPr defaultRowHeight="14.5"/>
  <cols>
    <col min="1" max="9" width="10.6328125" customWidth="1"/>
  </cols>
  <sheetData>
    <row r="1" spans="1:11" s="9" customFormat="1" ht="13">
      <c r="B1" s="148" t="s">
        <v>12</v>
      </c>
      <c r="C1" s="148"/>
      <c r="D1" s="148"/>
      <c r="F1" s="26" t="s">
        <v>37</v>
      </c>
      <c r="G1" s="27"/>
      <c r="H1" s="27"/>
    </row>
    <row r="2" spans="1:11" s="9" customFormat="1" ht="13">
      <c r="B2" s="148"/>
      <c r="C2" s="148"/>
      <c r="D2" s="148"/>
      <c r="F2" s="26"/>
      <c r="G2" s="27"/>
      <c r="H2" s="27"/>
    </row>
    <row r="5" spans="1:11" ht="39">
      <c r="A5" s="119" t="s">
        <v>81</v>
      </c>
      <c r="B5" s="120" t="s">
        <v>457</v>
      </c>
      <c r="C5" s="120" t="s">
        <v>458</v>
      </c>
      <c r="D5" s="119" t="s">
        <v>459</v>
      </c>
      <c r="E5" s="119" t="s">
        <v>460</v>
      </c>
      <c r="F5" s="120" t="s">
        <v>265</v>
      </c>
      <c r="G5" s="119" t="s">
        <v>461</v>
      </c>
      <c r="H5" s="120" t="s">
        <v>306</v>
      </c>
      <c r="I5" s="120" t="s">
        <v>462</v>
      </c>
    </row>
    <row r="6" spans="1:11">
      <c r="A6" s="8">
        <v>1</v>
      </c>
      <c r="B6" s="19" t="s">
        <v>463</v>
      </c>
      <c r="C6" s="104" t="s">
        <v>526</v>
      </c>
      <c r="D6" s="19" t="str">
        <f>HLOOKUP(LEFT(C6,3),$A$16:$D$17,2,0)</f>
        <v>Bisnis</v>
      </c>
      <c r="E6" s="19" t="str">
        <f>VLOOKUP(RIGHT(C6,1),$A$20:$E$23,2,0)</f>
        <v>Anak</v>
      </c>
      <c r="F6" s="104" t="str">
        <f>MID(C6,4,4)</f>
        <v>1991</v>
      </c>
      <c r="G6" s="105">
        <f>INDEX($C$21:$E$23,MATCH(E6,$B$21:$B$23,0),MATCH(D6,$C$20:$E$20,0))</f>
        <v>35000</v>
      </c>
      <c r="H6" s="106">
        <f>G6*0.1</f>
        <v>3500</v>
      </c>
      <c r="I6" s="106">
        <f>G6-H6</f>
        <v>31500</v>
      </c>
    </row>
    <row r="7" spans="1:11">
      <c r="A7" s="8">
        <v>2</v>
      </c>
      <c r="B7" s="19" t="s">
        <v>464</v>
      </c>
      <c r="C7" s="104" t="s">
        <v>527</v>
      </c>
      <c r="D7" s="19" t="str">
        <f t="shared" ref="D7:D13" si="0">HLOOKUP(LEFT(C7,3),$A$16:$D$17,2,0)</f>
        <v>Ekonomi</v>
      </c>
      <c r="E7" s="19" t="str">
        <f t="shared" ref="E7:E13" si="1">VLOOKUP(RIGHT(C7,1),$A$20:$E$23,2,0)</f>
        <v>Dewasa</v>
      </c>
      <c r="F7" s="104" t="str">
        <f t="shared" ref="F7:F13" si="2">MID(C7,4,4)</f>
        <v>1998</v>
      </c>
      <c r="G7" s="105">
        <f t="shared" ref="G7:G13" si="3">INDEX($C$21:$E$23,MATCH(E7,$B$21:$B$23,0),MATCH(D7,$C$20:$E$20,0))</f>
        <v>50000</v>
      </c>
      <c r="H7" s="106">
        <f t="shared" ref="H7:H13" si="4">G7*0.1</f>
        <v>5000</v>
      </c>
      <c r="I7" s="106">
        <f t="shared" ref="I7:I12" si="5">G7-H7</f>
        <v>45000</v>
      </c>
    </row>
    <row r="8" spans="1:11">
      <c r="A8" s="8">
        <v>3</v>
      </c>
      <c r="B8" s="19" t="s">
        <v>465</v>
      </c>
      <c r="C8" s="104" t="s">
        <v>528</v>
      </c>
      <c r="D8" s="19" t="str">
        <f t="shared" si="0"/>
        <v>Executive</v>
      </c>
      <c r="E8" s="19" t="str">
        <f t="shared" si="1"/>
        <v>Anak</v>
      </c>
      <c r="F8" s="104" t="str">
        <f t="shared" si="2"/>
        <v>2001</v>
      </c>
      <c r="G8" s="105">
        <f t="shared" si="3"/>
        <v>45000</v>
      </c>
      <c r="H8" s="106">
        <f t="shared" si="4"/>
        <v>4500</v>
      </c>
      <c r="I8" s="106">
        <f t="shared" si="5"/>
        <v>40500</v>
      </c>
    </row>
    <row r="9" spans="1:11">
      <c r="A9" s="8">
        <v>4</v>
      </c>
      <c r="B9" s="19" t="s">
        <v>466</v>
      </c>
      <c r="C9" s="104" t="s">
        <v>529</v>
      </c>
      <c r="D9" s="19" t="str">
        <f t="shared" si="0"/>
        <v>Executive</v>
      </c>
      <c r="E9" s="19" t="str">
        <f t="shared" si="1"/>
        <v>Dewasa</v>
      </c>
      <c r="F9" s="104" t="str">
        <f t="shared" si="2"/>
        <v>1987</v>
      </c>
      <c r="G9" s="105">
        <f t="shared" si="3"/>
        <v>70000</v>
      </c>
      <c r="H9" s="106">
        <f t="shared" si="4"/>
        <v>7000</v>
      </c>
      <c r="I9" s="106">
        <f t="shared" si="5"/>
        <v>63000</v>
      </c>
    </row>
    <row r="10" spans="1:11">
      <c r="A10" s="8">
        <v>5</v>
      </c>
      <c r="B10" s="19" t="s">
        <v>467</v>
      </c>
      <c r="C10" s="104" t="s">
        <v>530</v>
      </c>
      <c r="D10" s="19" t="str">
        <f t="shared" si="0"/>
        <v>Ekonomi</v>
      </c>
      <c r="E10" s="19" t="str">
        <f t="shared" si="1"/>
        <v>Lansia</v>
      </c>
      <c r="F10" s="104" t="str">
        <f t="shared" si="2"/>
        <v>1995</v>
      </c>
      <c r="G10" s="105">
        <f t="shared" si="3"/>
        <v>30000</v>
      </c>
      <c r="H10" s="106">
        <f t="shared" si="4"/>
        <v>3000</v>
      </c>
      <c r="I10" s="106">
        <f t="shared" si="5"/>
        <v>27000</v>
      </c>
      <c r="K10" t="s">
        <v>26</v>
      </c>
    </row>
    <row r="11" spans="1:11">
      <c r="A11" s="8">
        <v>6</v>
      </c>
      <c r="B11" s="19" t="s">
        <v>127</v>
      </c>
      <c r="C11" s="104" t="s">
        <v>531</v>
      </c>
      <c r="D11" s="19" t="str">
        <f t="shared" si="0"/>
        <v>Bisnis</v>
      </c>
      <c r="E11" s="19" t="str">
        <f t="shared" si="1"/>
        <v>Dewasa</v>
      </c>
      <c r="F11" s="104" t="str">
        <f t="shared" si="2"/>
        <v>1992</v>
      </c>
      <c r="G11" s="105">
        <f t="shared" si="3"/>
        <v>60000</v>
      </c>
      <c r="H11" s="106">
        <f t="shared" si="4"/>
        <v>6000</v>
      </c>
      <c r="I11" s="106">
        <f t="shared" si="5"/>
        <v>54000</v>
      </c>
    </row>
    <row r="12" spans="1:11">
      <c r="A12" s="8">
        <v>7</v>
      </c>
      <c r="B12" s="19" t="s">
        <v>468</v>
      </c>
      <c r="C12" s="104" t="s">
        <v>532</v>
      </c>
      <c r="D12" s="19" t="str">
        <f t="shared" si="0"/>
        <v>Ekonomi</v>
      </c>
      <c r="E12" s="19" t="str">
        <f t="shared" si="1"/>
        <v>Anak</v>
      </c>
      <c r="F12" s="104" t="str">
        <f t="shared" si="2"/>
        <v>1994</v>
      </c>
      <c r="G12" s="105">
        <f t="shared" si="3"/>
        <v>25000</v>
      </c>
      <c r="H12" s="106">
        <f t="shared" si="4"/>
        <v>2500</v>
      </c>
      <c r="I12" s="106">
        <f t="shared" si="5"/>
        <v>22500</v>
      </c>
    </row>
    <row r="13" spans="1:11">
      <c r="A13" s="8">
        <v>8</v>
      </c>
      <c r="B13" s="19" t="s">
        <v>469</v>
      </c>
      <c r="C13" s="104" t="s">
        <v>533</v>
      </c>
      <c r="D13" s="19" t="str">
        <f t="shared" si="0"/>
        <v>Executive</v>
      </c>
      <c r="E13" s="19" t="str">
        <f t="shared" si="1"/>
        <v>Lansia</v>
      </c>
      <c r="F13" s="104" t="str">
        <f t="shared" si="2"/>
        <v>1970</v>
      </c>
      <c r="G13" s="105">
        <f t="shared" si="3"/>
        <v>52500</v>
      </c>
      <c r="H13" s="106">
        <f t="shared" si="4"/>
        <v>5250</v>
      </c>
      <c r="I13" s="106">
        <f>G13-H13</f>
        <v>47250</v>
      </c>
      <c r="K13" t="s">
        <v>26</v>
      </c>
    </row>
    <row r="14" spans="1:11">
      <c r="A14" s="6"/>
      <c r="B14" s="6"/>
      <c r="C14" s="100"/>
      <c r="D14" s="6"/>
      <c r="E14" s="6"/>
      <c r="F14" s="100"/>
      <c r="G14" s="6"/>
      <c r="H14" s="100"/>
      <c r="I14" s="100"/>
    </row>
    <row r="15" spans="1:11">
      <c r="A15" s="13" t="s">
        <v>470</v>
      </c>
      <c r="B15" s="6"/>
      <c r="C15" s="100"/>
      <c r="D15" s="6"/>
      <c r="E15" s="6"/>
      <c r="F15" s="100"/>
      <c r="G15" s="6"/>
      <c r="H15" s="100"/>
      <c r="I15" s="100"/>
    </row>
    <row r="16" spans="1:11">
      <c r="A16" s="121" t="s">
        <v>471</v>
      </c>
      <c r="B16" s="121" t="s">
        <v>472</v>
      </c>
      <c r="C16" s="122" t="s">
        <v>473</v>
      </c>
      <c r="D16" s="121" t="s">
        <v>474</v>
      </c>
      <c r="E16" s="6"/>
      <c r="F16" s="100" t="s">
        <v>26</v>
      </c>
      <c r="G16" s="6"/>
      <c r="H16" s="100"/>
      <c r="I16" s="100"/>
    </row>
    <row r="17" spans="1:9">
      <c r="A17" s="6" t="s">
        <v>459</v>
      </c>
      <c r="B17" s="6" t="s">
        <v>475</v>
      </c>
      <c r="C17" s="100" t="s">
        <v>476</v>
      </c>
      <c r="D17" s="6" t="s">
        <v>477</v>
      </c>
      <c r="E17" s="6"/>
      <c r="F17" s="100"/>
      <c r="G17" s="6"/>
      <c r="H17" s="100"/>
      <c r="I17" s="100"/>
    </row>
    <row r="18" spans="1:9">
      <c r="A18" s="6"/>
      <c r="B18" s="6"/>
      <c r="C18" s="100"/>
      <c r="D18" s="6"/>
      <c r="E18" s="6"/>
      <c r="F18" s="100"/>
      <c r="G18" s="6"/>
      <c r="H18" s="100"/>
      <c r="I18" s="100"/>
    </row>
    <row r="19" spans="1:9">
      <c r="A19" s="13" t="s">
        <v>478</v>
      </c>
      <c r="B19" s="6"/>
      <c r="C19" s="100"/>
      <c r="D19" s="6"/>
      <c r="E19" s="6"/>
      <c r="F19" s="100"/>
      <c r="G19" s="6"/>
      <c r="H19" s="100"/>
      <c r="I19" s="100"/>
    </row>
    <row r="20" spans="1:9">
      <c r="A20" s="123" t="s">
        <v>458</v>
      </c>
      <c r="B20" s="123" t="s">
        <v>460</v>
      </c>
      <c r="C20" s="124" t="s">
        <v>475</v>
      </c>
      <c r="D20" s="123" t="s">
        <v>476</v>
      </c>
      <c r="E20" s="123" t="s">
        <v>477</v>
      </c>
      <c r="F20" s="6"/>
      <c r="G20" s="6"/>
      <c r="H20" s="100"/>
      <c r="I20" s="100"/>
    </row>
    <row r="21" spans="1:9">
      <c r="A21" s="2" t="s">
        <v>33</v>
      </c>
      <c r="B21" s="6" t="s">
        <v>479</v>
      </c>
      <c r="C21" s="102">
        <v>25000</v>
      </c>
      <c r="D21" s="101">
        <v>35000</v>
      </c>
      <c r="E21" s="101">
        <v>45000</v>
      </c>
      <c r="F21" s="102"/>
      <c r="G21" s="6"/>
      <c r="H21" s="100"/>
      <c r="I21" s="100"/>
    </row>
    <row r="22" spans="1:9">
      <c r="A22" s="2" t="s">
        <v>36</v>
      </c>
      <c r="B22" s="6" t="s">
        <v>480</v>
      </c>
      <c r="C22" s="102">
        <v>50000</v>
      </c>
      <c r="D22" s="101">
        <v>60000</v>
      </c>
      <c r="E22" s="101">
        <v>70000</v>
      </c>
      <c r="F22" s="102"/>
      <c r="G22" s="6"/>
      <c r="H22" s="100"/>
      <c r="I22" s="100"/>
    </row>
    <row r="23" spans="1:9">
      <c r="A23" s="2" t="s">
        <v>191</v>
      </c>
      <c r="B23" s="6" t="s">
        <v>481</v>
      </c>
      <c r="C23" s="102">
        <v>30000</v>
      </c>
      <c r="D23" s="101">
        <v>40000</v>
      </c>
      <c r="E23" s="101">
        <v>52500</v>
      </c>
      <c r="F23" s="102"/>
      <c r="G23" s="6"/>
      <c r="H23" s="100"/>
      <c r="I23" s="100"/>
    </row>
    <row r="24" spans="1:9">
      <c r="A24" s="6"/>
      <c r="B24" s="6"/>
      <c r="C24" s="100"/>
      <c r="D24" s="6"/>
      <c r="E24" s="6"/>
      <c r="F24" s="100"/>
      <c r="G24" s="6"/>
      <c r="H24" s="100"/>
      <c r="I24" s="100"/>
    </row>
    <row r="25" spans="1:9">
      <c r="A25" s="103" t="s">
        <v>482</v>
      </c>
      <c r="B25" s="6"/>
      <c r="C25" s="100"/>
      <c r="D25" s="6"/>
      <c r="E25" s="6"/>
      <c r="F25" s="100"/>
      <c r="G25" s="6"/>
      <c r="H25" s="100"/>
      <c r="I25" s="100"/>
    </row>
    <row r="26" spans="1:9">
      <c r="A26" s="103" t="s">
        <v>534</v>
      </c>
      <c r="B26" s="6"/>
      <c r="C26" s="100"/>
      <c r="D26" s="6"/>
      <c r="E26" s="6"/>
      <c r="F26" s="100"/>
      <c r="G26" s="6"/>
      <c r="H26" s="100"/>
      <c r="I26" s="100"/>
    </row>
    <row r="27" spans="1:9">
      <c r="A27" s="103" t="s">
        <v>483</v>
      </c>
      <c r="B27" s="6"/>
      <c r="C27" s="100"/>
      <c r="D27" s="6"/>
      <c r="E27" s="6"/>
      <c r="F27" s="100"/>
      <c r="G27" s="6"/>
      <c r="H27" s="100"/>
      <c r="I27" s="100"/>
    </row>
    <row r="28" spans="1:9">
      <c r="A28" s="103" t="s">
        <v>484</v>
      </c>
      <c r="B28" s="6"/>
      <c r="C28" s="100"/>
      <c r="D28" s="6"/>
      <c r="E28" s="6"/>
      <c r="F28" s="100"/>
      <c r="G28" s="6"/>
      <c r="H28" s="100"/>
      <c r="I28" s="100"/>
    </row>
    <row r="29" spans="1:9">
      <c r="A29" s="103" t="s">
        <v>485</v>
      </c>
      <c r="B29" s="6"/>
      <c r="C29" s="100"/>
      <c r="D29" s="6"/>
      <c r="E29" s="6"/>
      <c r="F29" s="100"/>
      <c r="G29" s="6"/>
      <c r="H29" s="100"/>
      <c r="I29" s="100"/>
    </row>
    <row r="30" spans="1:9">
      <c r="A30" s="103" t="s">
        <v>486</v>
      </c>
      <c r="B30" s="6"/>
      <c r="C30" s="100"/>
      <c r="D30" s="6"/>
      <c r="E30" s="6"/>
      <c r="F30" s="100"/>
      <c r="G30" s="6"/>
      <c r="H30" s="100"/>
      <c r="I30" s="100"/>
    </row>
    <row r="31" spans="1:9">
      <c r="A31" s="103" t="s">
        <v>487</v>
      </c>
      <c r="B31" s="6"/>
      <c r="C31" s="100"/>
      <c r="D31" s="6"/>
      <c r="E31" s="6"/>
      <c r="F31" s="100"/>
      <c r="G31" s="6"/>
      <c r="H31" s="100"/>
      <c r="I31" s="100"/>
    </row>
    <row r="32" spans="1:9">
      <c r="A32" s="6"/>
      <c r="B32" s="6"/>
      <c r="C32" s="6"/>
      <c r="D32" s="6"/>
      <c r="E32" s="6"/>
      <c r="F32" s="6"/>
      <c r="G32" s="6"/>
      <c r="H32" s="6"/>
      <c r="I32" s="6"/>
    </row>
    <row r="33" spans="1:9">
      <c r="A33" s="6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35" spans="1:9">
      <c r="A35" s="6"/>
      <c r="B35" s="6"/>
      <c r="C35" s="6"/>
      <c r="D35" s="6"/>
      <c r="E35" s="6"/>
      <c r="F35" s="6"/>
      <c r="G35" s="6"/>
      <c r="H35" s="6"/>
      <c r="I35" s="6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EA85-FD2B-4DD2-9D09-0CE2FD397B74}">
  <dimension ref="A1:M27"/>
  <sheetViews>
    <sheetView tabSelected="1" topLeftCell="B1" workbookViewId="0">
      <selection activeCell="J14" sqref="J14"/>
    </sheetView>
  </sheetViews>
  <sheetFormatPr defaultRowHeight="14.5"/>
  <cols>
    <col min="1" max="2" width="8.7265625" style="114"/>
    <col min="3" max="3" width="11.1796875" style="114" customWidth="1"/>
    <col min="4" max="4" width="12.26953125" style="114" customWidth="1"/>
    <col min="5" max="7" width="8.7265625" style="114"/>
    <col min="8" max="8" width="13.36328125" style="114" customWidth="1"/>
    <col min="9" max="9" width="14.81640625" style="114" customWidth="1"/>
    <col min="10" max="16384" width="8.7265625" style="114"/>
  </cols>
  <sheetData>
    <row r="1" spans="1:13" s="9" customFormat="1" ht="13">
      <c r="B1" s="148" t="s">
        <v>12</v>
      </c>
      <c r="C1" s="148"/>
      <c r="D1" s="148"/>
      <c r="F1" s="26" t="s">
        <v>37</v>
      </c>
      <c r="G1" s="27"/>
      <c r="H1" s="27"/>
    </row>
    <row r="2" spans="1:13" s="9" customFormat="1" ht="13">
      <c r="B2" s="148"/>
      <c r="C2" s="148"/>
      <c r="D2" s="148"/>
      <c r="F2" s="26"/>
      <c r="G2" s="27"/>
      <c r="H2" s="27"/>
    </row>
    <row r="4" spans="1:13">
      <c r="A4" s="109" t="s">
        <v>535</v>
      </c>
      <c r="B4" s="19"/>
      <c r="C4" s="19"/>
      <c r="D4" s="19"/>
      <c r="E4" s="19"/>
      <c r="F4" s="19"/>
      <c r="G4" s="19"/>
      <c r="H4" s="109" t="s">
        <v>536</v>
      </c>
      <c r="I4" s="19"/>
      <c r="J4" s="19"/>
      <c r="K4" s="19"/>
    </row>
    <row r="5" spans="1:13">
      <c r="A5" s="115" t="s">
        <v>33</v>
      </c>
      <c r="B5" s="115" t="s">
        <v>34</v>
      </c>
      <c r="C5" s="116" t="s">
        <v>447</v>
      </c>
      <c r="D5" s="116" t="s">
        <v>537</v>
      </c>
      <c r="E5" s="110"/>
      <c r="F5" s="110"/>
      <c r="G5" s="110"/>
      <c r="H5" s="117" t="s">
        <v>452</v>
      </c>
      <c r="I5" s="107">
        <v>15000000</v>
      </c>
      <c r="J5" s="8"/>
      <c r="K5" s="8"/>
    </row>
    <row r="6" spans="1:13">
      <c r="A6" s="19">
        <v>120</v>
      </c>
      <c r="B6" s="19">
        <v>50</v>
      </c>
      <c r="C6" s="19">
        <f>A6*0.3</f>
        <v>36</v>
      </c>
      <c r="D6" s="19">
        <f>B6*1.2</f>
        <v>60</v>
      </c>
      <c r="E6" s="19"/>
      <c r="F6" s="19"/>
      <c r="G6" s="19"/>
      <c r="H6" s="117" t="s">
        <v>453</v>
      </c>
      <c r="I6" s="108">
        <v>12000000</v>
      </c>
      <c r="J6" s="19"/>
      <c r="K6" s="19"/>
    </row>
    <row r="7" spans="1:13">
      <c r="A7" s="19">
        <v>90</v>
      </c>
      <c r="B7" s="19">
        <v>30</v>
      </c>
      <c r="C7" s="19">
        <f t="shared" ref="C7:C10" si="0">A7*0.3</f>
        <v>27</v>
      </c>
      <c r="D7" s="19">
        <f t="shared" ref="D7:D10" si="1">B7*1.2</f>
        <v>36</v>
      </c>
      <c r="E7" s="19"/>
      <c r="F7" s="19"/>
      <c r="G7" s="19"/>
      <c r="H7" s="117" t="s">
        <v>454</v>
      </c>
      <c r="I7" s="111">
        <f>I5-I6</f>
        <v>3000000</v>
      </c>
      <c r="J7" s="19"/>
      <c r="K7" s="19"/>
    </row>
    <row r="8" spans="1:13">
      <c r="A8" s="19">
        <v>100</v>
      </c>
      <c r="B8" s="19">
        <v>25</v>
      </c>
      <c r="C8" s="19">
        <f t="shared" si="0"/>
        <v>30</v>
      </c>
      <c r="D8" s="19">
        <f t="shared" si="1"/>
        <v>30</v>
      </c>
      <c r="E8" s="19"/>
      <c r="F8" s="19"/>
      <c r="G8" s="19"/>
      <c r="H8" s="117" t="s">
        <v>455</v>
      </c>
      <c r="I8" s="112">
        <f>I7/I5</f>
        <v>0.2</v>
      </c>
      <c r="J8" s="19"/>
      <c r="K8" s="19"/>
      <c r="M8" s="114" t="s">
        <v>26</v>
      </c>
    </row>
    <row r="9" spans="1:13">
      <c r="A9" s="19">
        <v>12</v>
      </c>
      <c r="B9" s="19">
        <v>24</v>
      </c>
      <c r="C9" s="19">
        <f t="shared" si="0"/>
        <v>3.5999999999999996</v>
      </c>
      <c r="D9" s="19">
        <f t="shared" si="1"/>
        <v>28.799999999999997</v>
      </c>
      <c r="E9" s="19"/>
      <c r="F9" s="19"/>
      <c r="G9" s="19"/>
      <c r="H9" s="19"/>
      <c r="I9" s="19"/>
      <c r="J9" s="19"/>
      <c r="K9" s="19"/>
    </row>
    <row r="10" spans="1:13">
      <c r="A10" s="19">
        <v>18</v>
      </c>
      <c r="B10" s="19">
        <v>3</v>
      </c>
      <c r="C10" s="19">
        <f t="shared" si="0"/>
        <v>5.3999999999999995</v>
      </c>
      <c r="D10" s="19">
        <f t="shared" si="1"/>
        <v>3.5999999999999996</v>
      </c>
      <c r="E10" s="19"/>
      <c r="F10" s="19"/>
      <c r="G10" s="19"/>
      <c r="H10" s="19"/>
      <c r="I10" s="19"/>
      <c r="J10" s="19"/>
      <c r="K10" s="19"/>
    </row>
    <row r="11" spans="1:1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3">
      <c r="A12" s="109" t="s">
        <v>538</v>
      </c>
      <c r="B12" s="19"/>
      <c r="C12" s="19"/>
      <c r="D12" s="19"/>
      <c r="E12" s="19"/>
      <c r="F12" s="19"/>
      <c r="G12" s="19"/>
      <c r="H12" s="109" t="s">
        <v>539</v>
      </c>
      <c r="I12" s="19"/>
      <c r="J12" s="19"/>
      <c r="K12" s="19"/>
    </row>
    <row r="13" spans="1:13" ht="26">
      <c r="A13" s="116" t="s">
        <v>85</v>
      </c>
      <c r="B13" s="116" t="s">
        <v>449</v>
      </c>
      <c r="C13" s="116" t="s">
        <v>450</v>
      </c>
      <c r="D13" s="19"/>
      <c r="E13" s="19"/>
      <c r="F13" s="19"/>
      <c r="G13" s="19"/>
      <c r="H13" s="116" t="s">
        <v>67</v>
      </c>
      <c r="I13" s="116" t="s">
        <v>540</v>
      </c>
      <c r="J13" s="116" t="s">
        <v>541</v>
      </c>
      <c r="K13" s="19"/>
    </row>
    <row r="14" spans="1:13">
      <c r="A14" s="19">
        <v>2015</v>
      </c>
      <c r="B14" s="107">
        <v>4500</v>
      </c>
      <c r="C14" s="19">
        <v>0</v>
      </c>
      <c r="D14" s="19"/>
      <c r="E14" s="19"/>
      <c r="F14" s="19"/>
      <c r="G14" s="19"/>
      <c r="H14" s="107">
        <v>125000</v>
      </c>
      <c r="I14" s="112">
        <v>0.1</v>
      </c>
      <c r="J14" s="107">
        <f>H14+(H14*I14)</f>
        <v>137500</v>
      </c>
      <c r="K14" s="19"/>
    </row>
    <row r="15" spans="1:13">
      <c r="A15" s="19">
        <v>2016</v>
      </c>
      <c r="B15" s="107">
        <v>4800</v>
      </c>
      <c r="C15" s="113">
        <f>(B15-B14)/B14</f>
        <v>6.6666666666666666E-2</v>
      </c>
      <c r="D15" s="19"/>
      <c r="E15" s="19"/>
      <c r="F15" s="19"/>
      <c r="G15" s="19"/>
      <c r="H15" s="107">
        <v>35000</v>
      </c>
      <c r="I15" s="112">
        <v>0.12</v>
      </c>
      <c r="J15" s="107">
        <f t="shared" ref="J15:J18" si="2">H15+(H15*I15)</f>
        <v>39200</v>
      </c>
      <c r="K15" s="19"/>
    </row>
    <row r="16" spans="1:13">
      <c r="A16" s="19">
        <v>2017</v>
      </c>
      <c r="B16" s="107">
        <v>5400</v>
      </c>
      <c r="C16" s="113">
        <f t="shared" ref="C16:C17" si="3">(B16-B15)/B15</f>
        <v>0.125</v>
      </c>
      <c r="D16" s="19"/>
      <c r="E16" s="19"/>
      <c r="F16" s="19"/>
      <c r="G16" s="19"/>
      <c r="H16" s="107">
        <v>400000</v>
      </c>
      <c r="I16" s="112">
        <v>0.05</v>
      </c>
      <c r="J16" s="107">
        <f t="shared" si="2"/>
        <v>420000</v>
      </c>
      <c r="K16" s="19"/>
    </row>
    <row r="17" spans="1:11">
      <c r="A17" s="19">
        <v>2018</v>
      </c>
      <c r="B17" s="107">
        <v>5100</v>
      </c>
      <c r="C17" s="113">
        <f t="shared" si="3"/>
        <v>-5.5555555555555552E-2</v>
      </c>
      <c r="D17" s="19"/>
      <c r="E17" s="19"/>
      <c r="F17" s="19"/>
      <c r="G17" s="19"/>
      <c r="H17" s="107">
        <v>89000</v>
      </c>
      <c r="I17" s="112">
        <v>0.13</v>
      </c>
      <c r="J17" s="107">
        <f t="shared" si="2"/>
        <v>100570</v>
      </c>
      <c r="K17" s="19"/>
    </row>
    <row r="18" spans="1:11">
      <c r="A18" s="19">
        <v>2019</v>
      </c>
      <c r="B18" s="107">
        <v>6750</v>
      </c>
      <c r="C18" s="113">
        <f>(B18-B17)/B17</f>
        <v>0.3235294117647059</v>
      </c>
      <c r="D18" s="19"/>
      <c r="E18" s="19"/>
      <c r="F18" s="19"/>
      <c r="G18" s="19"/>
      <c r="H18" s="107">
        <v>110000</v>
      </c>
      <c r="I18" s="112">
        <v>0.25</v>
      </c>
      <c r="J18" s="107">
        <f t="shared" si="2"/>
        <v>137500</v>
      </c>
      <c r="K18" s="19"/>
    </row>
    <row r="19" spans="1:11">
      <c r="A19" s="19"/>
      <c r="B19" s="19"/>
      <c r="C19" s="19"/>
      <c r="D19" s="19"/>
      <c r="E19" s="19"/>
      <c r="F19" s="19"/>
      <c r="G19" s="19"/>
      <c r="H19" s="19"/>
      <c r="I19" s="112"/>
      <c r="J19" s="19"/>
      <c r="K19" s="19"/>
    </row>
    <row r="20" spans="1:11">
      <c r="A20" s="109" t="s">
        <v>542</v>
      </c>
      <c r="B20" s="19"/>
      <c r="C20" s="19"/>
      <c r="D20" s="19"/>
      <c r="E20" s="19"/>
      <c r="F20" s="19"/>
      <c r="G20" s="19"/>
      <c r="H20" s="109" t="s">
        <v>543</v>
      </c>
      <c r="I20" s="112"/>
      <c r="J20" s="19"/>
      <c r="K20" s="19"/>
    </row>
    <row r="21" spans="1:11" ht="39">
      <c r="A21" s="116" t="s">
        <v>50</v>
      </c>
      <c r="B21" s="116" t="s">
        <v>449</v>
      </c>
      <c r="C21" s="116" t="s">
        <v>451</v>
      </c>
      <c r="D21" s="19"/>
      <c r="E21" s="19"/>
      <c r="F21" s="19"/>
      <c r="G21" s="19"/>
      <c r="H21" s="116" t="s">
        <v>67</v>
      </c>
      <c r="I21" s="118" t="s">
        <v>306</v>
      </c>
      <c r="J21" s="116" t="s">
        <v>544</v>
      </c>
      <c r="K21" s="19"/>
    </row>
    <row r="22" spans="1:11">
      <c r="A22" s="19" t="s">
        <v>45</v>
      </c>
      <c r="B22" s="107">
        <v>3500</v>
      </c>
      <c r="C22" s="112">
        <f>B22/$B$24</f>
        <v>0.51851851851851849</v>
      </c>
      <c r="D22" s="19"/>
      <c r="E22" s="19"/>
      <c r="F22" s="19"/>
      <c r="G22" s="19"/>
      <c r="H22" s="107">
        <v>24500</v>
      </c>
      <c r="I22" s="112">
        <v>0.03</v>
      </c>
      <c r="J22" s="107">
        <f>H22-(H22*I22)</f>
        <v>23765</v>
      </c>
      <c r="K22" s="19"/>
    </row>
    <row r="23" spans="1:11">
      <c r="A23" s="19" t="s">
        <v>46</v>
      </c>
      <c r="B23" s="107">
        <v>3250</v>
      </c>
      <c r="C23" s="112">
        <f t="shared" ref="C23:C24" si="4">B23/$B$24</f>
        <v>0.48148148148148145</v>
      </c>
      <c r="D23" s="19"/>
      <c r="E23" s="19"/>
      <c r="F23" s="19"/>
      <c r="G23" s="19"/>
      <c r="H23" s="107">
        <v>30000</v>
      </c>
      <c r="I23" s="112">
        <v>0.05</v>
      </c>
      <c r="J23" s="107">
        <f t="shared" ref="J23:J26" si="5">H23-(H23*I23)</f>
        <v>28500</v>
      </c>
      <c r="K23" s="19"/>
    </row>
    <row r="24" spans="1:11">
      <c r="A24" s="19" t="s">
        <v>11</v>
      </c>
      <c r="B24" s="111">
        <f>SUM(B22:B23)</f>
        <v>6750</v>
      </c>
      <c r="C24" s="112">
        <f t="shared" si="4"/>
        <v>1</v>
      </c>
      <c r="D24" s="19"/>
      <c r="E24" s="19" t="s">
        <v>26</v>
      </c>
      <c r="F24" s="19"/>
      <c r="G24" s="19"/>
      <c r="H24" s="107">
        <v>250000</v>
      </c>
      <c r="I24" s="112">
        <v>0.15</v>
      </c>
      <c r="J24" s="107">
        <f t="shared" si="5"/>
        <v>212500</v>
      </c>
      <c r="K24" s="19"/>
    </row>
    <row r="25" spans="1:11">
      <c r="A25" s="19"/>
      <c r="B25" s="19"/>
      <c r="C25" s="19"/>
      <c r="D25" s="19"/>
      <c r="E25" s="19"/>
      <c r="F25" s="19"/>
      <c r="G25" s="19"/>
      <c r="H25" s="107">
        <v>125000</v>
      </c>
      <c r="I25" s="112">
        <v>0.1</v>
      </c>
      <c r="J25" s="107">
        <f t="shared" si="5"/>
        <v>112500</v>
      </c>
      <c r="K25" s="19"/>
    </row>
    <row r="26" spans="1:11">
      <c r="A26" s="19"/>
      <c r="B26" s="19"/>
      <c r="C26" s="19"/>
      <c r="D26" s="19"/>
      <c r="E26" s="19"/>
      <c r="F26" s="19"/>
      <c r="G26" s="19"/>
      <c r="H26" s="107">
        <v>85000</v>
      </c>
      <c r="I26" s="112">
        <v>0.5</v>
      </c>
      <c r="J26" s="107">
        <f t="shared" si="5"/>
        <v>42500</v>
      </c>
      <c r="K26" s="19" t="s">
        <v>26</v>
      </c>
    </row>
    <row r="27" spans="1:11">
      <c r="A27" s="19"/>
      <c r="B27" s="19"/>
      <c r="C27" s="19"/>
      <c r="D27" s="19"/>
      <c r="E27" s="19"/>
      <c r="F27" s="19"/>
      <c r="G27" s="19"/>
      <c r="H27" s="107"/>
      <c r="I27" s="19"/>
      <c r="J27" s="19"/>
      <c r="K27" s="19"/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E447-4A73-449B-AABF-3AA797DA61D9}">
  <dimension ref="A1:T35"/>
  <sheetViews>
    <sheetView topLeftCell="G1" zoomScale="90" zoomScaleNormal="90" workbookViewId="0">
      <selection activeCell="R20" sqref="R20"/>
    </sheetView>
  </sheetViews>
  <sheetFormatPr defaultRowHeight="13"/>
  <cols>
    <col min="1" max="2" width="8.7265625" style="6"/>
    <col min="3" max="3" width="10.7265625" style="6" customWidth="1"/>
    <col min="4" max="5" width="8.7265625" style="6"/>
    <col min="6" max="6" width="10.7265625" style="6" customWidth="1"/>
    <col min="7" max="7" width="14.81640625" style="6" customWidth="1"/>
    <col min="8" max="8" width="10.7265625" style="6" customWidth="1"/>
    <col min="9" max="9" width="8.7265625" style="6"/>
    <col min="10" max="10" width="12.90625" style="6" customWidth="1"/>
    <col min="11" max="11" width="12.08984375" style="6" customWidth="1"/>
    <col min="12" max="12" width="7.26953125" style="6" customWidth="1"/>
    <col min="13" max="13" width="14.08984375" style="6" customWidth="1"/>
    <col min="14" max="14" width="15.36328125" style="6" customWidth="1"/>
    <col min="15" max="15" width="13.90625" style="6" customWidth="1"/>
    <col min="16" max="16" width="14.81640625" style="6" customWidth="1"/>
    <col min="17" max="17" width="21.1796875" style="6" customWidth="1"/>
    <col min="18" max="18" width="8.7265625" style="6"/>
    <col min="19" max="19" width="12.08984375" style="6" customWidth="1"/>
    <col min="20" max="16384" width="8.7265625" style="6"/>
  </cols>
  <sheetData>
    <row r="1" spans="1:20" s="9" customFormat="1">
      <c r="A1" s="148" t="s">
        <v>12</v>
      </c>
      <c r="B1" s="148"/>
      <c r="C1" s="148"/>
      <c r="E1" s="26" t="s">
        <v>37</v>
      </c>
      <c r="F1" s="42"/>
    </row>
    <row r="2" spans="1:20" s="9" customFormat="1">
      <c r="A2" s="148"/>
      <c r="B2" s="148"/>
      <c r="C2" s="148"/>
      <c r="E2" s="26"/>
      <c r="F2" s="42"/>
    </row>
    <row r="5" spans="1:20">
      <c r="A5" s="43" t="s">
        <v>182</v>
      </c>
      <c r="B5" s="43" t="s">
        <v>183</v>
      </c>
      <c r="C5" s="43" t="s">
        <v>184</v>
      </c>
      <c r="D5" s="43" t="s">
        <v>185</v>
      </c>
      <c r="E5" s="43" t="s">
        <v>186</v>
      </c>
      <c r="F5" s="43" t="s">
        <v>187</v>
      </c>
      <c r="G5" s="43" t="s">
        <v>188</v>
      </c>
      <c r="H5" s="43" t="s">
        <v>189</v>
      </c>
      <c r="J5" s="44" t="s">
        <v>190</v>
      </c>
      <c r="N5" s="43" t="s">
        <v>206</v>
      </c>
      <c r="O5" s="43" t="s">
        <v>207</v>
      </c>
      <c r="P5" s="43" t="s">
        <v>208</v>
      </c>
      <c r="Q5" s="43" t="s">
        <v>209</v>
      </c>
    </row>
    <row r="6" spans="1:20" ht="14.5">
      <c r="A6" s="6" t="s">
        <v>5</v>
      </c>
      <c r="B6" s="6" t="s">
        <v>191</v>
      </c>
      <c r="C6" s="6">
        <v>80</v>
      </c>
      <c r="D6" s="6">
        <v>90</v>
      </c>
      <c r="E6" s="6">
        <v>95</v>
      </c>
      <c r="F6" s="15">
        <f>SUM(C6:E6)</f>
        <v>265</v>
      </c>
      <c r="G6" s="45">
        <f>AVERAGE(C6:E6)</f>
        <v>88.333333333333329</v>
      </c>
      <c r="H6" s="6" t="str">
        <f>IF(G6&gt;65,"lulus","tidak lulus")</f>
        <v>lulus</v>
      </c>
      <c r="I6"/>
      <c r="J6" s="46" t="s">
        <v>192</v>
      </c>
      <c r="K6" s="6" t="s">
        <v>193</v>
      </c>
      <c r="N6" s="6" t="s">
        <v>210</v>
      </c>
      <c r="O6" s="47">
        <v>14</v>
      </c>
      <c r="P6" s="47" t="s">
        <v>211</v>
      </c>
      <c r="Q6" s="2" t="str">
        <f>CONCATENATE(N6," ",O6," ",P6)</f>
        <v>SDN 14 Pagi</v>
      </c>
      <c r="S6" s="162" t="s">
        <v>223</v>
      </c>
      <c r="T6" s="153" t="s">
        <v>124</v>
      </c>
    </row>
    <row r="7" spans="1:20" ht="14.5">
      <c r="A7" s="6" t="s">
        <v>126</v>
      </c>
      <c r="B7" s="6" t="s">
        <v>191</v>
      </c>
      <c r="C7" s="6">
        <v>40</v>
      </c>
      <c r="D7" s="6">
        <v>56</v>
      </c>
      <c r="E7" s="6">
        <v>45</v>
      </c>
      <c r="F7" s="15">
        <f t="shared" ref="F7:F15" si="0">SUM(C7:E7)</f>
        <v>141</v>
      </c>
      <c r="G7" s="45">
        <f t="shared" ref="G7:G15" si="1">AVERAGE(C7:E7)</f>
        <v>47</v>
      </c>
      <c r="H7" s="6" t="str">
        <f t="shared" ref="H7:H15" si="2">IF(G7&gt;65,"lulus","tidak lulus")</f>
        <v>tidak lulus</v>
      </c>
      <c r="I7"/>
      <c r="J7" s="46" t="s">
        <v>194</v>
      </c>
      <c r="K7" s="6" t="s">
        <v>195</v>
      </c>
      <c r="N7" s="6" t="s">
        <v>212</v>
      </c>
      <c r="O7" s="47" t="s">
        <v>213</v>
      </c>
      <c r="P7" s="47">
        <v>1</v>
      </c>
      <c r="Q7" s="2" t="str">
        <f t="shared" ref="Q7:Q10" si="3">CONCATENATE(N7," ",O7," ",P7)</f>
        <v>SD Hikmah Jaya 1</v>
      </c>
      <c r="S7" s="162"/>
      <c r="T7" s="153"/>
    </row>
    <row r="8" spans="1:20" ht="14.5">
      <c r="A8" s="6" t="s">
        <v>58</v>
      </c>
      <c r="B8" s="6" t="s">
        <v>196</v>
      </c>
      <c r="C8" s="6">
        <v>26</v>
      </c>
      <c r="D8" s="6">
        <v>85</v>
      </c>
      <c r="E8" s="6">
        <v>74</v>
      </c>
      <c r="F8" s="15">
        <f t="shared" si="0"/>
        <v>185</v>
      </c>
      <c r="G8" s="45">
        <f t="shared" si="1"/>
        <v>61.666666666666664</v>
      </c>
      <c r="H8" s="6" t="str">
        <f t="shared" si="2"/>
        <v>tidak lulus</v>
      </c>
      <c r="I8"/>
      <c r="N8" s="6" t="s">
        <v>212</v>
      </c>
      <c r="O8" s="47" t="s">
        <v>214</v>
      </c>
      <c r="P8" s="47">
        <v>13</v>
      </c>
      <c r="Q8" s="2" t="str">
        <f t="shared" si="3"/>
        <v>SD Unggul Persada 13</v>
      </c>
      <c r="S8" s="6" t="s">
        <v>224</v>
      </c>
      <c r="T8" s="8">
        <v>10</v>
      </c>
    </row>
    <row r="9" spans="1:20" ht="14.5">
      <c r="A9" s="6" t="s">
        <v>40</v>
      </c>
      <c r="B9" s="6" t="s">
        <v>196</v>
      </c>
      <c r="C9" s="6">
        <v>89</v>
      </c>
      <c r="D9" s="6">
        <v>86</v>
      </c>
      <c r="E9" s="6">
        <v>91</v>
      </c>
      <c r="F9" s="15">
        <f t="shared" si="0"/>
        <v>266</v>
      </c>
      <c r="G9" s="45">
        <f t="shared" si="1"/>
        <v>88.666666666666671</v>
      </c>
      <c r="H9" s="6" t="str">
        <f t="shared" si="2"/>
        <v>lulus</v>
      </c>
      <c r="I9"/>
      <c r="N9" s="6" t="s">
        <v>210</v>
      </c>
      <c r="O9" s="47">
        <v>14</v>
      </c>
      <c r="P9" s="47" t="s">
        <v>215</v>
      </c>
      <c r="Q9" s="2" t="str">
        <f t="shared" si="3"/>
        <v>SDN 14 Sore</v>
      </c>
      <c r="S9" s="6" t="s">
        <v>225</v>
      </c>
      <c r="T9" s="8">
        <v>11</v>
      </c>
    </row>
    <row r="10" spans="1:20" ht="14.5">
      <c r="A10" s="6" t="s">
        <v>59</v>
      </c>
      <c r="B10" s="6" t="s">
        <v>191</v>
      </c>
      <c r="C10" s="6">
        <v>56</v>
      </c>
      <c r="D10" s="6">
        <v>82</v>
      </c>
      <c r="E10" s="6">
        <v>66</v>
      </c>
      <c r="F10" s="15">
        <f t="shared" si="0"/>
        <v>204</v>
      </c>
      <c r="G10" s="45">
        <f t="shared" si="1"/>
        <v>68</v>
      </c>
      <c r="H10" s="6" t="str">
        <f t="shared" si="2"/>
        <v>lulus</v>
      </c>
      <c r="I10"/>
      <c r="J10" s="6" t="s">
        <v>26</v>
      </c>
      <c r="N10" s="6" t="s">
        <v>210</v>
      </c>
      <c r="O10" s="47">
        <v>9</v>
      </c>
      <c r="P10" s="47" t="s">
        <v>216</v>
      </c>
      <c r="Q10" s="2" t="str">
        <f t="shared" si="3"/>
        <v>SDN 9 Unggulan</v>
      </c>
      <c r="S10" s="6" t="s">
        <v>226</v>
      </c>
      <c r="T10" s="8">
        <v>12</v>
      </c>
    </row>
    <row r="11" spans="1:20" ht="14.5">
      <c r="A11" s="6" t="s">
        <v>127</v>
      </c>
      <c r="B11" s="6" t="s">
        <v>196</v>
      </c>
      <c r="C11" s="6">
        <v>48</v>
      </c>
      <c r="D11" s="6">
        <v>56</v>
      </c>
      <c r="E11" s="6">
        <v>75</v>
      </c>
      <c r="F11" s="15">
        <f t="shared" si="0"/>
        <v>179</v>
      </c>
      <c r="G11" s="45">
        <f t="shared" si="1"/>
        <v>59.666666666666664</v>
      </c>
      <c r="H11" s="6" t="str">
        <f t="shared" si="2"/>
        <v>tidak lulus</v>
      </c>
      <c r="I11"/>
      <c r="Q11" s="49" t="s">
        <v>224</v>
      </c>
      <c r="S11" s="6" t="s">
        <v>227</v>
      </c>
      <c r="T11" s="8">
        <v>13</v>
      </c>
    </row>
    <row r="12" spans="1:20" ht="14.5">
      <c r="A12" s="6" t="s">
        <v>60</v>
      </c>
      <c r="B12" s="6" t="s">
        <v>196</v>
      </c>
      <c r="C12" s="6">
        <v>29</v>
      </c>
      <c r="D12" s="6">
        <v>95</v>
      </c>
      <c r="E12" s="6">
        <v>77</v>
      </c>
      <c r="F12" s="15">
        <f t="shared" si="0"/>
        <v>201</v>
      </c>
      <c r="G12" s="45">
        <f t="shared" si="1"/>
        <v>67</v>
      </c>
      <c r="H12" s="6" t="str">
        <f t="shared" si="2"/>
        <v>lulus</v>
      </c>
      <c r="I12"/>
    </row>
    <row r="13" spans="1:20" ht="14.5">
      <c r="A13" s="6" t="s">
        <v>61</v>
      </c>
      <c r="B13" s="6" t="s">
        <v>196</v>
      </c>
      <c r="C13" s="6">
        <v>89</v>
      </c>
      <c r="D13" s="6">
        <v>85</v>
      </c>
      <c r="E13" s="6">
        <v>84</v>
      </c>
      <c r="F13" s="15">
        <f t="shared" si="0"/>
        <v>258</v>
      </c>
      <c r="G13" s="45">
        <f t="shared" si="1"/>
        <v>86</v>
      </c>
      <c r="H13" s="6" t="str">
        <f t="shared" si="2"/>
        <v>lulus</v>
      </c>
      <c r="I13"/>
      <c r="N13" s="165" t="s">
        <v>217</v>
      </c>
      <c r="O13" s="165"/>
      <c r="P13" s="166" t="s">
        <v>218</v>
      </c>
      <c r="Q13" s="166"/>
    </row>
    <row r="14" spans="1:20" ht="14.5">
      <c r="A14" s="6" t="s">
        <v>62</v>
      </c>
      <c r="B14" s="6" t="s">
        <v>191</v>
      </c>
      <c r="C14" s="6">
        <v>78</v>
      </c>
      <c r="D14" s="6">
        <v>74</v>
      </c>
      <c r="E14" s="6">
        <v>81</v>
      </c>
      <c r="F14" s="15">
        <f t="shared" si="0"/>
        <v>233</v>
      </c>
      <c r="G14" s="45">
        <f t="shared" si="1"/>
        <v>77.666666666666671</v>
      </c>
      <c r="H14" s="6" t="str">
        <f t="shared" si="2"/>
        <v>lulus</v>
      </c>
      <c r="I14"/>
      <c r="J14" s="6" t="s">
        <v>26</v>
      </c>
      <c r="N14" s="165" t="s">
        <v>219</v>
      </c>
      <c r="O14" s="165"/>
      <c r="P14" s="164" t="str">
        <f>LOWER(P13)</f>
        <v>nama kepala sekolah</v>
      </c>
      <c r="Q14" s="164"/>
      <c r="R14" s="49" t="s">
        <v>225</v>
      </c>
    </row>
    <row r="15" spans="1:20" ht="14.5">
      <c r="A15" s="6" t="s">
        <v>63</v>
      </c>
      <c r="B15" s="6" t="s">
        <v>191</v>
      </c>
      <c r="C15" s="6">
        <v>55</v>
      </c>
      <c r="D15" s="6">
        <v>73</v>
      </c>
      <c r="E15" s="6">
        <v>42</v>
      </c>
      <c r="F15" s="15">
        <f t="shared" si="0"/>
        <v>170</v>
      </c>
      <c r="G15" s="45">
        <f t="shared" si="1"/>
        <v>56.666666666666664</v>
      </c>
      <c r="H15" s="6" t="str">
        <f t="shared" si="2"/>
        <v>tidak lulus</v>
      </c>
      <c r="I15"/>
      <c r="N15" s="165" t="s">
        <v>220</v>
      </c>
      <c r="O15" s="165"/>
      <c r="P15" s="164" t="str">
        <f>UPPER(P13)</f>
        <v>NAMA KEPALA SEKOLAH</v>
      </c>
      <c r="Q15" s="164"/>
      <c r="R15" s="49" t="s">
        <v>226</v>
      </c>
    </row>
    <row r="16" spans="1:20">
      <c r="F16" s="48" t="s">
        <v>152</v>
      </c>
      <c r="G16" s="50" t="s">
        <v>153</v>
      </c>
      <c r="H16" s="49" t="s">
        <v>64</v>
      </c>
      <c r="N16" s="165" t="s">
        <v>221</v>
      </c>
      <c r="O16" s="165"/>
      <c r="P16" s="164" t="str">
        <f>PROPER(P13)</f>
        <v>Nama Kepala Sekolah</v>
      </c>
      <c r="Q16" s="164"/>
      <c r="R16" s="49" t="s">
        <v>227</v>
      </c>
    </row>
    <row r="17" spans="1:18">
      <c r="F17" s="49"/>
      <c r="G17" s="6" t="s">
        <v>26</v>
      </c>
    </row>
    <row r="18" spans="1:18">
      <c r="A18" s="164" t="s">
        <v>197</v>
      </c>
      <c r="B18" s="164"/>
      <c r="C18" s="164"/>
      <c r="D18" s="164"/>
      <c r="E18" s="15">
        <f>COUNTA(A6:A15)</f>
        <v>10</v>
      </c>
      <c r="F18" s="49" t="s">
        <v>228</v>
      </c>
    </row>
    <row r="19" spans="1:18">
      <c r="A19" s="164" t="s">
        <v>198</v>
      </c>
      <c r="B19" s="164"/>
      <c r="C19" s="164"/>
      <c r="D19" s="164"/>
      <c r="E19" s="45">
        <f>MAX(G6:G15)</f>
        <v>88.666666666666671</v>
      </c>
      <c r="F19" s="49" t="s">
        <v>154</v>
      </c>
      <c r="J19" s="6" t="s">
        <v>26</v>
      </c>
    </row>
    <row r="20" spans="1:18" ht="13" customHeight="1">
      <c r="A20" s="164" t="s">
        <v>199</v>
      </c>
      <c r="B20" s="164"/>
      <c r="C20" s="164"/>
      <c r="D20" s="164"/>
      <c r="E20" s="45">
        <f>MIN(G6:G15)</f>
        <v>47</v>
      </c>
      <c r="F20" s="49" t="s">
        <v>155</v>
      </c>
      <c r="H20" s="162" t="s">
        <v>223</v>
      </c>
      <c r="I20" s="153" t="s">
        <v>124</v>
      </c>
      <c r="K20" s="163" t="s">
        <v>229</v>
      </c>
      <c r="L20" s="163"/>
      <c r="M20" s="57" t="s">
        <v>230</v>
      </c>
      <c r="N20" s="57" t="s">
        <v>49</v>
      </c>
      <c r="O20" s="57" t="s">
        <v>53</v>
      </c>
      <c r="P20" s="57" t="s">
        <v>231</v>
      </c>
    </row>
    <row r="21" spans="1:18" ht="14.5">
      <c r="A21" s="164"/>
      <c r="B21" s="164"/>
      <c r="C21" s="164"/>
      <c r="D21" s="164"/>
      <c r="E21" s="15"/>
      <c r="F21" s="49"/>
      <c r="H21" s="162"/>
      <c r="I21" s="153"/>
      <c r="K21" s="160">
        <v>44261</v>
      </c>
      <c r="L21" s="160"/>
      <c r="M21" s="8">
        <v>106</v>
      </c>
      <c r="N21" s="6" t="str">
        <f>VLOOKUP(M21,'Data Referensi'!$A$6:$D$15,2,0)</f>
        <v>Fiona</v>
      </c>
      <c r="O21" s="6" t="str">
        <f>VLOOKUP(M21,'Data Referensi'!$A$5:$D$15,4,0)</f>
        <v>Palembang</v>
      </c>
      <c r="P21" s="8" t="str">
        <f>HLOOKUP(O21,'Data Referensi'!$A$18:$E$19,2,0)</f>
        <v>2 Hari</v>
      </c>
      <c r="Q21"/>
    </row>
    <row r="22" spans="1:18" ht="14.5">
      <c r="A22" s="164" t="s">
        <v>200</v>
      </c>
      <c r="B22" s="164"/>
      <c r="C22" s="164"/>
      <c r="D22" s="164"/>
      <c r="E22" s="15">
        <f>COUNTIF(H6:H15,"lulus")</f>
        <v>6</v>
      </c>
      <c r="F22" s="49" t="s">
        <v>203</v>
      </c>
      <c r="H22" s="6" t="s">
        <v>152</v>
      </c>
      <c r="I22" s="8">
        <v>1</v>
      </c>
      <c r="K22" s="160">
        <v>44257</v>
      </c>
      <c r="L22" s="160"/>
      <c r="M22" s="8">
        <v>102</v>
      </c>
      <c r="N22" s="6" t="str">
        <f>VLOOKUP(M22,'Data Referensi'!$A$6:$D$15,2,0)</f>
        <v>Budi</v>
      </c>
      <c r="O22" s="6" t="str">
        <f>VLOOKUP(M22,'Data Referensi'!$A$5:$D$15,4,0)</f>
        <v>Jakarta</v>
      </c>
      <c r="P22" s="8" t="str">
        <f>HLOOKUP(O22,'Data Referensi'!$A$18:$E$19,2,0)</f>
        <v>1 Hari</v>
      </c>
      <c r="Q22"/>
    </row>
    <row r="23" spans="1:18" ht="14.5">
      <c r="A23" s="164" t="s">
        <v>201</v>
      </c>
      <c r="B23" s="164"/>
      <c r="C23" s="164"/>
      <c r="D23" s="164"/>
      <c r="E23" s="15">
        <f>SUMIF(H6:H15,"lulus",F6:F15)</f>
        <v>1427</v>
      </c>
      <c r="F23" s="49" t="s">
        <v>204</v>
      </c>
      <c r="G23"/>
      <c r="H23" s="6" t="s">
        <v>153</v>
      </c>
      <c r="I23" s="8">
        <v>2</v>
      </c>
      <c r="K23" s="160">
        <v>44259</v>
      </c>
      <c r="L23" s="160"/>
      <c r="M23" s="8">
        <v>104</v>
      </c>
      <c r="N23" s="6" t="str">
        <f>VLOOKUP(M23,'Data Referensi'!$A$6:$D$15,2,0)</f>
        <v>Dewi</v>
      </c>
      <c r="O23" s="6" t="str">
        <f>VLOOKUP(M23,'Data Referensi'!$A$5:$D$15,4,0)</f>
        <v>Surabaya</v>
      </c>
      <c r="P23" s="8" t="str">
        <f>HLOOKUP(O23,'Data Referensi'!$A$18:$E$19,2,0)</f>
        <v>3 Hari</v>
      </c>
      <c r="Q23"/>
    </row>
    <row r="24" spans="1:18" ht="14.5">
      <c r="A24" s="164" t="s">
        <v>202</v>
      </c>
      <c r="B24" s="164"/>
      <c r="C24" s="164"/>
      <c r="D24" s="164"/>
      <c r="E24" s="45">
        <f>AVERAGEIF(H6:H15,"lulus",G6:G15)</f>
        <v>79.277777777777786</v>
      </c>
      <c r="F24" s="49" t="s">
        <v>205</v>
      </c>
      <c r="G24"/>
      <c r="H24" s="6" t="s">
        <v>222</v>
      </c>
      <c r="I24" s="8">
        <v>3</v>
      </c>
      <c r="K24" s="160">
        <v>44260</v>
      </c>
      <c r="L24" s="160"/>
      <c r="M24" s="8">
        <v>105</v>
      </c>
      <c r="N24" s="6" t="str">
        <f>VLOOKUP(M24,'Data Referensi'!$A$6:$D$15,2,0)</f>
        <v>Eko</v>
      </c>
      <c r="O24" s="6" t="str">
        <f>VLOOKUP(M24,'Data Referensi'!$A$5:$D$15,4,0)</f>
        <v>Jakarta</v>
      </c>
      <c r="P24" s="8" t="str">
        <f>HLOOKUP(O24,'Data Referensi'!$A$18:$E$19,2,0)</f>
        <v>1 Hari</v>
      </c>
      <c r="Q24"/>
    </row>
    <row r="25" spans="1:18" ht="14.5">
      <c r="H25" s="6" t="s">
        <v>154</v>
      </c>
      <c r="I25" s="8">
        <v>4</v>
      </c>
      <c r="K25" s="160">
        <v>44265</v>
      </c>
      <c r="L25" s="160"/>
      <c r="M25" s="8">
        <v>110</v>
      </c>
      <c r="N25" s="6" t="str">
        <f>VLOOKUP(M25,'Data Referensi'!$A$6:$D$15,2,0)</f>
        <v>Juned</v>
      </c>
      <c r="O25" s="6" t="str">
        <f>VLOOKUP(M25,'Data Referensi'!$A$5:$D$15,4,0)</f>
        <v>Bandung</v>
      </c>
      <c r="P25" s="8" t="str">
        <f>HLOOKUP(O25,'Data Referensi'!$A$18:$E$19,2,0)</f>
        <v>2 Hari</v>
      </c>
      <c r="Q25"/>
    </row>
    <row r="26" spans="1:18" ht="14.5">
      <c r="H26" s="6" t="s">
        <v>155</v>
      </c>
      <c r="I26" s="8">
        <v>5</v>
      </c>
      <c r="K26" s="160">
        <v>44258</v>
      </c>
      <c r="L26" s="160"/>
      <c r="M26" s="8">
        <v>103</v>
      </c>
      <c r="N26" s="6" t="str">
        <f>VLOOKUP(M26,'Data Referensi'!$A$6:$D$15,2,0)</f>
        <v>Clara</v>
      </c>
      <c r="O26" s="6" t="str">
        <f>VLOOKUP(M26,'Data Referensi'!$A$5:$D$15,4,0)</f>
        <v>Palembang</v>
      </c>
      <c r="P26" s="8" t="str">
        <f>HLOOKUP(O26,'Data Referensi'!$A$18:$E$19,2,0)</f>
        <v>2 Hari</v>
      </c>
      <c r="Q26"/>
    </row>
    <row r="27" spans="1:18" ht="14.5">
      <c r="A27" s="5" t="s">
        <v>81</v>
      </c>
      <c r="B27" s="153" t="s">
        <v>243</v>
      </c>
      <c r="C27" s="153"/>
      <c r="D27" s="153" t="s">
        <v>244</v>
      </c>
      <c r="E27" s="153"/>
      <c r="H27" s="6" t="s">
        <v>64</v>
      </c>
      <c r="I27" s="8">
        <v>6</v>
      </c>
      <c r="K27" s="160">
        <v>44263</v>
      </c>
      <c r="L27" s="160"/>
      <c r="M27" s="8">
        <v>108</v>
      </c>
      <c r="N27" s="6" t="str">
        <f>VLOOKUP(M27,'Data Referensi'!$A$6:$D$15,2,0)</f>
        <v>Hesti</v>
      </c>
      <c r="O27" s="6" t="str">
        <f>VLOOKUP(M27,'Data Referensi'!$A$5:$D$15,4,0)</f>
        <v>Bandung</v>
      </c>
      <c r="P27" s="8" t="str">
        <f>HLOOKUP(O27,'Data Referensi'!$A$18:$E$19,2,0)</f>
        <v>2 Hari</v>
      </c>
      <c r="Q27"/>
    </row>
    <row r="28" spans="1:18" ht="14.5">
      <c r="A28" s="8">
        <v>1</v>
      </c>
      <c r="B28" s="158" t="s">
        <v>245</v>
      </c>
      <c r="C28" s="158"/>
      <c r="D28" s="159" t="s">
        <v>196</v>
      </c>
      <c r="E28" s="159"/>
      <c r="H28" s="6" t="s">
        <v>204</v>
      </c>
      <c r="I28" s="8">
        <v>7</v>
      </c>
      <c r="K28" s="160">
        <v>44264</v>
      </c>
      <c r="L28" s="160"/>
      <c r="M28" s="8">
        <v>109</v>
      </c>
      <c r="N28" s="6" t="str">
        <f>VLOOKUP(M28,'Data Referensi'!$A$6:$D$15,2,0)</f>
        <v>Igna</v>
      </c>
      <c r="O28" s="6" t="str">
        <f>VLOOKUP(M28,'Data Referensi'!$A$5:$D$15,4,0)</f>
        <v>Jakarta</v>
      </c>
      <c r="P28" s="8" t="str">
        <f>HLOOKUP(O28,'Data Referensi'!$A$18:$E$19,2,0)</f>
        <v>1 Hari</v>
      </c>
      <c r="Q28"/>
      <c r="R28" s="6" t="s">
        <v>26</v>
      </c>
    </row>
    <row r="29" spans="1:18" ht="14.5">
      <c r="A29" s="8">
        <v>2</v>
      </c>
      <c r="B29" s="158" t="s">
        <v>246</v>
      </c>
      <c r="C29" s="158"/>
      <c r="D29" s="159" t="s">
        <v>196</v>
      </c>
      <c r="E29" s="159"/>
      <c r="H29" s="6" t="s">
        <v>203</v>
      </c>
      <c r="I29" s="8">
        <v>8</v>
      </c>
      <c r="K29" s="160">
        <v>44256</v>
      </c>
      <c r="L29" s="160"/>
      <c r="M29" s="8">
        <v>101</v>
      </c>
      <c r="N29" s="6" t="str">
        <f>VLOOKUP(M29,'Data Referensi'!$A$6:$D$15,2,0)</f>
        <v>Andi</v>
      </c>
      <c r="O29" s="6" t="str">
        <f>VLOOKUP(M29,'Data Referensi'!$A$5:$D$15,4,0)</f>
        <v>Bandung</v>
      </c>
      <c r="P29" s="8" t="str">
        <f>HLOOKUP(O29,'Data Referensi'!$A$18:$E$19,2,0)</f>
        <v>2 Hari</v>
      </c>
      <c r="Q29"/>
    </row>
    <row r="30" spans="1:18" ht="14.5">
      <c r="A30" s="8">
        <v>3</v>
      </c>
      <c r="B30" s="158" t="s">
        <v>247</v>
      </c>
      <c r="C30" s="158"/>
      <c r="D30" s="159" t="s">
        <v>196</v>
      </c>
      <c r="E30" s="159"/>
      <c r="H30" s="6" t="s">
        <v>205</v>
      </c>
      <c r="I30" s="8">
        <v>9</v>
      </c>
      <c r="K30" s="160">
        <v>44262</v>
      </c>
      <c r="L30" s="160"/>
      <c r="M30" s="8">
        <v>107</v>
      </c>
      <c r="N30" s="6" t="str">
        <f>VLOOKUP(M30,'Data Referensi'!$A$6:$D$15,2,0)</f>
        <v>Gina</v>
      </c>
      <c r="O30" s="6" t="str">
        <f>VLOOKUP(M30,'Data Referensi'!$A$5:$D$15,4,0)</f>
        <v>Surabaya</v>
      </c>
      <c r="P30" s="8" t="str">
        <f>HLOOKUP(O30,'Data Referensi'!$A$18:$E$19,2,0)</f>
        <v>3 Hari</v>
      </c>
      <c r="Q30"/>
    </row>
    <row r="31" spans="1:18">
      <c r="A31" s="8">
        <v>4</v>
      </c>
      <c r="B31" s="158" t="s">
        <v>248</v>
      </c>
      <c r="C31" s="158"/>
      <c r="D31" s="159" t="s">
        <v>242</v>
      </c>
      <c r="E31" s="159"/>
      <c r="N31" s="56" t="s">
        <v>238</v>
      </c>
      <c r="O31" s="56" t="s">
        <v>238</v>
      </c>
      <c r="P31" s="56" t="s">
        <v>239</v>
      </c>
    </row>
    <row r="32" spans="1:18">
      <c r="A32" s="8">
        <v>5</v>
      </c>
      <c r="B32" s="158" t="s">
        <v>249</v>
      </c>
      <c r="C32" s="158"/>
      <c r="D32" s="159" t="s">
        <v>242</v>
      </c>
      <c r="E32" s="159"/>
      <c r="K32" s="161" t="s">
        <v>223</v>
      </c>
      <c r="L32" s="153" t="s">
        <v>124</v>
      </c>
    </row>
    <row r="33" spans="11:12">
      <c r="K33" s="161"/>
      <c r="L33" s="153"/>
    </row>
    <row r="34" spans="11:12">
      <c r="K34" s="6" t="s">
        <v>238</v>
      </c>
      <c r="L34" s="8">
        <v>14</v>
      </c>
    </row>
    <row r="35" spans="11:12">
      <c r="K35" s="6" t="s">
        <v>239</v>
      </c>
      <c r="L35" s="8">
        <v>15</v>
      </c>
    </row>
  </sheetData>
  <mergeCells count="45">
    <mergeCell ref="A1:C2"/>
    <mergeCell ref="A18:D18"/>
    <mergeCell ref="A19:D19"/>
    <mergeCell ref="A20:D20"/>
    <mergeCell ref="A21:D21"/>
    <mergeCell ref="A23:D23"/>
    <mergeCell ref="A24:D24"/>
    <mergeCell ref="N13:O13"/>
    <mergeCell ref="P13:Q13"/>
    <mergeCell ref="N14:O14"/>
    <mergeCell ref="P14:Q14"/>
    <mergeCell ref="N15:O15"/>
    <mergeCell ref="P15:Q15"/>
    <mergeCell ref="N16:O16"/>
    <mergeCell ref="P16:Q16"/>
    <mergeCell ref="A22:D22"/>
    <mergeCell ref="K27:L27"/>
    <mergeCell ref="H20:H21"/>
    <mergeCell ref="I20:I21"/>
    <mergeCell ref="S6:S7"/>
    <mergeCell ref="T6:T7"/>
    <mergeCell ref="K20:L20"/>
    <mergeCell ref="K21:L21"/>
    <mergeCell ref="K22:L22"/>
    <mergeCell ref="K23:L23"/>
    <mergeCell ref="K24:L24"/>
    <mergeCell ref="K25:L25"/>
    <mergeCell ref="K26:L26"/>
    <mergeCell ref="K28:L28"/>
    <mergeCell ref="K29:L29"/>
    <mergeCell ref="K30:L30"/>
    <mergeCell ref="K32:K33"/>
    <mergeCell ref="L32:L33"/>
    <mergeCell ref="B32:C32"/>
    <mergeCell ref="D27:E27"/>
    <mergeCell ref="D28:E28"/>
    <mergeCell ref="D29:E29"/>
    <mergeCell ref="D30:E30"/>
    <mergeCell ref="D31:E31"/>
    <mergeCell ref="D32:E32"/>
    <mergeCell ref="B27:C27"/>
    <mergeCell ref="B28:C28"/>
    <mergeCell ref="B29:C29"/>
    <mergeCell ref="B30:C30"/>
    <mergeCell ref="B31:C3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F482-3749-4387-B265-C83FBEF7FD75}">
  <dimension ref="A1:F19"/>
  <sheetViews>
    <sheetView topLeftCell="A4" zoomScale="90" zoomScaleNormal="90" workbookViewId="0">
      <selection activeCell="D25" sqref="D25:D26"/>
    </sheetView>
  </sheetViews>
  <sheetFormatPr defaultRowHeight="14.5"/>
  <cols>
    <col min="1" max="1" width="16.26953125" customWidth="1"/>
    <col min="2" max="2" width="15" customWidth="1"/>
    <col min="3" max="3" width="13.453125" customWidth="1"/>
    <col min="4" max="4" width="14.7265625" customWidth="1"/>
  </cols>
  <sheetData>
    <row r="1" spans="1:6" s="9" customFormat="1" ht="13">
      <c r="A1" s="148" t="s">
        <v>12</v>
      </c>
      <c r="B1" s="148"/>
      <c r="C1" s="148"/>
      <c r="E1" s="26" t="s">
        <v>37</v>
      </c>
      <c r="F1" s="42"/>
    </row>
    <row r="2" spans="1:6" s="9" customFormat="1" ht="13">
      <c r="A2" s="148"/>
      <c r="B2" s="148"/>
      <c r="C2" s="148"/>
      <c r="E2" s="26"/>
      <c r="F2" s="42"/>
    </row>
    <row r="5" spans="1:6">
      <c r="A5" s="51" t="s">
        <v>230</v>
      </c>
      <c r="B5" s="51" t="s">
        <v>49</v>
      </c>
      <c r="C5" s="51" t="s">
        <v>50</v>
      </c>
      <c r="D5" s="51" t="s">
        <v>53</v>
      </c>
    </row>
    <row r="6" spans="1:6">
      <c r="A6" s="52">
        <v>101</v>
      </c>
      <c r="B6" s="53" t="s">
        <v>5</v>
      </c>
      <c r="C6" s="53" t="s">
        <v>8</v>
      </c>
      <c r="D6" s="53" t="s">
        <v>23</v>
      </c>
    </row>
    <row r="7" spans="1:6">
      <c r="A7" s="52">
        <v>102</v>
      </c>
      <c r="B7" s="53" t="s">
        <v>126</v>
      </c>
      <c r="C7" s="53" t="s">
        <v>8</v>
      </c>
      <c r="D7" s="53" t="s">
        <v>22</v>
      </c>
    </row>
    <row r="8" spans="1:6">
      <c r="A8" s="52">
        <v>103</v>
      </c>
      <c r="B8" s="53" t="s">
        <v>58</v>
      </c>
      <c r="C8" s="53" t="s">
        <v>9</v>
      </c>
      <c r="D8" s="53" t="s">
        <v>232</v>
      </c>
    </row>
    <row r="9" spans="1:6">
      <c r="A9" s="52">
        <v>104</v>
      </c>
      <c r="B9" s="53" t="s">
        <v>40</v>
      </c>
      <c r="C9" s="53" t="s">
        <v>9</v>
      </c>
      <c r="D9" s="53" t="s">
        <v>24</v>
      </c>
      <c r="E9" s="55" t="s">
        <v>26</v>
      </c>
    </row>
    <row r="10" spans="1:6">
      <c r="A10" s="52">
        <v>105</v>
      </c>
      <c r="B10" s="53" t="s">
        <v>59</v>
      </c>
      <c r="C10" s="53" t="s">
        <v>8</v>
      </c>
      <c r="D10" s="53" t="s">
        <v>22</v>
      </c>
    </row>
    <row r="11" spans="1:6">
      <c r="A11" s="52">
        <v>106</v>
      </c>
      <c r="B11" s="53" t="s">
        <v>127</v>
      </c>
      <c r="C11" s="53" t="s">
        <v>9</v>
      </c>
      <c r="D11" s="53" t="s">
        <v>232</v>
      </c>
    </row>
    <row r="12" spans="1:6">
      <c r="A12" s="52">
        <v>107</v>
      </c>
      <c r="B12" s="53" t="s">
        <v>60</v>
      </c>
      <c r="C12" s="53" t="s">
        <v>9</v>
      </c>
      <c r="D12" s="53" t="s">
        <v>24</v>
      </c>
    </row>
    <row r="13" spans="1:6">
      <c r="A13" s="52">
        <v>108</v>
      </c>
      <c r="B13" s="53" t="s">
        <v>61</v>
      </c>
      <c r="C13" s="53" t="s">
        <v>9</v>
      </c>
      <c r="D13" s="53" t="s">
        <v>23</v>
      </c>
    </row>
    <row r="14" spans="1:6">
      <c r="A14" s="52">
        <v>109</v>
      </c>
      <c r="B14" s="53" t="s">
        <v>233</v>
      </c>
      <c r="C14" s="53" t="s">
        <v>8</v>
      </c>
      <c r="D14" s="53" t="s">
        <v>22</v>
      </c>
    </row>
    <row r="15" spans="1:6">
      <c r="A15" s="52">
        <v>110</v>
      </c>
      <c r="B15" s="53" t="s">
        <v>63</v>
      </c>
      <c r="C15" s="53" t="s">
        <v>8</v>
      </c>
      <c r="D15" s="53" t="s">
        <v>23</v>
      </c>
    </row>
    <row r="18" spans="1:5">
      <c r="A18" s="54" t="s">
        <v>234</v>
      </c>
      <c r="B18" s="41" t="s">
        <v>22</v>
      </c>
      <c r="C18" s="41" t="s">
        <v>23</v>
      </c>
      <c r="D18" s="41" t="s">
        <v>232</v>
      </c>
      <c r="E18" s="41" t="s">
        <v>24</v>
      </c>
    </row>
    <row r="19" spans="1:5">
      <c r="A19" s="54" t="s">
        <v>231</v>
      </c>
      <c r="B19" s="41" t="s">
        <v>235</v>
      </c>
      <c r="C19" s="41" t="s">
        <v>236</v>
      </c>
      <c r="D19" s="41" t="s">
        <v>236</v>
      </c>
      <c r="E19" s="41" t="s">
        <v>237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2D71-65E3-4CFE-8393-427CD184C891}">
  <dimension ref="A1:L113"/>
  <sheetViews>
    <sheetView workbookViewId="0">
      <selection activeCell="G33" sqref="G33"/>
    </sheetView>
  </sheetViews>
  <sheetFormatPr defaultRowHeight="14.5"/>
  <cols>
    <col min="5" max="5" width="12.453125" customWidth="1"/>
    <col min="6" max="6" width="18.453125" customWidth="1"/>
    <col min="7" max="8" width="17.6328125" customWidth="1"/>
  </cols>
  <sheetData>
    <row r="1" spans="1:12" s="9" customFormat="1" ht="13">
      <c r="A1" s="148" t="s">
        <v>12</v>
      </c>
      <c r="B1" s="148"/>
      <c r="C1" s="148"/>
      <c r="E1" s="26" t="s">
        <v>37</v>
      </c>
      <c r="F1" s="27"/>
    </row>
    <row r="2" spans="1:12" s="9" customFormat="1" ht="13">
      <c r="A2" s="148"/>
      <c r="B2" s="148"/>
      <c r="C2" s="148"/>
      <c r="E2" s="26"/>
      <c r="F2" s="27"/>
    </row>
    <row r="5" spans="1:12">
      <c r="A5" s="125" t="s">
        <v>17</v>
      </c>
      <c r="B5" s="125" t="s">
        <v>545</v>
      </c>
      <c r="C5" s="125" t="s">
        <v>546</v>
      </c>
      <c r="D5" s="125" t="s">
        <v>18</v>
      </c>
      <c r="E5" s="125" t="s">
        <v>54</v>
      </c>
      <c r="F5" s="125" t="s">
        <v>547</v>
      </c>
      <c r="G5" s="125" t="s">
        <v>548</v>
      </c>
      <c r="H5" s="125" t="s">
        <v>549</v>
      </c>
      <c r="J5" s="167" t="s">
        <v>122</v>
      </c>
      <c r="K5" s="167"/>
      <c r="L5" s="167"/>
    </row>
    <row r="6" spans="1:12">
      <c r="A6" s="126" t="s">
        <v>19</v>
      </c>
      <c r="B6" s="126" t="s">
        <v>91</v>
      </c>
      <c r="C6" s="126" t="s">
        <v>550</v>
      </c>
      <c r="D6" s="126" t="s">
        <v>22</v>
      </c>
      <c r="E6" s="126">
        <v>12</v>
      </c>
      <c r="F6" s="127">
        <v>45382</v>
      </c>
      <c r="G6" s="126">
        <v>1488000000</v>
      </c>
      <c r="H6" s="126">
        <v>996000000</v>
      </c>
      <c r="J6" s="167"/>
      <c r="K6" s="167"/>
      <c r="L6" s="167"/>
    </row>
    <row r="7" spans="1:12">
      <c r="A7" s="126" t="s">
        <v>20</v>
      </c>
      <c r="B7" s="126" t="s">
        <v>91</v>
      </c>
      <c r="C7" s="126" t="s">
        <v>551</v>
      </c>
      <c r="D7" s="126" t="s">
        <v>22</v>
      </c>
      <c r="E7" s="126">
        <v>12</v>
      </c>
      <c r="F7" s="127">
        <v>45350</v>
      </c>
      <c r="G7" s="126">
        <v>1680000000</v>
      </c>
      <c r="H7" s="126">
        <v>1020000000</v>
      </c>
      <c r="J7" s="167"/>
      <c r="K7" s="167"/>
      <c r="L7" s="167"/>
    </row>
    <row r="8" spans="1:12">
      <c r="A8" s="126" t="s">
        <v>21</v>
      </c>
      <c r="B8" s="126" t="s">
        <v>91</v>
      </c>
      <c r="C8" s="126" t="s">
        <v>552</v>
      </c>
      <c r="D8" s="126" t="s">
        <v>22</v>
      </c>
      <c r="E8" s="126">
        <v>3</v>
      </c>
      <c r="F8" s="127">
        <v>45322</v>
      </c>
      <c r="G8" s="126">
        <v>1254000000</v>
      </c>
      <c r="H8" s="126">
        <v>957000000</v>
      </c>
    </row>
    <row r="9" spans="1:12">
      <c r="A9" s="126" t="s">
        <v>138</v>
      </c>
      <c r="B9" s="126" t="s">
        <v>100</v>
      </c>
      <c r="C9" s="126" t="s">
        <v>553</v>
      </c>
      <c r="D9" s="126" t="s">
        <v>22</v>
      </c>
      <c r="E9" s="126">
        <v>6</v>
      </c>
      <c r="F9" s="127">
        <v>45382</v>
      </c>
      <c r="G9" s="126">
        <v>840000000</v>
      </c>
      <c r="H9" s="126">
        <v>486000000</v>
      </c>
    </row>
    <row r="10" spans="1:12">
      <c r="A10" s="126" t="s">
        <v>138</v>
      </c>
      <c r="B10" s="126" t="s">
        <v>100</v>
      </c>
      <c r="C10" s="126" t="s">
        <v>554</v>
      </c>
      <c r="D10" s="126" t="s">
        <v>22</v>
      </c>
      <c r="E10" s="126">
        <v>7</v>
      </c>
      <c r="F10" s="127">
        <v>45350</v>
      </c>
      <c r="G10" s="126">
        <v>868000000</v>
      </c>
      <c r="H10" s="126">
        <v>602000000</v>
      </c>
    </row>
    <row r="11" spans="1:12">
      <c r="A11" s="126" t="s">
        <v>19</v>
      </c>
      <c r="B11" s="126" t="s">
        <v>100</v>
      </c>
      <c r="C11" s="126" t="s">
        <v>555</v>
      </c>
      <c r="D11" s="126" t="s">
        <v>22</v>
      </c>
      <c r="E11" s="126">
        <v>10</v>
      </c>
      <c r="F11" s="127">
        <v>45322</v>
      </c>
      <c r="G11" s="126">
        <v>1500000000</v>
      </c>
      <c r="H11" s="126">
        <v>810000000</v>
      </c>
    </row>
    <row r="12" spans="1:12">
      <c r="A12" s="126" t="s">
        <v>20</v>
      </c>
      <c r="B12" s="126" t="s">
        <v>556</v>
      </c>
      <c r="C12" s="126" t="s">
        <v>557</v>
      </c>
      <c r="D12" s="126" t="s">
        <v>22</v>
      </c>
      <c r="E12" s="126">
        <v>10</v>
      </c>
      <c r="F12" s="127">
        <v>45382</v>
      </c>
      <c r="G12" s="126">
        <v>1490000000</v>
      </c>
      <c r="H12" s="126">
        <v>850000000</v>
      </c>
    </row>
    <row r="13" spans="1:12">
      <c r="A13" s="126" t="s">
        <v>21</v>
      </c>
      <c r="B13" s="126" t="s">
        <v>556</v>
      </c>
      <c r="C13" s="126" t="s">
        <v>558</v>
      </c>
      <c r="D13" s="126" t="s">
        <v>22</v>
      </c>
      <c r="E13" s="126">
        <v>5</v>
      </c>
      <c r="F13" s="127">
        <v>45350</v>
      </c>
      <c r="G13" s="126">
        <v>585000000</v>
      </c>
      <c r="H13" s="126">
        <v>450000000</v>
      </c>
    </row>
    <row r="14" spans="1:12">
      <c r="A14" s="126" t="s">
        <v>19</v>
      </c>
      <c r="B14" s="126" t="s">
        <v>559</v>
      </c>
      <c r="C14" s="126" t="s">
        <v>560</v>
      </c>
      <c r="D14" s="126" t="s">
        <v>22</v>
      </c>
      <c r="E14" s="126">
        <v>11</v>
      </c>
      <c r="F14" s="127">
        <v>45322</v>
      </c>
      <c r="G14" s="126">
        <v>1287000000</v>
      </c>
      <c r="H14" s="126">
        <v>968000000</v>
      </c>
    </row>
    <row r="15" spans="1:12">
      <c r="A15" s="126" t="s">
        <v>20</v>
      </c>
      <c r="B15" s="126" t="s">
        <v>559</v>
      </c>
      <c r="C15" s="126" t="s">
        <v>561</v>
      </c>
      <c r="D15" s="126" t="s">
        <v>22</v>
      </c>
      <c r="E15" s="126">
        <v>5</v>
      </c>
      <c r="F15" s="127">
        <v>45382</v>
      </c>
      <c r="G15" s="126">
        <v>715000000</v>
      </c>
      <c r="H15" s="126">
        <v>410000000</v>
      </c>
    </row>
    <row r="16" spans="1:12">
      <c r="A16" s="126" t="s">
        <v>21</v>
      </c>
      <c r="B16" s="126" t="s">
        <v>562</v>
      </c>
      <c r="C16" s="126" t="s">
        <v>563</v>
      </c>
      <c r="D16" s="126" t="s">
        <v>22</v>
      </c>
      <c r="E16" s="126">
        <v>6</v>
      </c>
      <c r="F16" s="127">
        <v>45350</v>
      </c>
      <c r="G16" s="126">
        <v>708000000</v>
      </c>
      <c r="H16" s="126">
        <v>540000000</v>
      </c>
    </row>
    <row r="17" spans="1:8">
      <c r="A17" s="126" t="s">
        <v>138</v>
      </c>
      <c r="B17" s="126" t="s">
        <v>562</v>
      </c>
      <c r="C17" s="126" t="s">
        <v>564</v>
      </c>
      <c r="D17" s="126" t="s">
        <v>22</v>
      </c>
      <c r="E17" s="126">
        <v>6</v>
      </c>
      <c r="F17" s="127">
        <v>45322</v>
      </c>
      <c r="G17" s="126">
        <v>798000000</v>
      </c>
      <c r="H17" s="126">
        <v>510000000</v>
      </c>
    </row>
    <row r="18" spans="1:8">
      <c r="A18" s="126" t="s">
        <v>138</v>
      </c>
      <c r="B18" s="126" t="s">
        <v>91</v>
      </c>
      <c r="C18" s="126" t="s">
        <v>550</v>
      </c>
      <c r="D18" s="126" t="s">
        <v>22</v>
      </c>
      <c r="E18" s="126">
        <v>11</v>
      </c>
      <c r="F18" s="127">
        <v>45382</v>
      </c>
      <c r="G18" s="126">
        <v>1342000000</v>
      </c>
      <c r="H18" s="126">
        <v>979000000</v>
      </c>
    </row>
    <row r="19" spans="1:8">
      <c r="A19" s="126" t="s">
        <v>19</v>
      </c>
      <c r="B19" s="126" t="s">
        <v>91</v>
      </c>
      <c r="C19" s="126" t="s">
        <v>551</v>
      </c>
      <c r="D19" s="126" t="s">
        <v>22</v>
      </c>
      <c r="E19" s="126">
        <v>12</v>
      </c>
      <c r="F19" s="127">
        <v>45350</v>
      </c>
      <c r="G19" s="126">
        <v>1464000000</v>
      </c>
      <c r="H19" s="126">
        <v>1008000000</v>
      </c>
    </row>
    <row r="20" spans="1:8">
      <c r="A20" s="126" t="s">
        <v>20</v>
      </c>
      <c r="B20" s="126" t="s">
        <v>91</v>
      </c>
      <c r="C20" s="126" t="s">
        <v>552</v>
      </c>
      <c r="D20" s="126" t="s">
        <v>22</v>
      </c>
      <c r="E20" s="126">
        <v>2</v>
      </c>
      <c r="F20" s="127">
        <v>45322</v>
      </c>
      <c r="G20" s="126">
        <v>1595000000</v>
      </c>
      <c r="H20" s="126">
        <v>957000000</v>
      </c>
    </row>
    <row r="21" spans="1:8">
      <c r="A21" s="126" t="s">
        <v>21</v>
      </c>
      <c r="B21" s="126" t="s">
        <v>100</v>
      </c>
      <c r="C21" s="126" t="s">
        <v>553</v>
      </c>
      <c r="D21" s="126" t="s">
        <v>22</v>
      </c>
      <c r="E21" s="126">
        <v>6</v>
      </c>
      <c r="F21" s="127">
        <v>45382</v>
      </c>
      <c r="G21" s="126">
        <v>864000000</v>
      </c>
      <c r="H21" s="126">
        <v>534000000</v>
      </c>
    </row>
    <row r="22" spans="1:8">
      <c r="A22" s="126" t="s">
        <v>19</v>
      </c>
      <c r="B22" s="126" t="s">
        <v>100</v>
      </c>
      <c r="C22" s="126" t="s">
        <v>554</v>
      </c>
      <c r="D22" s="126" t="s">
        <v>22</v>
      </c>
      <c r="E22" s="126">
        <v>10</v>
      </c>
      <c r="F22" s="127">
        <v>45350</v>
      </c>
      <c r="G22" s="126">
        <v>1270000000</v>
      </c>
      <c r="H22" s="126">
        <v>850000000</v>
      </c>
    </row>
    <row r="23" spans="1:8">
      <c r="A23" s="126" t="s">
        <v>20</v>
      </c>
      <c r="B23" s="126" t="s">
        <v>100</v>
      </c>
      <c r="C23" s="126" t="s">
        <v>555</v>
      </c>
      <c r="D23" s="126" t="s">
        <v>22</v>
      </c>
      <c r="E23" s="126">
        <v>8</v>
      </c>
      <c r="F23" s="127">
        <v>45322</v>
      </c>
      <c r="G23" s="126">
        <v>832000000</v>
      </c>
      <c r="H23" s="126">
        <v>664000000</v>
      </c>
    </row>
    <row r="24" spans="1:8">
      <c r="A24" s="126" t="s">
        <v>21</v>
      </c>
      <c r="B24" s="126" t="s">
        <v>556</v>
      </c>
      <c r="C24" s="126" t="s">
        <v>557</v>
      </c>
      <c r="D24" s="126" t="s">
        <v>22</v>
      </c>
      <c r="E24" s="126">
        <v>7</v>
      </c>
      <c r="F24" s="127">
        <v>45382</v>
      </c>
      <c r="G24" s="126">
        <v>721000000</v>
      </c>
      <c r="H24" s="126">
        <v>623000000</v>
      </c>
    </row>
    <row r="25" spans="1:8">
      <c r="A25" s="126" t="s">
        <v>138</v>
      </c>
      <c r="B25" s="126" t="s">
        <v>556</v>
      </c>
      <c r="C25" s="126" t="s">
        <v>558</v>
      </c>
      <c r="D25" s="126" t="s">
        <v>22</v>
      </c>
      <c r="E25" s="126">
        <v>9</v>
      </c>
      <c r="F25" s="127">
        <v>45350</v>
      </c>
      <c r="G25" s="126">
        <v>927000000</v>
      </c>
      <c r="H25" s="126">
        <v>810000000</v>
      </c>
    </row>
    <row r="26" spans="1:8">
      <c r="A26" s="126" t="s">
        <v>138</v>
      </c>
      <c r="B26" s="126" t="s">
        <v>559</v>
      </c>
      <c r="C26" s="126" t="s">
        <v>560</v>
      </c>
      <c r="D26" s="126" t="s">
        <v>22</v>
      </c>
      <c r="E26" s="126">
        <v>12</v>
      </c>
      <c r="F26" s="127">
        <v>45322</v>
      </c>
      <c r="G26" s="126">
        <v>1608000000</v>
      </c>
      <c r="H26" s="126">
        <v>996000000</v>
      </c>
    </row>
    <row r="27" spans="1:8">
      <c r="A27" s="126" t="s">
        <v>19</v>
      </c>
      <c r="B27" s="126" t="s">
        <v>559</v>
      </c>
      <c r="C27" s="126" t="s">
        <v>561</v>
      </c>
      <c r="D27" s="126" t="s">
        <v>22</v>
      </c>
      <c r="E27" s="126">
        <v>10</v>
      </c>
      <c r="F27" s="127">
        <v>45382</v>
      </c>
      <c r="G27" s="126">
        <v>1420000000</v>
      </c>
      <c r="H27" s="126">
        <v>900000000</v>
      </c>
    </row>
    <row r="28" spans="1:8">
      <c r="A28" s="126" t="s">
        <v>20</v>
      </c>
      <c r="B28" s="126" t="s">
        <v>562</v>
      </c>
      <c r="C28" s="126" t="s">
        <v>563</v>
      </c>
      <c r="D28" s="126" t="s">
        <v>22</v>
      </c>
      <c r="E28" s="126">
        <v>9</v>
      </c>
      <c r="F28" s="127">
        <v>45350</v>
      </c>
      <c r="G28" s="126">
        <v>1314000000</v>
      </c>
      <c r="H28" s="126">
        <v>810000000</v>
      </c>
    </row>
    <row r="29" spans="1:8">
      <c r="A29" s="126" t="s">
        <v>21</v>
      </c>
      <c r="B29" s="126" t="s">
        <v>562</v>
      </c>
      <c r="C29" s="126" t="s">
        <v>564</v>
      </c>
      <c r="D29" s="126" t="s">
        <v>22</v>
      </c>
      <c r="E29" s="126">
        <v>11</v>
      </c>
      <c r="F29" s="127">
        <v>45322</v>
      </c>
      <c r="G29" s="126">
        <v>1573000000</v>
      </c>
      <c r="H29" s="126">
        <v>924000000</v>
      </c>
    </row>
    <row r="30" spans="1:8">
      <c r="A30" s="126" t="s">
        <v>19</v>
      </c>
      <c r="B30" s="126" t="s">
        <v>91</v>
      </c>
      <c r="C30" s="126" t="s">
        <v>550</v>
      </c>
      <c r="D30" s="126" t="s">
        <v>22</v>
      </c>
      <c r="E30" s="126">
        <v>6</v>
      </c>
      <c r="F30" s="127">
        <v>45382</v>
      </c>
      <c r="G30" s="126">
        <v>654000000</v>
      </c>
      <c r="H30" s="126">
        <v>504000000</v>
      </c>
    </row>
    <row r="31" spans="1:8">
      <c r="A31" s="126" t="s">
        <v>20</v>
      </c>
      <c r="B31" s="126" t="s">
        <v>91</v>
      </c>
      <c r="C31" s="126" t="s">
        <v>551</v>
      </c>
      <c r="D31" s="126" t="s">
        <v>22</v>
      </c>
      <c r="E31" s="126">
        <v>6</v>
      </c>
      <c r="F31" s="127">
        <v>45350</v>
      </c>
      <c r="G31" s="126">
        <v>678000000</v>
      </c>
      <c r="H31" s="126">
        <v>516000000</v>
      </c>
    </row>
    <row r="32" spans="1:8">
      <c r="A32" s="126" t="s">
        <v>21</v>
      </c>
      <c r="B32" s="126" t="s">
        <v>91</v>
      </c>
      <c r="C32" s="126" t="s">
        <v>552</v>
      </c>
      <c r="D32" s="126" t="s">
        <v>22</v>
      </c>
      <c r="E32" s="126">
        <v>4</v>
      </c>
      <c r="F32" s="127">
        <v>45322</v>
      </c>
      <c r="G32" s="126">
        <v>864000000</v>
      </c>
      <c r="H32" s="126">
        <v>522000000</v>
      </c>
    </row>
    <row r="33" spans="1:8">
      <c r="A33" s="126" t="s">
        <v>138</v>
      </c>
      <c r="B33" s="126" t="s">
        <v>100</v>
      </c>
      <c r="C33" s="126" t="s">
        <v>553</v>
      </c>
      <c r="D33" s="126" t="s">
        <v>22</v>
      </c>
      <c r="E33" s="126">
        <v>5</v>
      </c>
      <c r="F33" s="127">
        <v>45382</v>
      </c>
      <c r="G33" s="126">
        <v>655000000</v>
      </c>
      <c r="H33" s="126">
        <v>450000000</v>
      </c>
    </row>
    <row r="34" spans="1:8">
      <c r="A34" s="126" t="s">
        <v>138</v>
      </c>
      <c r="B34" s="126" t="s">
        <v>100</v>
      </c>
      <c r="C34" s="126" t="s">
        <v>554</v>
      </c>
      <c r="D34" s="126" t="s">
        <v>22</v>
      </c>
      <c r="E34" s="126">
        <v>7</v>
      </c>
      <c r="F34" s="127">
        <v>45350</v>
      </c>
      <c r="G34" s="126">
        <v>777000000</v>
      </c>
      <c r="H34" s="126">
        <v>609000000</v>
      </c>
    </row>
    <row r="35" spans="1:8">
      <c r="A35" s="126" t="s">
        <v>19</v>
      </c>
      <c r="B35" s="126" t="s">
        <v>100</v>
      </c>
      <c r="C35" s="126" t="s">
        <v>555</v>
      </c>
      <c r="D35" s="126" t="s">
        <v>22</v>
      </c>
      <c r="E35" s="126">
        <v>6</v>
      </c>
      <c r="F35" s="127">
        <v>45322</v>
      </c>
      <c r="G35" s="126">
        <v>798000000</v>
      </c>
      <c r="H35" s="126">
        <v>504000000</v>
      </c>
    </row>
    <row r="36" spans="1:8">
      <c r="A36" s="126" t="s">
        <v>20</v>
      </c>
      <c r="B36" s="126" t="s">
        <v>556</v>
      </c>
      <c r="C36" s="126" t="s">
        <v>557</v>
      </c>
      <c r="D36" s="126" t="s">
        <v>22</v>
      </c>
      <c r="E36" s="126">
        <v>7</v>
      </c>
      <c r="F36" s="127">
        <v>45382</v>
      </c>
      <c r="G36" s="126">
        <v>917000000</v>
      </c>
      <c r="H36" s="126">
        <v>630000000</v>
      </c>
    </row>
    <row r="37" spans="1:8">
      <c r="A37" s="126" t="s">
        <v>21</v>
      </c>
      <c r="B37" s="126" t="s">
        <v>556</v>
      </c>
      <c r="C37" s="126" t="s">
        <v>558</v>
      </c>
      <c r="D37" s="126" t="s">
        <v>22</v>
      </c>
      <c r="E37" s="126">
        <v>6</v>
      </c>
      <c r="F37" s="127">
        <v>45350</v>
      </c>
      <c r="G37" s="126">
        <v>834000000</v>
      </c>
      <c r="H37" s="126">
        <v>534000000</v>
      </c>
    </row>
    <row r="38" spans="1:8">
      <c r="A38" s="126" t="s">
        <v>19</v>
      </c>
      <c r="B38" s="126" t="s">
        <v>559</v>
      </c>
      <c r="C38" s="126" t="s">
        <v>560</v>
      </c>
      <c r="D38" s="126" t="s">
        <v>22</v>
      </c>
      <c r="E38" s="126">
        <v>6</v>
      </c>
      <c r="F38" s="127">
        <v>45322</v>
      </c>
      <c r="G38" s="126">
        <v>732000000</v>
      </c>
      <c r="H38" s="126">
        <v>510000000</v>
      </c>
    </row>
    <row r="39" spans="1:8">
      <c r="A39" s="126" t="s">
        <v>20</v>
      </c>
      <c r="B39" s="126" t="s">
        <v>559</v>
      </c>
      <c r="C39" s="126" t="s">
        <v>561</v>
      </c>
      <c r="D39" s="126" t="s">
        <v>22</v>
      </c>
      <c r="E39" s="126">
        <v>5</v>
      </c>
      <c r="F39" s="127">
        <v>45382</v>
      </c>
      <c r="G39" s="126">
        <v>730000000</v>
      </c>
      <c r="H39" s="126">
        <v>435000000</v>
      </c>
    </row>
    <row r="40" spans="1:8">
      <c r="A40" s="126" t="s">
        <v>21</v>
      </c>
      <c r="B40" s="126" t="s">
        <v>562</v>
      </c>
      <c r="C40" s="126" t="s">
        <v>563</v>
      </c>
      <c r="D40" s="126" t="s">
        <v>22</v>
      </c>
      <c r="E40" s="126">
        <v>7</v>
      </c>
      <c r="F40" s="127">
        <v>45350</v>
      </c>
      <c r="G40" s="126">
        <v>966000000</v>
      </c>
      <c r="H40" s="126">
        <v>560000000</v>
      </c>
    </row>
    <row r="41" spans="1:8">
      <c r="A41" s="126" t="s">
        <v>138</v>
      </c>
      <c r="B41" s="126" t="s">
        <v>562</v>
      </c>
      <c r="C41" s="126" t="s">
        <v>564</v>
      </c>
      <c r="D41" s="126" t="s">
        <v>22</v>
      </c>
      <c r="E41" s="126">
        <v>6</v>
      </c>
      <c r="F41" s="127">
        <v>45322</v>
      </c>
      <c r="G41" s="126">
        <v>786000000</v>
      </c>
      <c r="H41" s="126">
        <v>528000000</v>
      </c>
    </row>
    <row r="42" spans="1:8">
      <c r="A42" s="126" t="s">
        <v>138</v>
      </c>
      <c r="B42" s="126" t="s">
        <v>91</v>
      </c>
      <c r="C42" s="126" t="s">
        <v>550</v>
      </c>
      <c r="D42" s="126" t="s">
        <v>23</v>
      </c>
      <c r="E42" s="126">
        <v>6</v>
      </c>
      <c r="F42" s="127">
        <v>45382</v>
      </c>
      <c r="G42" s="126">
        <v>834000000</v>
      </c>
      <c r="H42" s="126">
        <v>510000000</v>
      </c>
    </row>
    <row r="43" spans="1:8">
      <c r="A43" s="126" t="s">
        <v>19</v>
      </c>
      <c r="B43" s="126" t="s">
        <v>91</v>
      </c>
      <c r="C43" s="126" t="s">
        <v>551</v>
      </c>
      <c r="D43" s="126" t="s">
        <v>23</v>
      </c>
      <c r="E43" s="126">
        <v>6</v>
      </c>
      <c r="F43" s="127">
        <v>45350</v>
      </c>
      <c r="G43" s="126">
        <v>672000000</v>
      </c>
      <c r="H43" s="126">
        <v>492000000</v>
      </c>
    </row>
    <row r="44" spans="1:8">
      <c r="A44" s="126" t="s">
        <v>20</v>
      </c>
      <c r="B44" s="126" t="s">
        <v>91</v>
      </c>
      <c r="C44" s="126" t="s">
        <v>552</v>
      </c>
      <c r="D44" s="126" t="s">
        <v>23</v>
      </c>
      <c r="E44" s="126">
        <v>8</v>
      </c>
      <c r="F44" s="127">
        <v>45322</v>
      </c>
      <c r="G44" s="126">
        <v>960000000</v>
      </c>
      <c r="H44" s="126">
        <v>664000000</v>
      </c>
    </row>
    <row r="45" spans="1:8">
      <c r="A45" s="126" t="s">
        <v>21</v>
      </c>
      <c r="B45" s="126" t="s">
        <v>100</v>
      </c>
      <c r="C45" s="126" t="s">
        <v>553</v>
      </c>
      <c r="D45" s="126" t="s">
        <v>23</v>
      </c>
      <c r="E45" s="126">
        <v>9</v>
      </c>
      <c r="F45" s="127">
        <v>45382</v>
      </c>
      <c r="G45" s="126">
        <v>1080000000</v>
      </c>
      <c r="H45" s="126">
        <v>738000000</v>
      </c>
    </row>
    <row r="46" spans="1:8">
      <c r="A46" s="126" t="s">
        <v>19</v>
      </c>
      <c r="B46" s="126" t="s">
        <v>100</v>
      </c>
      <c r="C46" s="126" t="s">
        <v>554</v>
      </c>
      <c r="D46" s="126" t="s">
        <v>23</v>
      </c>
      <c r="E46" s="126">
        <v>11</v>
      </c>
      <c r="F46" s="127">
        <v>45350</v>
      </c>
      <c r="G46" s="126">
        <v>1606000000</v>
      </c>
      <c r="H46" s="126">
        <v>924000000</v>
      </c>
    </row>
    <row r="47" spans="1:8">
      <c r="A47" s="126" t="s">
        <v>20</v>
      </c>
      <c r="B47" s="126" t="s">
        <v>100</v>
      </c>
      <c r="C47" s="126" t="s">
        <v>555</v>
      </c>
      <c r="D47" s="126" t="s">
        <v>23</v>
      </c>
      <c r="E47" s="126">
        <v>12</v>
      </c>
      <c r="F47" s="127">
        <v>45322</v>
      </c>
      <c r="G47" s="126">
        <v>1692000000</v>
      </c>
      <c r="H47" s="126">
        <v>984000000</v>
      </c>
    </row>
    <row r="48" spans="1:8">
      <c r="A48" s="126" t="s">
        <v>21</v>
      </c>
      <c r="B48" s="126" t="s">
        <v>556</v>
      </c>
      <c r="C48" s="126" t="s">
        <v>557</v>
      </c>
      <c r="D48" s="126" t="s">
        <v>23</v>
      </c>
      <c r="E48" s="126">
        <v>6</v>
      </c>
      <c r="F48" s="127">
        <v>45382</v>
      </c>
      <c r="G48" s="126">
        <v>780000000</v>
      </c>
      <c r="H48" s="126">
        <v>498000000</v>
      </c>
    </row>
    <row r="49" spans="1:8">
      <c r="A49" s="126" t="s">
        <v>138</v>
      </c>
      <c r="B49" s="126" t="s">
        <v>556</v>
      </c>
      <c r="C49" s="126" t="s">
        <v>558</v>
      </c>
      <c r="D49" s="126" t="s">
        <v>23</v>
      </c>
      <c r="E49" s="126">
        <v>11</v>
      </c>
      <c r="F49" s="127">
        <v>45350</v>
      </c>
      <c r="G49" s="126">
        <v>1507000000</v>
      </c>
      <c r="H49" s="126">
        <v>902000000</v>
      </c>
    </row>
    <row r="50" spans="1:8">
      <c r="A50" s="126" t="s">
        <v>138</v>
      </c>
      <c r="B50" s="126" t="s">
        <v>559</v>
      </c>
      <c r="C50" s="126" t="s">
        <v>560</v>
      </c>
      <c r="D50" s="126" t="s">
        <v>23</v>
      </c>
      <c r="E50" s="126">
        <v>7</v>
      </c>
      <c r="F50" s="127">
        <v>45322</v>
      </c>
      <c r="G50" s="126">
        <v>854000000</v>
      </c>
      <c r="H50" s="126">
        <v>567000000</v>
      </c>
    </row>
    <row r="51" spans="1:8">
      <c r="A51" s="126" t="s">
        <v>19</v>
      </c>
      <c r="B51" s="126" t="s">
        <v>559</v>
      </c>
      <c r="C51" s="126" t="s">
        <v>561</v>
      </c>
      <c r="D51" s="126" t="s">
        <v>23</v>
      </c>
      <c r="E51" s="126">
        <v>10</v>
      </c>
      <c r="F51" s="127">
        <v>45382</v>
      </c>
      <c r="G51" s="126">
        <v>1480000000</v>
      </c>
      <c r="H51" s="126">
        <v>860000000</v>
      </c>
    </row>
    <row r="52" spans="1:8">
      <c r="A52" s="126" t="s">
        <v>20</v>
      </c>
      <c r="B52" s="126" t="s">
        <v>562</v>
      </c>
      <c r="C52" s="126" t="s">
        <v>563</v>
      </c>
      <c r="D52" s="126" t="s">
        <v>23</v>
      </c>
      <c r="E52" s="126">
        <v>9</v>
      </c>
      <c r="F52" s="127">
        <v>45350</v>
      </c>
      <c r="G52" s="126">
        <v>1233000000</v>
      </c>
      <c r="H52" s="126">
        <v>756000000</v>
      </c>
    </row>
    <row r="53" spans="1:8">
      <c r="A53" s="126" t="s">
        <v>21</v>
      </c>
      <c r="B53" s="126" t="s">
        <v>562</v>
      </c>
      <c r="C53" s="126" t="s">
        <v>564</v>
      </c>
      <c r="D53" s="126" t="s">
        <v>23</v>
      </c>
      <c r="E53" s="126">
        <v>12</v>
      </c>
      <c r="F53" s="127">
        <v>45322</v>
      </c>
      <c r="G53" s="126">
        <v>1404000000</v>
      </c>
      <c r="H53" s="126">
        <v>1020000000</v>
      </c>
    </row>
    <row r="54" spans="1:8">
      <c r="A54" s="126" t="s">
        <v>19</v>
      </c>
      <c r="B54" s="126" t="s">
        <v>91</v>
      </c>
      <c r="C54" s="126" t="s">
        <v>550</v>
      </c>
      <c r="D54" s="126" t="s">
        <v>23</v>
      </c>
      <c r="E54" s="126">
        <v>5</v>
      </c>
      <c r="F54" s="127">
        <v>45382</v>
      </c>
      <c r="G54" s="126">
        <v>730000000</v>
      </c>
      <c r="H54" s="126">
        <v>450000000</v>
      </c>
    </row>
    <row r="55" spans="1:8">
      <c r="A55" s="126" t="s">
        <v>20</v>
      </c>
      <c r="B55" s="126" t="s">
        <v>91</v>
      </c>
      <c r="C55" s="126" t="s">
        <v>551</v>
      </c>
      <c r="D55" s="126" t="s">
        <v>23</v>
      </c>
      <c r="E55" s="126">
        <v>7</v>
      </c>
      <c r="F55" s="127">
        <v>45350</v>
      </c>
      <c r="G55" s="126">
        <v>980000000</v>
      </c>
      <c r="H55" s="126">
        <v>630000000</v>
      </c>
    </row>
    <row r="56" spans="1:8">
      <c r="A56" s="126" t="s">
        <v>21</v>
      </c>
      <c r="B56" s="126" t="s">
        <v>91</v>
      </c>
      <c r="C56" s="126" t="s">
        <v>552</v>
      </c>
      <c r="D56" s="126" t="s">
        <v>23</v>
      </c>
      <c r="E56" s="126">
        <v>11</v>
      </c>
      <c r="F56" s="127">
        <v>45322</v>
      </c>
      <c r="G56" s="126">
        <v>1375000000</v>
      </c>
      <c r="H56" s="126">
        <v>957000000</v>
      </c>
    </row>
    <row r="57" spans="1:8">
      <c r="A57" s="126" t="s">
        <v>138</v>
      </c>
      <c r="B57" s="126" t="s">
        <v>100</v>
      </c>
      <c r="C57" s="126" t="s">
        <v>553</v>
      </c>
      <c r="D57" s="126" t="s">
        <v>23</v>
      </c>
      <c r="E57" s="126">
        <v>10</v>
      </c>
      <c r="F57" s="127">
        <v>45382</v>
      </c>
      <c r="G57" s="126">
        <v>1410000000</v>
      </c>
      <c r="H57" s="126">
        <v>820000000</v>
      </c>
    </row>
    <row r="58" spans="1:8">
      <c r="A58" s="126" t="s">
        <v>138</v>
      </c>
      <c r="B58" s="126" t="s">
        <v>100</v>
      </c>
      <c r="C58" s="126" t="s">
        <v>554</v>
      </c>
      <c r="D58" s="126" t="s">
        <v>23</v>
      </c>
      <c r="E58" s="126">
        <v>10</v>
      </c>
      <c r="F58" s="127">
        <v>45350</v>
      </c>
      <c r="G58" s="126">
        <v>1410000000</v>
      </c>
      <c r="H58" s="126">
        <v>830000000</v>
      </c>
    </row>
    <row r="59" spans="1:8">
      <c r="A59" s="126" t="s">
        <v>19</v>
      </c>
      <c r="B59" s="126" t="s">
        <v>100</v>
      </c>
      <c r="C59" s="126" t="s">
        <v>555</v>
      </c>
      <c r="D59" s="126" t="s">
        <v>23</v>
      </c>
      <c r="E59" s="126">
        <v>6</v>
      </c>
      <c r="F59" s="127">
        <v>45322</v>
      </c>
      <c r="G59" s="126">
        <v>858000000</v>
      </c>
      <c r="H59" s="126">
        <v>528000000</v>
      </c>
    </row>
    <row r="60" spans="1:8">
      <c r="A60" s="126" t="s">
        <v>20</v>
      </c>
      <c r="B60" s="126" t="s">
        <v>556</v>
      </c>
      <c r="C60" s="126" t="s">
        <v>557</v>
      </c>
      <c r="D60" s="126" t="s">
        <v>23</v>
      </c>
      <c r="E60" s="126">
        <v>10</v>
      </c>
      <c r="F60" s="127">
        <v>45382</v>
      </c>
      <c r="G60" s="126">
        <v>1220000000</v>
      </c>
      <c r="H60" s="126">
        <v>810000000</v>
      </c>
    </row>
    <row r="61" spans="1:8">
      <c r="A61" s="126" t="s">
        <v>21</v>
      </c>
      <c r="B61" s="126" t="s">
        <v>556</v>
      </c>
      <c r="C61" s="126" t="s">
        <v>558</v>
      </c>
      <c r="D61" s="126" t="s">
        <v>23</v>
      </c>
      <c r="E61" s="126">
        <v>6</v>
      </c>
      <c r="F61" s="127">
        <v>45350</v>
      </c>
      <c r="G61" s="126">
        <v>720000000</v>
      </c>
      <c r="H61" s="126">
        <v>504000000</v>
      </c>
    </row>
    <row r="62" spans="1:8">
      <c r="A62" s="126" t="s">
        <v>19</v>
      </c>
      <c r="B62" s="126" t="s">
        <v>559</v>
      </c>
      <c r="C62" s="126" t="s">
        <v>560</v>
      </c>
      <c r="D62" s="126" t="s">
        <v>23</v>
      </c>
      <c r="E62" s="126">
        <v>6</v>
      </c>
      <c r="F62" s="127">
        <v>45322</v>
      </c>
      <c r="G62" s="126">
        <v>714000000</v>
      </c>
      <c r="H62" s="126">
        <v>522000000</v>
      </c>
    </row>
    <row r="63" spans="1:8">
      <c r="A63" s="126" t="s">
        <v>20</v>
      </c>
      <c r="B63" s="126" t="s">
        <v>559</v>
      </c>
      <c r="C63" s="126" t="s">
        <v>561</v>
      </c>
      <c r="D63" s="126" t="s">
        <v>23</v>
      </c>
      <c r="E63" s="126">
        <v>12</v>
      </c>
      <c r="F63" s="127">
        <v>45382</v>
      </c>
      <c r="G63" s="126">
        <v>1584000000</v>
      </c>
      <c r="H63" s="126">
        <v>1020000000</v>
      </c>
    </row>
    <row r="64" spans="1:8">
      <c r="A64" s="126" t="s">
        <v>21</v>
      </c>
      <c r="B64" s="126" t="s">
        <v>562</v>
      </c>
      <c r="C64" s="126" t="s">
        <v>563</v>
      </c>
      <c r="D64" s="126" t="s">
        <v>23</v>
      </c>
      <c r="E64" s="126">
        <v>10</v>
      </c>
      <c r="F64" s="127">
        <v>45350</v>
      </c>
      <c r="G64" s="126">
        <v>1440000000</v>
      </c>
      <c r="H64" s="126">
        <v>890000000</v>
      </c>
    </row>
    <row r="65" spans="1:8">
      <c r="A65" s="126" t="s">
        <v>138</v>
      </c>
      <c r="B65" s="126" t="s">
        <v>562</v>
      </c>
      <c r="C65" s="126" t="s">
        <v>564</v>
      </c>
      <c r="D65" s="126" t="s">
        <v>23</v>
      </c>
      <c r="E65" s="126">
        <v>7</v>
      </c>
      <c r="F65" s="127">
        <v>45322</v>
      </c>
      <c r="G65" s="126">
        <v>966000000</v>
      </c>
      <c r="H65" s="126">
        <v>588000000</v>
      </c>
    </row>
    <row r="66" spans="1:8">
      <c r="A66" s="126" t="s">
        <v>138</v>
      </c>
      <c r="B66" s="126" t="s">
        <v>91</v>
      </c>
      <c r="C66" s="126" t="s">
        <v>550</v>
      </c>
      <c r="D66" s="126" t="s">
        <v>23</v>
      </c>
      <c r="E66" s="126">
        <v>8</v>
      </c>
      <c r="F66" s="127">
        <v>45382</v>
      </c>
      <c r="G66" s="126">
        <v>920000000</v>
      </c>
      <c r="H66" s="126">
        <v>672000000</v>
      </c>
    </row>
    <row r="67" spans="1:8">
      <c r="A67" s="126" t="s">
        <v>19</v>
      </c>
      <c r="B67" s="126" t="s">
        <v>91</v>
      </c>
      <c r="C67" s="126" t="s">
        <v>551</v>
      </c>
      <c r="D67" s="126" t="s">
        <v>23</v>
      </c>
      <c r="E67" s="126">
        <v>12</v>
      </c>
      <c r="F67" s="127">
        <v>45350</v>
      </c>
      <c r="G67" s="126">
        <v>1284000000</v>
      </c>
      <c r="H67" s="126">
        <v>1056000000</v>
      </c>
    </row>
    <row r="68" spans="1:8">
      <c r="A68" s="126" t="s">
        <v>20</v>
      </c>
      <c r="B68" s="126" t="s">
        <v>91</v>
      </c>
      <c r="C68" s="126" t="s">
        <v>552</v>
      </c>
      <c r="D68" s="126" t="s">
        <v>23</v>
      </c>
      <c r="E68" s="126">
        <v>9</v>
      </c>
      <c r="F68" s="127">
        <v>45322</v>
      </c>
      <c r="G68" s="126">
        <v>1233000000</v>
      </c>
      <c r="H68" s="126">
        <v>774000000</v>
      </c>
    </row>
    <row r="69" spans="1:8">
      <c r="A69" s="126" t="s">
        <v>21</v>
      </c>
      <c r="B69" s="126" t="s">
        <v>100</v>
      </c>
      <c r="C69" s="126" t="s">
        <v>553</v>
      </c>
      <c r="D69" s="126" t="s">
        <v>23</v>
      </c>
      <c r="E69" s="126">
        <v>12</v>
      </c>
      <c r="F69" s="127">
        <v>45382</v>
      </c>
      <c r="G69" s="126">
        <v>1728000000</v>
      </c>
      <c r="H69" s="126">
        <v>972000000</v>
      </c>
    </row>
    <row r="70" spans="1:8">
      <c r="A70" s="126" t="s">
        <v>19</v>
      </c>
      <c r="B70" s="126" t="s">
        <v>100</v>
      </c>
      <c r="C70" s="126" t="s">
        <v>554</v>
      </c>
      <c r="D70" s="126" t="s">
        <v>23</v>
      </c>
      <c r="E70" s="126">
        <v>6</v>
      </c>
      <c r="F70" s="127">
        <v>45350</v>
      </c>
      <c r="G70" s="126">
        <v>744000000</v>
      </c>
      <c r="H70" s="126">
        <v>498000000</v>
      </c>
    </row>
    <row r="71" spans="1:8">
      <c r="A71" s="126" t="s">
        <v>20</v>
      </c>
      <c r="B71" s="126" t="s">
        <v>100</v>
      </c>
      <c r="C71" s="126" t="s">
        <v>555</v>
      </c>
      <c r="D71" s="126" t="s">
        <v>23</v>
      </c>
      <c r="E71" s="126">
        <v>5</v>
      </c>
      <c r="F71" s="127">
        <v>45322</v>
      </c>
      <c r="G71" s="126">
        <v>720000000</v>
      </c>
      <c r="H71" s="126">
        <v>440000000</v>
      </c>
    </row>
    <row r="72" spans="1:8">
      <c r="A72" s="126" t="s">
        <v>21</v>
      </c>
      <c r="B72" s="126" t="s">
        <v>556</v>
      </c>
      <c r="C72" s="126" t="s">
        <v>557</v>
      </c>
      <c r="D72" s="126" t="s">
        <v>23</v>
      </c>
      <c r="E72" s="126">
        <v>11</v>
      </c>
      <c r="F72" s="127">
        <v>45382</v>
      </c>
      <c r="G72" s="126">
        <v>1529000000</v>
      </c>
      <c r="H72" s="126">
        <v>913000000</v>
      </c>
    </row>
    <row r="73" spans="1:8">
      <c r="A73" s="126" t="s">
        <v>138</v>
      </c>
      <c r="B73" s="126" t="s">
        <v>556</v>
      </c>
      <c r="C73" s="126" t="s">
        <v>558</v>
      </c>
      <c r="D73" s="126" t="s">
        <v>23</v>
      </c>
      <c r="E73" s="126">
        <v>11</v>
      </c>
      <c r="F73" s="127">
        <v>45350</v>
      </c>
      <c r="G73" s="126">
        <v>1441000000</v>
      </c>
      <c r="H73" s="126">
        <v>946000000</v>
      </c>
    </row>
    <row r="74" spans="1:8">
      <c r="A74" s="126" t="s">
        <v>138</v>
      </c>
      <c r="B74" s="126" t="s">
        <v>559</v>
      </c>
      <c r="C74" s="126" t="s">
        <v>560</v>
      </c>
      <c r="D74" s="126" t="s">
        <v>23</v>
      </c>
      <c r="E74" s="126">
        <v>6</v>
      </c>
      <c r="F74" s="127">
        <v>45322</v>
      </c>
      <c r="G74" s="126">
        <v>828000000</v>
      </c>
      <c r="H74" s="126">
        <v>522000000</v>
      </c>
    </row>
    <row r="75" spans="1:8">
      <c r="A75" s="126" t="s">
        <v>19</v>
      </c>
      <c r="B75" s="126" t="s">
        <v>559</v>
      </c>
      <c r="C75" s="126" t="s">
        <v>561</v>
      </c>
      <c r="D75" s="126" t="s">
        <v>23</v>
      </c>
      <c r="E75" s="126">
        <v>11</v>
      </c>
      <c r="F75" s="127">
        <v>45382</v>
      </c>
      <c r="G75" s="126">
        <v>1375000000</v>
      </c>
      <c r="H75" s="126">
        <v>880000000</v>
      </c>
    </row>
    <row r="76" spans="1:8">
      <c r="A76" s="126" t="s">
        <v>20</v>
      </c>
      <c r="B76" s="126" t="s">
        <v>562</v>
      </c>
      <c r="C76" s="126" t="s">
        <v>563</v>
      </c>
      <c r="D76" s="126" t="s">
        <v>23</v>
      </c>
      <c r="E76" s="126">
        <v>5</v>
      </c>
      <c r="F76" s="127">
        <v>45350</v>
      </c>
      <c r="G76" s="126">
        <v>510000000</v>
      </c>
      <c r="H76" s="126">
        <v>430000000</v>
      </c>
    </row>
    <row r="77" spans="1:8">
      <c r="A77" s="126" t="s">
        <v>21</v>
      </c>
      <c r="B77" s="126" t="s">
        <v>562</v>
      </c>
      <c r="C77" s="126" t="s">
        <v>564</v>
      </c>
      <c r="D77" s="126" t="s">
        <v>23</v>
      </c>
      <c r="E77" s="126">
        <v>12</v>
      </c>
      <c r="F77" s="127">
        <v>45322</v>
      </c>
      <c r="G77" s="126">
        <v>1728000000</v>
      </c>
      <c r="H77" s="126">
        <v>996000000</v>
      </c>
    </row>
    <row r="78" spans="1:8">
      <c r="A78" s="126" t="s">
        <v>19</v>
      </c>
      <c r="B78" s="126" t="s">
        <v>91</v>
      </c>
      <c r="C78" s="126" t="s">
        <v>550</v>
      </c>
      <c r="D78" s="126" t="s">
        <v>24</v>
      </c>
      <c r="E78" s="126">
        <v>9</v>
      </c>
      <c r="F78" s="127">
        <v>45382</v>
      </c>
      <c r="G78" s="126">
        <v>1323000000</v>
      </c>
      <c r="H78" s="126">
        <v>747000000</v>
      </c>
    </row>
    <row r="79" spans="1:8">
      <c r="A79" s="126" t="s">
        <v>20</v>
      </c>
      <c r="B79" s="126" t="s">
        <v>91</v>
      </c>
      <c r="C79" s="126" t="s">
        <v>551</v>
      </c>
      <c r="D79" s="126" t="s">
        <v>24</v>
      </c>
      <c r="E79" s="126">
        <v>12</v>
      </c>
      <c r="F79" s="127">
        <v>45350</v>
      </c>
      <c r="G79" s="126">
        <v>1248000000</v>
      </c>
      <c r="H79" s="126">
        <v>1056000000</v>
      </c>
    </row>
    <row r="80" spans="1:8">
      <c r="A80" s="126" t="s">
        <v>21</v>
      </c>
      <c r="B80" s="126" t="s">
        <v>91</v>
      </c>
      <c r="C80" s="126" t="s">
        <v>552</v>
      </c>
      <c r="D80" s="126" t="s">
        <v>24</v>
      </c>
      <c r="E80" s="126">
        <v>5</v>
      </c>
      <c r="F80" s="127">
        <v>45322</v>
      </c>
      <c r="G80" s="126">
        <v>685000000</v>
      </c>
      <c r="H80" s="126">
        <v>440000000</v>
      </c>
    </row>
    <row r="81" spans="1:8">
      <c r="A81" s="126" t="s">
        <v>138</v>
      </c>
      <c r="B81" s="126" t="s">
        <v>100</v>
      </c>
      <c r="C81" s="126" t="s">
        <v>553</v>
      </c>
      <c r="D81" s="126" t="s">
        <v>24</v>
      </c>
      <c r="E81" s="126">
        <v>5</v>
      </c>
      <c r="F81" s="127">
        <v>45382</v>
      </c>
      <c r="G81" s="126">
        <v>540000000</v>
      </c>
      <c r="H81" s="126">
        <v>430000000</v>
      </c>
    </row>
    <row r="82" spans="1:8">
      <c r="A82" s="126" t="s">
        <v>138</v>
      </c>
      <c r="B82" s="126" t="s">
        <v>100</v>
      </c>
      <c r="C82" s="126" t="s">
        <v>554</v>
      </c>
      <c r="D82" s="126" t="s">
        <v>24</v>
      </c>
      <c r="E82" s="126">
        <v>5</v>
      </c>
      <c r="F82" s="127">
        <v>45350</v>
      </c>
      <c r="G82" s="126">
        <v>655000000</v>
      </c>
      <c r="H82" s="126">
        <v>415000000</v>
      </c>
    </row>
    <row r="83" spans="1:8">
      <c r="A83" s="126" t="s">
        <v>19</v>
      </c>
      <c r="B83" s="126" t="s">
        <v>100</v>
      </c>
      <c r="C83" s="126" t="s">
        <v>555</v>
      </c>
      <c r="D83" s="126" t="s">
        <v>24</v>
      </c>
      <c r="E83" s="126">
        <v>8</v>
      </c>
      <c r="F83" s="127">
        <v>45322</v>
      </c>
      <c r="G83" s="126">
        <v>968000000</v>
      </c>
      <c r="H83" s="126">
        <v>712000000</v>
      </c>
    </row>
    <row r="84" spans="1:8">
      <c r="A84" s="126" t="s">
        <v>20</v>
      </c>
      <c r="B84" s="126" t="s">
        <v>556</v>
      </c>
      <c r="C84" s="126" t="s">
        <v>557</v>
      </c>
      <c r="D84" s="126" t="s">
        <v>24</v>
      </c>
      <c r="E84" s="126">
        <v>7</v>
      </c>
      <c r="F84" s="127">
        <v>45382</v>
      </c>
      <c r="G84" s="126">
        <v>882000000</v>
      </c>
      <c r="H84" s="126">
        <v>581000000</v>
      </c>
    </row>
    <row r="85" spans="1:8">
      <c r="A85" s="126" t="s">
        <v>21</v>
      </c>
      <c r="B85" s="126" t="s">
        <v>556</v>
      </c>
      <c r="C85" s="126" t="s">
        <v>558</v>
      </c>
      <c r="D85" s="126" t="s">
        <v>24</v>
      </c>
      <c r="E85" s="126">
        <v>5</v>
      </c>
      <c r="F85" s="127">
        <v>45350</v>
      </c>
      <c r="G85" s="126">
        <v>745000000</v>
      </c>
      <c r="H85" s="126">
        <v>425000000</v>
      </c>
    </row>
    <row r="86" spans="1:8">
      <c r="A86" s="126" t="s">
        <v>19</v>
      </c>
      <c r="B86" s="126" t="s">
        <v>559</v>
      </c>
      <c r="C86" s="126" t="s">
        <v>560</v>
      </c>
      <c r="D86" s="126" t="s">
        <v>24</v>
      </c>
      <c r="E86" s="126">
        <v>10</v>
      </c>
      <c r="F86" s="127">
        <v>45322</v>
      </c>
      <c r="G86" s="126">
        <v>1100000000</v>
      </c>
      <c r="H86" s="126">
        <v>820000000</v>
      </c>
    </row>
    <row r="87" spans="1:8">
      <c r="A87" s="126" t="s">
        <v>20</v>
      </c>
      <c r="B87" s="126" t="s">
        <v>559</v>
      </c>
      <c r="C87" s="126" t="s">
        <v>561</v>
      </c>
      <c r="D87" s="126" t="s">
        <v>24</v>
      </c>
      <c r="E87" s="126">
        <v>6</v>
      </c>
      <c r="F87" s="127">
        <v>45382</v>
      </c>
      <c r="G87" s="126">
        <v>696000000</v>
      </c>
      <c r="H87" s="126">
        <v>528000000</v>
      </c>
    </row>
    <row r="88" spans="1:8">
      <c r="A88" s="126" t="s">
        <v>21</v>
      </c>
      <c r="B88" s="126" t="s">
        <v>562</v>
      </c>
      <c r="C88" s="126" t="s">
        <v>563</v>
      </c>
      <c r="D88" s="126" t="s">
        <v>24</v>
      </c>
      <c r="E88" s="126">
        <v>7</v>
      </c>
      <c r="F88" s="127">
        <v>45350</v>
      </c>
      <c r="G88" s="126">
        <v>742000000</v>
      </c>
      <c r="H88" s="126">
        <v>602000000</v>
      </c>
    </row>
    <row r="89" spans="1:8">
      <c r="A89" s="126" t="s">
        <v>138</v>
      </c>
      <c r="B89" s="126" t="s">
        <v>562</v>
      </c>
      <c r="C89" s="126" t="s">
        <v>564</v>
      </c>
      <c r="D89" s="126" t="s">
        <v>24</v>
      </c>
      <c r="E89" s="126">
        <v>6</v>
      </c>
      <c r="F89" s="127">
        <v>45322</v>
      </c>
      <c r="G89" s="126">
        <v>606000000</v>
      </c>
      <c r="H89" s="126">
        <v>504000000</v>
      </c>
    </row>
    <row r="90" spans="1:8">
      <c r="A90" s="126" t="s">
        <v>138</v>
      </c>
      <c r="B90" s="126" t="s">
        <v>91</v>
      </c>
      <c r="C90" s="126" t="s">
        <v>550</v>
      </c>
      <c r="D90" s="126" t="s">
        <v>24</v>
      </c>
      <c r="E90" s="126">
        <v>10</v>
      </c>
      <c r="F90" s="127">
        <v>45382</v>
      </c>
      <c r="G90" s="126">
        <v>1040000000</v>
      </c>
      <c r="H90" s="126">
        <v>830000000</v>
      </c>
    </row>
    <row r="91" spans="1:8">
      <c r="A91" s="126" t="s">
        <v>19</v>
      </c>
      <c r="B91" s="126" t="s">
        <v>91</v>
      </c>
      <c r="C91" s="126" t="s">
        <v>551</v>
      </c>
      <c r="D91" s="126" t="s">
        <v>24</v>
      </c>
      <c r="E91" s="126">
        <v>11</v>
      </c>
      <c r="F91" s="127">
        <v>45350</v>
      </c>
      <c r="G91" s="126">
        <v>1386000000</v>
      </c>
      <c r="H91" s="126">
        <v>935000000</v>
      </c>
    </row>
    <row r="92" spans="1:8">
      <c r="A92" s="126" t="s">
        <v>20</v>
      </c>
      <c r="B92" s="126" t="s">
        <v>91</v>
      </c>
      <c r="C92" s="126" t="s">
        <v>552</v>
      </c>
      <c r="D92" s="126" t="s">
        <v>24</v>
      </c>
      <c r="E92" s="126">
        <v>11</v>
      </c>
      <c r="F92" s="127">
        <v>45322</v>
      </c>
      <c r="G92" s="126">
        <v>1485000000</v>
      </c>
      <c r="H92" s="126">
        <v>968000000</v>
      </c>
    </row>
    <row r="93" spans="1:8">
      <c r="A93" s="126" t="s">
        <v>21</v>
      </c>
      <c r="B93" s="126" t="s">
        <v>100</v>
      </c>
      <c r="C93" s="126" t="s">
        <v>553</v>
      </c>
      <c r="D93" s="126" t="s">
        <v>24</v>
      </c>
      <c r="E93" s="126">
        <v>6</v>
      </c>
      <c r="F93" s="127">
        <v>45382</v>
      </c>
      <c r="G93" s="126">
        <v>750000000</v>
      </c>
      <c r="H93" s="126">
        <v>510000000</v>
      </c>
    </row>
    <row r="94" spans="1:8">
      <c r="A94" s="126" t="s">
        <v>19</v>
      </c>
      <c r="B94" s="126" t="s">
        <v>100</v>
      </c>
      <c r="C94" s="126" t="s">
        <v>554</v>
      </c>
      <c r="D94" s="126" t="s">
        <v>24</v>
      </c>
      <c r="E94" s="126">
        <v>11</v>
      </c>
      <c r="F94" s="127">
        <v>45350</v>
      </c>
      <c r="G94" s="126">
        <v>1562000000</v>
      </c>
      <c r="H94" s="126">
        <v>957000000</v>
      </c>
    </row>
    <row r="95" spans="1:8">
      <c r="A95" s="126" t="s">
        <v>20</v>
      </c>
      <c r="B95" s="126" t="s">
        <v>100</v>
      </c>
      <c r="C95" s="126" t="s">
        <v>555</v>
      </c>
      <c r="D95" s="126" t="s">
        <v>24</v>
      </c>
      <c r="E95" s="126">
        <v>11</v>
      </c>
      <c r="F95" s="127">
        <v>45322</v>
      </c>
      <c r="G95" s="126">
        <v>1386000000</v>
      </c>
      <c r="H95" s="126">
        <v>902000000</v>
      </c>
    </row>
    <row r="96" spans="1:8">
      <c r="A96" s="126" t="s">
        <v>21</v>
      </c>
      <c r="B96" s="126" t="s">
        <v>556</v>
      </c>
      <c r="C96" s="126" t="s">
        <v>557</v>
      </c>
      <c r="D96" s="126" t="s">
        <v>24</v>
      </c>
      <c r="E96" s="126">
        <v>11</v>
      </c>
      <c r="F96" s="127">
        <v>45382</v>
      </c>
      <c r="G96" s="126">
        <v>1408000000</v>
      </c>
      <c r="H96" s="126">
        <v>957000000</v>
      </c>
    </row>
    <row r="97" spans="1:8">
      <c r="A97" s="126" t="s">
        <v>138</v>
      </c>
      <c r="B97" s="126" t="s">
        <v>556</v>
      </c>
      <c r="C97" s="126" t="s">
        <v>558</v>
      </c>
      <c r="D97" s="126" t="s">
        <v>24</v>
      </c>
      <c r="E97" s="126">
        <v>11</v>
      </c>
      <c r="F97" s="127">
        <v>45350</v>
      </c>
      <c r="G97" s="126">
        <v>1441000000</v>
      </c>
      <c r="H97" s="126">
        <v>880000000</v>
      </c>
    </row>
    <row r="98" spans="1:8">
      <c r="A98" s="126" t="s">
        <v>138</v>
      </c>
      <c r="B98" s="126" t="s">
        <v>559</v>
      </c>
      <c r="C98" s="126" t="s">
        <v>560</v>
      </c>
      <c r="D98" s="126" t="s">
        <v>24</v>
      </c>
      <c r="E98" s="126">
        <v>9</v>
      </c>
      <c r="F98" s="127">
        <v>45322</v>
      </c>
      <c r="G98" s="126">
        <v>1161000000</v>
      </c>
      <c r="H98" s="126">
        <v>783000000</v>
      </c>
    </row>
    <row r="99" spans="1:8">
      <c r="A99" s="126" t="s">
        <v>19</v>
      </c>
      <c r="B99" s="126" t="s">
        <v>559</v>
      </c>
      <c r="C99" s="126" t="s">
        <v>561</v>
      </c>
      <c r="D99" s="126" t="s">
        <v>24</v>
      </c>
      <c r="E99" s="126">
        <v>10</v>
      </c>
      <c r="F99" s="127">
        <v>45382</v>
      </c>
      <c r="G99" s="126">
        <v>1460000000</v>
      </c>
      <c r="H99" s="126">
        <v>880000000</v>
      </c>
    </row>
    <row r="100" spans="1:8">
      <c r="A100" s="126" t="s">
        <v>20</v>
      </c>
      <c r="B100" s="126" t="s">
        <v>562</v>
      </c>
      <c r="C100" s="126" t="s">
        <v>563</v>
      </c>
      <c r="D100" s="126" t="s">
        <v>24</v>
      </c>
      <c r="E100" s="126">
        <v>10</v>
      </c>
      <c r="F100" s="127">
        <v>45350</v>
      </c>
      <c r="G100" s="126">
        <v>1330000000</v>
      </c>
      <c r="H100" s="126">
        <v>810000000</v>
      </c>
    </row>
    <row r="101" spans="1:8">
      <c r="A101" s="126" t="s">
        <v>21</v>
      </c>
      <c r="B101" s="126" t="s">
        <v>562</v>
      </c>
      <c r="C101" s="126" t="s">
        <v>564</v>
      </c>
      <c r="D101" s="126" t="s">
        <v>24</v>
      </c>
      <c r="E101" s="126">
        <v>9</v>
      </c>
      <c r="F101" s="127">
        <v>45322</v>
      </c>
      <c r="G101" s="126">
        <v>918000000</v>
      </c>
      <c r="H101" s="126">
        <v>783000000</v>
      </c>
    </row>
    <row r="102" spans="1:8">
      <c r="A102" s="126" t="s">
        <v>19</v>
      </c>
      <c r="B102" s="126" t="s">
        <v>91</v>
      </c>
      <c r="C102" s="126" t="s">
        <v>550</v>
      </c>
      <c r="D102" s="126" t="s">
        <v>24</v>
      </c>
      <c r="E102" s="126">
        <v>5</v>
      </c>
      <c r="F102" s="127">
        <v>45382</v>
      </c>
      <c r="G102" s="126">
        <v>730000000</v>
      </c>
      <c r="H102" s="126">
        <v>435000000</v>
      </c>
    </row>
    <row r="103" spans="1:8">
      <c r="A103" s="126" t="s">
        <v>20</v>
      </c>
      <c r="B103" s="126" t="s">
        <v>91</v>
      </c>
      <c r="C103" s="126" t="s">
        <v>551</v>
      </c>
      <c r="D103" s="126" t="s">
        <v>24</v>
      </c>
      <c r="E103" s="126">
        <v>11</v>
      </c>
      <c r="F103" s="127">
        <v>45350</v>
      </c>
      <c r="G103" s="126">
        <v>1606000000</v>
      </c>
      <c r="H103" s="126">
        <v>968000000</v>
      </c>
    </row>
    <row r="104" spans="1:8">
      <c r="A104" s="126" t="s">
        <v>21</v>
      </c>
      <c r="B104" s="126" t="s">
        <v>91</v>
      </c>
      <c r="C104" s="126" t="s">
        <v>552</v>
      </c>
      <c r="D104" s="126" t="s">
        <v>24</v>
      </c>
      <c r="E104" s="126">
        <v>10</v>
      </c>
      <c r="F104" s="127">
        <v>45322</v>
      </c>
      <c r="G104" s="126">
        <v>1260000000</v>
      </c>
      <c r="H104" s="126">
        <v>870000000</v>
      </c>
    </row>
    <row r="105" spans="1:8">
      <c r="A105" s="126" t="s">
        <v>138</v>
      </c>
      <c r="B105" s="126" t="s">
        <v>100</v>
      </c>
      <c r="C105" s="126" t="s">
        <v>553</v>
      </c>
      <c r="D105" s="126" t="s">
        <v>24</v>
      </c>
      <c r="E105" s="126">
        <v>8</v>
      </c>
      <c r="F105" s="127">
        <v>45382</v>
      </c>
      <c r="G105" s="126">
        <v>1048000000</v>
      </c>
      <c r="H105" s="126">
        <v>712000000</v>
      </c>
    </row>
    <row r="106" spans="1:8">
      <c r="A106" s="126" t="s">
        <v>138</v>
      </c>
      <c r="B106" s="126" t="s">
        <v>100</v>
      </c>
      <c r="C106" s="126" t="s">
        <v>554</v>
      </c>
      <c r="D106" s="126" t="s">
        <v>24</v>
      </c>
      <c r="E106" s="126">
        <v>6</v>
      </c>
      <c r="F106" s="127">
        <v>45350</v>
      </c>
      <c r="G106" s="126">
        <v>714000000</v>
      </c>
      <c r="H106" s="126">
        <v>498000000</v>
      </c>
    </row>
    <row r="107" spans="1:8">
      <c r="A107" s="126" t="s">
        <v>19</v>
      </c>
      <c r="B107" s="126" t="s">
        <v>100</v>
      </c>
      <c r="C107" s="126" t="s">
        <v>555</v>
      </c>
      <c r="D107" s="126" t="s">
        <v>24</v>
      </c>
      <c r="E107" s="126">
        <v>6</v>
      </c>
      <c r="F107" s="127">
        <v>45322</v>
      </c>
      <c r="G107" s="126">
        <v>774000000</v>
      </c>
      <c r="H107" s="126">
        <v>522000000</v>
      </c>
    </row>
    <row r="108" spans="1:8">
      <c r="A108" s="126" t="s">
        <v>20</v>
      </c>
      <c r="B108" s="126" t="s">
        <v>556</v>
      </c>
      <c r="C108" s="126" t="s">
        <v>557</v>
      </c>
      <c r="D108" s="126" t="s">
        <v>24</v>
      </c>
      <c r="E108" s="126">
        <v>8</v>
      </c>
      <c r="F108" s="127">
        <v>45382</v>
      </c>
      <c r="G108" s="126">
        <v>1112000000</v>
      </c>
      <c r="H108" s="126">
        <v>712000000</v>
      </c>
    </row>
    <row r="109" spans="1:8">
      <c r="A109" s="126" t="s">
        <v>21</v>
      </c>
      <c r="B109" s="126" t="s">
        <v>556</v>
      </c>
      <c r="C109" s="126" t="s">
        <v>558</v>
      </c>
      <c r="D109" s="126" t="s">
        <v>24</v>
      </c>
      <c r="E109" s="126">
        <v>12</v>
      </c>
      <c r="F109" s="127">
        <v>45350</v>
      </c>
      <c r="G109" s="126">
        <v>1644000000</v>
      </c>
      <c r="H109" s="126">
        <v>1032000000</v>
      </c>
    </row>
    <row r="110" spans="1:8">
      <c r="A110" s="126" t="s">
        <v>19</v>
      </c>
      <c r="B110" s="126" t="s">
        <v>559</v>
      </c>
      <c r="C110" s="126" t="s">
        <v>560</v>
      </c>
      <c r="D110" s="126" t="s">
        <v>24</v>
      </c>
      <c r="E110" s="126">
        <v>5</v>
      </c>
      <c r="F110" s="127">
        <v>45322</v>
      </c>
      <c r="G110" s="126">
        <v>540000000</v>
      </c>
      <c r="H110" s="126">
        <v>450000000</v>
      </c>
    </row>
    <row r="111" spans="1:8">
      <c r="A111" s="126" t="s">
        <v>20</v>
      </c>
      <c r="B111" s="126" t="s">
        <v>559</v>
      </c>
      <c r="C111" s="126" t="s">
        <v>561</v>
      </c>
      <c r="D111" s="126" t="s">
        <v>24</v>
      </c>
      <c r="E111" s="126">
        <v>9</v>
      </c>
      <c r="F111" s="127">
        <v>45382</v>
      </c>
      <c r="G111" s="126">
        <v>1035000000</v>
      </c>
      <c r="H111" s="126">
        <v>810000000</v>
      </c>
    </row>
    <row r="112" spans="1:8">
      <c r="A112" s="126" t="s">
        <v>21</v>
      </c>
      <c r="B112" s="126" t="s">
        <v>562</v>
      </c>
      <c r="C112" s="126" t="s">
        <v>563</v>
      </c>
      <c r="D112" s="126" t="s">
        <v>24</v>
      </c>
      <c r="E112" s="126">
        <v>6</v>
      </c>
      <c r="F112" s="127">
        <v>45350</v>
      </c>
      <c r="G112" s="126">
        <v>744000000</v>
      </c>
      <c r="H112" s="126">
        <v>486000000</v>
      </c>
    </row>
    <row r="113" spans="1:8">
      <c r="A113" s="126" t="s">
        <v>138</v>
      </c>
      <c r="B113" s="126" t="s">
        <v>562</v>
      </c>
      <c r="C113" s="126" t="s">
        <v>564</v>
      </c>
      <c r="D113" s="126" t="s">
        <v>24</v>
      </c>
      <c r="E113" s="126">
        <v>12</v>
      </c>
      <c r="F113" s="127">
        <v>45322</v>
      </c>
      <c r="G113" s="126">
        <v>1320000000</v>
      </c>
      <c r="H113" s="126">
        <v>1032000000</v>
      </c>
    </row>
  </sheetData>
  <mergeCells count="2">
    <mergeCell ref="A1:C2"/>
    <mergeCell ref="J5:L7"/>
  </mergeCells>
  <conditionalFormatting sqref="G6:H113">
    <cfRule type="cellIs" dxfId="13" priority="1" operator="lessThan">
      <formula>100000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8" sqref="E18"/>
    </sheetView>
  </sheetViews>
  <sheetFormatPr defaultRowHeight="14.5"/>
  <sheetData>
    <row r="1" spans="1:1">
      <c r="A1" t="s">
        <v>45</v>
      </c>
    </row>
    <row r="2" spans="1:1">
      <c r="A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E478-2BBE-47E1-A83E-2D771918FA91}">
  <dimension ref="A1:F30"/>
  <sheetViews>
    <sheetView workbookViewId="0">
      <selection activeCell="E12" sqref="E12"/>
    </sheetView>
  </sheetViews>
  <sheetFormatPr defaultRowHeight="14.5"/>
  <cols>
    <col min="1" max="1" width="13.26953125" style="128" bestFit="1" customWidth="1"/>
    <col min="2" max="2" width="9.453125" style="129" bestFit="1" customWidth="1"/>
    <col min="3" max="3" width="8.54296875" style="129" bestFit="1" customWidth="1"/>
    <col min="4" max="4" width="15.54296875" style="128" bestFit="1" customWidth="1"/>
    <col min="5" max="5" width="17.6328125" style="128" bestFit="1" customWidth="1"/>
    <col min="6" max="7" width="14.81640625" bestFit="1" customWidth="1"/>
    <col min="8" max="8" width="16.6328125" bestFit="1" customWidth="1"/>
    <col min="9" max="9" width="22.453125" bestFit="1" customWidth="1"/>
  </cols>
  <sheetData>
    <row r="1" spans="1:6">
      <c r="A1"/>
      <c r="B1" s="128"/>
    </row>
    <row r="3" spans="1:6">
      <c r="A3" s="10" t="s">
        <v>18</v>
      </c>
      <c r="B3" s="10" t="s">
        <v>570</v>
      </c>
      <c r="C3" s="10" t="s">
        <v>545</v>
      </c>
      <c r="D3" t="s">
        <v>565</v>
      </c>
      <c r="E3" t="s">
        <v>567</v>
      </c>
      <c r="F3" t="s">
        <v>566</v>
      </c>
    </row>
    <row r="4" spans="1:6">
      <c r="A4" t="s">
        <v>23</v>
      </c>
      <c r="B4" t="s">
        <v>568</v>
      </c>
      <c r="C4"/>
      <c r="D4">
        <v>18083000000</v>
      </c>
      <c r="E4">
        <v>6280200000</v>
      </c>
      <c r="F4" s="131">
        <v>6978000000</v>
      </c>
    </row>
    <row r="5" spans="1:6">
      <c r="A5"/>
      <c r="B5" t="s">
        <v>569</v>
      </c>
      <c r="C5"/>
      <c r="D5">
        <v>14478000000</v>
      </c>
      <c r="E5">
        <v>4702500000</v>
      </c>
      <c r="F5" s="131">
        <v>5225000000</v>
      </c>
    </row>
    <row r="6" spans="1:6">
      <c r="A6"/>
      <c r="B6" t="s">
        <v>91</v>
      </c>
      <c r="C6" t="s">
        <v>91</v>
      </c>
      <c r="D6">
        <v>8988000000</v>
      </c>
      <c r="E6">
        <v>2504700000</v>
      </c>
      <c r="F6" s="131">
        <v>2783000000</v>
      </c>
    </row>
    <row r="7" spans="1:6">
      <c r="A7" t="s">
        <v>22</v>
      </c>
      <c r="B7" t="s">
        <v>568</v>
      </c>
      <c r="C7"/>
      <c r="D7">
        <v>14896000000</v>
      </c>
      <c r="E7">
        <v>4651200000</v>
      </c>
      <c r="F7" s="131">
        <v>5168000000</v>
      </c>
    </row>
    <row r="8" spans="1:6">
      <c r="A8"/>
      <c r="B8" t="s">
        <v>569</v>
      </c>
      <c r="C8"/>
      <c r="D8">
        <v>11619000000</v>
      </c>
      <c r="E8">
        <v>3465000000</v>
      </c>
      <c r="F8" s="131">
        <v>3850000000</v>
      </c>
    </row>
    <row r="9" spans="1:6">
      <c r="A9"/>
      <c r="B9" t="s">
        <v>91</v>
      </c>
      <c r="C9" t="s">
        <v>91</v>
      </c>
      <c r="D9">
        <v>11019000000</v>
      </c>
      <c r="E9">
        <v>3204000000</v>
      </c>
      <c r="F9" s="131">
        <v>3560000000</v>
      </c>
    </row>
    <row r="10" spans="1:6">
      <c r="A10" t="s">
        <v>24</v>
      </c>
      <c r="B10" t="s">
        <v>568</v>
      </c>
      <c r="C10"/>
      <c r="D10">
        <v>14389000000</v>
      </c>
      <c r="E10">
        <v>4014000000</v>
      </c>
      <c r="F10" s="131">
        <v>4460000000</v>
      </c>
    </row>
    <row r="11" spans="1:6">
      <c r="A11"/>
      <c r="B11" t="s">
        <v>569</v>
      </c>
      <c r="C11"/>
      <c r="D11">
        <v>12892000000</v>
      </c>
      <c r="E11">
        <v>3679200000</v>
      </c>
      <c r="F11" s="131">
        <v>4088000000</v>
      </c>
    </row>
    <row r="12" spans="1:6">
      <c r="A12"/>
      <c r="B12" t="s">
        <v>91</v>
      </c>
      <c r="C12" t="s">
        <v>91</v>
      </c>
      <c r="D12">
        <v>10763000000</v>
      </c>
      <c r="E12">
        <v>3162600000</v>
      </c>
      <c r="F12" s="131">
        <v>3514000000</v>
      </c>
    </row>
    <row r="13" spans="1:6">
      <c r="A13" t="s">
        <v>25</v>
      </c>
      <c r="B13"/>
      <c r="C13"/>
      <c r="D13">
        <v>117127000000</v>
      </c>
      <c r="E13">
        <v>35663400000</v>
      </c>
      <c r="F13" s="131">
        <v>39626000000</v>
      </c>
    </row>
    <row r="14" spans="1:6">
      <c r="A14"/>
      <c r="B14"/>
      <c r="C14"/>
      <c r="D14"/>
      <c r="E14"/>
    </row>
    <row r="15" spans="1:6">
      <c r="A15"/>
      <c r="B15"/>
      <c r="C15"/>
      <c r="D15"/>
      <c r="E15"/>
    </row>
    <row r="16" spans="1:6">
      <c r="A16"/>
      <c r="B16"/>
      <c r="C16"/>
      <c r="D16"/>
      <c r="E16"/>
    </row>
    <row r="17" spans="1:5">
      <c r="A17"/>
      <c r="B17"/>
      <c r="C17"/>
      <c r="D17"/>
      <c r="E17"/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 s="128"/>
      <c r="C20"/>
      <c r="D20"/>
      <c r="E20"/>
    </row>
    <row r="21" spans="1:5">
      <c r="A21"/>
      <c r="B21" s="128"/>
      <c r="C21"/>
      <c r="D21"/>
      <c r="E21"/>
    </row>
    <row r="22" spans="1:5">
      <c r="A22"/>
      <c r="B22" s="128"/>
      <c r="C22"/>
      <c r="D22"/>
      <c r="E22"/>
    </row>
    <row r="23" spans="1:5">
      <c r="A23"/>
      <c r="B23" s="128"/>
      <c r="C23"/>
      <c r="D23"/>
      <c r="E23"/>
    </row>
    <row r="24" spans="1:5">
      <c r="A24"/>
      <c r="B24" s="128"/>
      <c r="C24"/>
      <c r="D24"/>
      <c r="E24"/>
    </row>
    <row r="25" spans="1:5">
      <c r="A25"/>
      <c r="B25" s="128"/>
      <c r="C25"/>
      <c r="D25"/>
      <c r="E25"/>
    </row>
    <row r="26" spans="1:5">
      <c r="A26"/>
      <c r="B26" s="128"/>
      <c r="C26"/>
      <c r="D26"/>
      <c r="E26"/>
    </row>
    <row r="27" spans="1:5">
      <c r="A27"/>
      <c r="B27" s="128"/>
      <c r="C27"/>
      <c r="D27"/>
      <c r="E27"/>
    </row>
    <row r="28" spans="1:5">
      <c r="A28"/>
      <c r="B28" s="128"/>
      <c r="C28"/>
      <c r="D28"/>
      <c r="E28"/>
    </row>
    <row r="29" spans="1:5">
      <c r="B29" s="128"/>
      <c r="C29"/>
      <c r="D29"/>
      <c r="E29"/>
    </row>
    <row r="30" spans="1:5">
      <c r="B30" s="128"/>
      <c r="C30"/>
      <c r="D30"/>
      <c r="E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ADFB-0275-4DC3-B783-D492E3D87688}">
  <dimension ref="A1:H28"/>
  <sheetViews>
    <sheetView workbookViewId="0">
      <selection activeCell="O18" sqref="O18"/>
    </sheetView>
  </sheetViews>
  <sheetFormatPr defaultRowHeight="14.5"/>
  <cols>
    <col min="5" max="5" width="12.81640625" customWidth="1"/>
    <col min="6" max="6" width="18.6328125" customWidth="1"/>
    <col min="7" max="7" width="11.1796875" customWidth="1"/>
    <col min="8" max="8" width="13.54296875" customWidth="1"/>
  </cols>
  <sheetData>
    <row r="1" spans="1:8">
      <c r="A1" t="s">
        <v>17</v>
      </c>
      <c r="B1" t="s">
        <v>545</v>
      </c>
      <c r="C1" t="s">
        <v>546</v>
      </c>
      <c r="D1" t="s">
        <v>18</v>
      </c>
      <c r="E1" t="s">
        <v>54</v>
      </c>
      <c r="F1" t="s">
        <v>547</v>
      </c>
      <c r="G1" t="s">
        <v>548</v>
      </c>
      <c r="H1" t="s">
        <v>549</v>
      </c>
    </row>
    <row r="2" spans="1:8">
      <c r="A2" t="s">
        <v>19</v>
      </c>
      <c r="B2" t="s">
        <v>100</v>
      </c>
      <c r="C2" t="s">
        <v>555</v>
      </c>
      <c r="D2" t="s">
        <v>24</v>
      </c>
      <c r="E2">
        <v>6</v>
      </c>
      <c r="F2" s="130">
        <v>45322</v>
      </c>
      <c r="G2">
        <v>774000000</v>
      </c>
      <c r="H2">
        <v>522000000</v>
      </c>
    </row>
    <row r="3" spans="1:8">
      <c r="A3" t="s">
        <v>138</v>
      </c>
      <c r="B3" t="s">
        <v>100</v>
      </c>
      <c r="C3" t="s">
        <v>554</v>
      </c>
      <c r="D3" t="s">
        <v>24</v>
      </c>
      <c r="E3">
        <v>6</v>
      </c>
      <c r="F3" s="130">
        <v>45350</v>
      </c>
      <c r="G3">
        <v>714000000</v>
      </c>
      <c r="H3">
        <v>498000000</v>
      </c>
    </row>
    <row r="4" spans="1:8">
      <c r="A4" t="s">
        <v>138</v>
      </c>
      <c r="B4" t="s">
        <v>100</v>
      </c>
      <c r="C4" t="s">
        <v>553</v>
      </c>
      <c r="D4" t="s">
        <v>24</v>
      </c>
      <c r="E4">
        <v>8</v>
      </c>
      <c r="F4" s="130">
        <v>45382</v>
      </c>
      <c r="G4">
        <v>1048000000</v>
      </c>
      <c r="H4">
        <v>712000000</v>
      </c>
    </row>
    <row r="5" spans="1:8">
      <c r="A5" t="s">
        <v>138</v>
      </c>
      <c r="B5" t="s">
        <v>100</v>
      </c>
      <c r="C5" t="s">
        <v>553</v>
      </c>
      <c r="D5" t="s">
        <v>22</v>
      </c>
      <c r="E5">
        <v>6</v>
      </c>
      <c r="F5" s="130">
        <v>45382</v>
      </c>
      <c r="G5">
        <v>840000000</v>
      </c>
      <c r="H5">
        <v>486000000</v>
      </c>
    </row>
    <row r="6" spans="1:8">
      <c r="A6" t="s">
        <v>138</v>
      </c>
      <c r="B6" t="s">
        <v>100</v>
      </c>
      <c r="C6" t="s">
        <v>554</v>
      </c>
      <c r="D6" t="s">
        <v>22</v>
      </c>
      <c r="E6">
        <v>7</v>
      </c>
      <c r="F6" s="130">
        <v>45350</v>
      </c>
      <c r="G6">
        <v>868000000</v>
      </c>
      <c r="H6">
        <v>602000000</v>
      </c>
    </row>
    <row r="7" spans="1:8">
      <c r="A7" t="s">
        <v>19</v>
      </c>
      <c r="B7" t="s">
        <v>100</v>
      </c>
      <c r="C7" t="s">
        <v>555</v>
      </c>
      <c r="D7" t="s">
        <v>22</v>
      </c>
      <c r="E7">
        <v>10</v>
      </c>
      <c r="F7" s="130">
        <v>45322</v>
      </c>
      <c r="G7">
        <v>1500000000</v>
      </c>
      <c r="H7">
        <v>810000000</v>
      </c>
    </row>
    <row r="8" spans="1:8">
      <c r="A8" t="s">
        <v>20</v>
      </c>
      <c r="B8" t="s">
        <v>100</v>
      </c>
      <c r="C8" t="s">
        <v>555</v>
      </c>
      <c r="D8" t="s">
        <v>24</v>
      </c>
      <c r="E8">
        <v>11</v>
      </c>
      <c r="F8" s="130">
        <v>45322</v>
      </c>
      <c r="G8">
        <v>1386000000</v>
      </c>
      <c r="H8">
        <v>902000000</v>
      </c>
    </row>
    <row r="9" spans="1:8">
      <c r="A9" t="s">
        <v>19</v>
      </c>
      <c r="B9" t="s">
        <v>100</v>
      </c>
      <c r="C9" t="s">
        <v>554</v>
      </c>
      <c r="D9" t="s">
        <v>24</v>
      </c>
      <c r="E9">
        <v>11</v>
      </c>
      <c r="F9" s="130">
        <v>45350</v>
      </c>
      <c r="G9">
        <v>1562000000</v>
      </c>
      <c r="H9">
        <v>957000000</v>
      </c>
    </row>
    <row r="10" spans="1:8">
      <c r="A10" t="s">
        <v>21</v>
      </c>
      <c r="B10" t="s">
        <v>100</v>
      </c>
      <c r="C10" t="s">
        <v>553</v>
      </c>
      <c r="D10" t="s">
        <v>24</v>
      </c>
      <c r="E10">
        <v>6</v>
      </c>
      <c r="F10" s="130">
        <v>45382</v>
      </c>
      <c r="G10">
        <v>750000000</v>
      </c>
      <c r="H10">
        <v>510000000</v>
      </c>
    </row>
    <row r="11" spans="1:8">
      <c r="A11" t="s">
        <v>19</v>
      </c>
      <c r="B11" t="s">
        <v>100</v>
      </c>
      <c r="C11" t="s">
        <v>555</v>
      </c>
      <c r="D11" t="s">
        <v>24</v>
      </c>
      <c r="E11">
        <v>8</v>
      </c>
      <c r="F11" s="130">
        <v>45322</v>
      </c>
      <c r="G11">
        <v>968000000</v>
      </c>
      <c r="H11">
        <v>712000000</v>
      </c>
    </row>
    <row r="12" spans="1:8">
      <c r="A12" t="s">
        <v>138</v>
      </c>
      <c r="B12" t="s">
        <v>100</v>
      </c>
      <c r="C12" t="s">
        <v>554</v>
      </c>
      <c r="D12" t="s">
        <v>24</v>
      </c>
      <c r="E12">
        <v>5</v>
      </c>
      <c r="F12" s="130">
        <v>45350</v>
      </c>
      <c r="G12">
        <v>655000000</v>
      </c>
      <c r="H12">
        <v>415000000</v>
      </c>
    </row>
    <row r="13" spans="1:8">
      <c r="A13" t="s">
        <v>138</v>
      </c>
      <c r="B13" t="s">
        <v>100</v>
      </c>
      <c r="C13" t="s">
        <v>553</v>
      </c>
      <c r="D13" t="s">
        <v>24</v>
      </c>
      <c r="E13">
        <v>5</v>
      </c>
      <c r="F13" s="130">
        <v>45382</v>
      </c>
      <c r="G13">
        <v>540000000</v>
      </c>
      <c r="H13">
        <v>430000000</v>
      </c>
    </row>
    <row r="14" spans="1:8">
      <c r="A14" t="s">
        <v>20</v>
      </c>
      <c r="B14" t="s">
        <v>100</v>
      </c>
      <c r="C14" t="s">
        <v>555</v>
      </c>
      <c r="D14" t="s">
        <v>23</v>
      </c>
      <c r="E14">
        <v>5</v>
      </c>
      <c r="F14" s="130">
        <v>45322</v>
      </c>
      <c r="G14">
        <v>720000000</v>
      </c>
      <c r="H14">
        <v>440000000</v>
      </c>
    </row>
    <row r="15" spans="1:8">
      <c r="A15" t="s">
        <v>19</v>
      </c>
      <c r="B15" t="s">
        <v>100</v>
      </c>
      <c r="C15" t="s">
        <v>554</v>
      </c>
      <c r="D15" t="s">
        <v>23</v>
      </c>
      <c r="E15">
        <v>6</v>
      </c>
      <c r="F15" s="130">
        <v>45350</v>
      </c>
      <c r="G15">
        <v>744000000</v>
      </c>
      <c r="H15">
        <v>498000000</v>
      </c>
    </row>
    <row r="16" spans="1:8">
      <c r="A16" t="s">
        <v>21</v>
      </c>
      <c r="B16" t="s">
        <v>100</v>
      </c>
      <c r="C16" t="s">
        <v>553</v>
      </c>
      <c r="D16" t="s">
        <v>23</v>
      </c>
      <c r="E16">
        <v>12</v>
      </c>
      <c r="F16" s="130">
        <v>45382</v>
      </c>
      <c r="G16">
        <v>1728000000</v>
      </c>
      <c r="H16">
        <v>972000000</v>
      </c>
    </row>
    <row r="17" spans="1:8">
      <c r="A17" t="s">
        <v>21</v>
      </c>
      <c r="B17" t="s">
        <v>100</v>
      </c>
      <c r="C17" t="s">
        <v>553</v>
      </c>
      <c r="D17" t="s">
        <v>22</v>
      </c>
      <c r="E17">
        <v>6</v>
      </c>
      <c r="F17" s="130">
        <v>45382</v>
      </c>
      <c r="G17">
        <v>864000000</v>
      </c>
      <c r="H17">
        <v>534000000</v>
      </c>
    </row>
    <row r="18" spans="1:8">
      <c r="A18" t="s">
        <v>19</v>
      </c>
      <c r="B18" t="s">
        <v>100</v>
      </c>
      <c r="C18" t="s">
        <v>554</v>
      </c>
      <c r="D18" t="s">
        <v>22</v>
      </c>
      <c r="E18">
        <v>10</v>
      </c>
      <c r="F18" s="130">
        <v>45350</v>
      </c>
      <c r="G18">
        <v>1270000000</v>
      </c>
      <c r="H18">
        <v>850000000</v>
      </c>
    </row>
    <row r="19" spans="1:8">
      <c r="A19" t="s">
        <v>20</v>
      </c>
      <c r="B19" t="s">
        <v>100</v>
      </c>
      <c r="C19" t="s">
        <v>555</v>
      </c>
      <c r="D19" t="s">
        <v>22</v>
      </c>
      <c r="E19">
        <v>8</v>
      </c>
      <c r="F19" s="130">
        <v>45322</v>
      </c>
      <c r="G19">
        <v>832000000</v>
      </c>
      <c r="H19">
        <v>664000000</v>
      </c>
    </row>
    <row r="20" spans="1:8">
      <c r="A20" t="s">
        <v>19</v>
      </c>
      <c r="B20" t="s">
        <v>100</v>
      </c>
      <c r="C20" t="s">
        <v>555</v>
      </c>
      <c r="D20" t="s">
        <v>23</v>
      </c>
      <c r="E20">
        <v>6</v>
      </c>
      <c r="F20" s="130">
        <v>45322</v>
      </c>
      <c r="G20">
        <v>858000000</v>
      </c>
      <c r="H20">
        <v>528000000</v>
      </c>
    </row>
    <row r="21" spans="1:8">
      <c r="A21" t="s">
        <v>138</v>
      </c>
      <c r="B21" t="s">
        <v>100</v>
      </c>
      <c r="C21" t="s">
        <v>554</v>
      </c>
      <c r="D21" t="s">
        <v>23</v>
      </c>
      <c r="E21">
        <v>10</v>
      </c>
      <c r="F21" s="130">
        <v>45350</v>
      </c>
      <c r="G21">
        <v>1410000000</v>
      </c>
      <c r="H21">
        <v>830000000</v>
      </c>
    </row>
    <row r="22" spans="1:8">
      <c r="A22" t="s">
        <v>138</v>
      </c>
      <c r="B22" t="s">
        <v>100</v>
      </c>
      <c r="C22" t="s">
        <v>553</v>
      </c>
      <c r="D22" t="s">
        <v>23</v>
      </c>
      <c r="E22">
        <v>10</v>
      </c>
      <c r="F22" s="130">
        <v>45382</v>
      </c>
      <c r="G22">
        <v>1410000000</v>
      </c>
      <c r="H22">
        <v>820000000</v>
      </c>
    </row>
    <row r="23" spans="1:8">
      <c r="A23" t="s">
        <v>20</v>
      </c>
      <c r="B23" t="s">
        <v>100</v>
      </c>
      <c r="C23" t="s">
        <v>555</v>
      </c>
      <c r="D23" t="s">
        <v>23</v>
      </c>
      <c r="E23">
        <v>12</v>
      </c>
      <c r="F23" s="130">
        <v>45322</v>
      </c>
      <c r="G23">
        <v>1692000000</v>
      </c>
      <c r="H23">
        <v>984000000</v>
      </c>
    </row>
    <row r="24" spans="1:8">
      <c r="A24" t="s">
        <v>19</v>
      </c>
      <c r="B24" t="s">
        <v>100</v>
      </c>
      <c r="C24" t="s">
        <v>554</v>
      </c>
      <c r="D24" t="s">
        <v>23</v>
      </c>
      <c r="E24">
        <v>11</v>
      </c>
      <c r="F24" s="130">
        <v>45350</v>
      </c>
      <c r="G24">
        <v>1606000000</v>
      </c>
      <c r="H24">
        <v>924000000</v>
      </c>
    </row>
    <row r="25" spans="1:8">
      <c r="A25" t="s">
        <v>21</v>
      </c>
      <c r="B25" t="s">
        <v>100</v>
      </c>
      <c r="C25" t="s">
        <v>553</v>
      </c>
      <c r="D25" t="s">
        <v>23</v>
      </c>
      <c r="E25">
        <v>9</v>
      </c>
      <c r="F25" s="130">
        <v>45382</v>
      </c>
      <c r="G25">
        <v>1080000000</v>
      </c>
      <c r="H25">
        <v>738000000</v>
      </c>
    </row>
    <row r="26" spans="1:8">
      <c r="A26" t="s">
        <v>19</v>
      </c>
      <c r="B26" t="s">
        <v>100</v>
      </c>
      <c r="C26" t="s">
        <v>555</v>
      </c>
      <c r="D26" t="s">
        <v>22</v>
      </c>
      <c r="E26">
        <v>6</v>
      </c>
      <c r="F26" s="130">
        <v>45322</v>
      </c>
      <c r="G26">
        <v>798000000</v>
      </c>
      <c r="H26">
        <v>504000000</v>
      </c>
    </row>
    <row r="27" spans="1:8">
      <c r="A27" t="s">
        <v>138</v>
      </c>
      <c r="B27" t="s">
        <v>100</v>
      </c>
      <c r="C27" t="s">
        <v>554</v>
      </c>
      <c r="D27" t="s">
        <v>22</v>
      </c>
      <c r="E27">
        <v>7</v>
      </c>
      <c r="F27" s="130">
        <v>45350</v>
      </c>
      <c r="G27">
        <v>777000000</v>
      </c>
      <c r="H27">
        <v>609000000</v>
      </c>
    </row>
    <row r="28" spans="1:8">
      <c r="A28" t="s">
        <v>138</v>
      </c>
      <c r="B28" t="s">
        <v>100</v>
      </c>
      <c r="C28" t="s">
        <v>553</v>
      </c>
      <c r="D28" t="s">
        <v>22</v>
      </c>
      <c r="E28">
        <v>5</v>
      </c>
      <c r="F28" s="130">
        <v>45382</v>
      </c>
      <c r="G28">
        <v>655000000</v>
      </c>
      <c r="H28">
        <v>450000000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Normal="100" workbookViewId="0">
      <selection activeCell="C12" sqref="C12"/>
    </sheetView>
  </sheetViews>
  <sheetFormatPr defaultRowHeight="14.5"/>
  <cols>
    <col min="2" max="2" width="14.453125" customWidth="1"/>
    <col min="3" max="3" width="9.6328125" customWidth="1"/>
    <col min="4" max="4" width="13.6328125" customWidth="1"/>
    <col min="5" max="5" width="14.6328125" customWidth="1"/>
    <col min="6" max="7" width="9.6328125" customWidth="1"/>
    <col min="8" max="8" width="14.453125" customWidth="1"/>
    <col min="9" max="9" width="16.08984375" customWidth="1"/>
  </cols>
  <sheetData>
    <row r="1" spans="1:9" s="9" customFormat="1" ht="13">
      <c r="A1" s="148" t="s">
        <v>12</v>
      </c>
      <c r="B1" s="148"/>
      <c r="C1" s="148"/>
      <c r="E1" s="26" t="s">
        <v>37</v>
      </c>
      <c r="F1" s="27"/>
    </row>
    <row r="2" spans="1:9" s="9" customFormat="1" ht="13">
      <c r="A2" s="148"/>
      <c r="B2" s="148"/>
      <c r="C2" s="148"/>
      <c r="E2" s="26"/>
      <c r="F2" s="27"/>
    </row>
    <row r="4" spans="1:9">
      <c r="A4" s="168" t="s">
        <v>80</v>
      </c>
      <c r="B4" s="168"/>
      <c r="C4" s="168"/>
    </row>
    <row r="5" spans="1:9">
      <c r="A5" s="168"/>
      <c r="B5" s="168"/>
      <c r="C5" s="168"/>
    </row>
    <row r="6" spans="1:9" ht="16.5" customHeight="1">
      <c r="A6" s="33"/>
      <c r="B6" s="33"/>
      <c r="C6" s="33"/>
      <c r="E6" t="s">
        <v>26</v>
      </c>
    </row>
    <row r="7" spans="1:9">
      <c r="A7" s="13" t="s">
        <v>120</v>
      </c>
    </row>
    <row r="8" spans="1:9">
      <c r="A8" s="28" t="s">
        <v>81</v>
      </c>
      <c r="B8" s="28" t="s">
        <v>49</v>
      </c>
      <c r="C8" s="28" t="s">
        <v>82</v>
      </c>
      <c r="D8" s="28" t="s">
        <v>50</v>
      </c>
      <c r="E8" s="28" t="s">
        <v>83</v>
      </c>
      <c r="F8" s="28" t="s">
        <v>84</v>
      </c>
      <c r="G8" s="28" t="s">
        <v>85</v>
      </c>
      <c r="H8" s="28" t="s">
        <v>86</v>
      </c>
      <c r="I8" s="28" t="s">
        <v>87</v>
      </c>
    </row>
    <row r="9" spans="1:9">
      <c r="A9" s="29">
        <v>1</v>
      </c>
      <c r="B9" s="30" t="s">
        <v>88</v>
      </c>
      <c r="C9" s="31">
        <v>44292</v>
      </c>
      <c r="D9" s="30" t="s">
        <v>45</v>
      </c>
      <c r="E9" s="30" t="s">
        <v>89</v>
      </c>
      <c r="F9" s="30" t="s">
        <v>90</v>
      </c>
      <c r="G9" s="30">
        <v>1990</v>
      </c>
      <c r="H9" s="30" t="s">
        <v>91</v>
      </c>
      <c r="I9" s="30" t="s">
        <v>89</v>
      </c>
    </row>
    <row r="10" spans="1:9">
      <c r="A10" s="29">
        <v>2</v>
      </c>
      <c r="B10" s="30" t="s">
        <v>92</v>
      </c>
      <c r="C10" s="31">
        <v>44293</v>
      </c>
      <c r="D10" s="30" t="s">
        <v>45</v>
      </c>
      <c r="E10" s="30" t="s">
        <v>89</v>
      </c>
      <c r="F10" s="30" t="s">
        <v>93</v>
      </c>
      <c r="G10" s="30">
        <v>1992</v>
      </c>
      <c r="H10" s="30" t="s">
        <v>94</v>
      </c>
      <c r="I10" s="30" t="s">
        <v>89</v>
      </c>
    </row>
    <row r="11" spans="1:9">
      <c r="A11" s="29">
        <v>3</v>
      </c>
      <c r="B11" s="30" t="s">
        <v>95</v>
      </c>
      <c r="C11" s="31">
        <v>44294</v>
      </c>
      <c r="D11" s="30" t="s">
        <v>45</v>
      </c>
      <c r="E11" s="30" t="s">
        <v>89</v>
      </c>
      <c r="F11" s="30" t="s">
        <v>96</v>
      </c>
      <c r="G11" s="30">
        <v>1994</v>
      </c>
      <c r="H11" s="30" t="s">
        <v>97</v>
      </c>
      <c r="I11" s="30" t="s">
        <v>89</v>
      </c>
    </row>
    <row r="12" spans="1:9">
      <c r="A12" s="29">
        <v>4</v>
      </c>
      <c r="B12" s="30" t="s">
        <v>98</v>
      </c>
      <c r="C12" s="31">
        <v>44295</v>
      </c>
      <c r="D12" s="30" t="s">
        <v>45</v>
      </c>
      <c r="E12" s="30" t="s">
        <v>89</v>
      </c>
      <c r="F12" s="30" t="s">
        <v>99</v>
      </c>
      <c r="G12" s="30">
        <v>1996</v>
      </c>
      <c r="H12" s="30" t="s">
        <v>100</v>
      </c>
      <c r="I12" s="30" t="s">
        <v>89</v>
      </c>
    </row>
    <row r="13" spans="1:9">
      <c r="A13" s="29">
        <v>5</v>
      </c>
      <c r="B13" s="30" t="s">
        <v>101</v>
      </c>
      <c r="C13" s="31">
        <v>44296</v>
      </c>
      <c r="D13" s="30" t="s">
        <v>45</v>
      </c>
      <c r="E13" s="30" t="s">
        <v>89</v>
      </c>
      <c r="F13" s="30" t="s">
        <v>102</v>
      </c>
      <c r="G13" s="30">
        <v>1998</v>
      </c>
      <c r="H13" s="30" t="s">
        <v>103</v>
      </c>
      <c r="I13" s="30" t="s">
        <v>89</v>
      </c>
    </row>
    <row r="14" spans="1:9">
      <c r="A14" s="29">
        <v>6</v>
      </c>
      <c r="B14" s="30" t="s">
        <v>104</v>
      </c>
      <c r="C14" s="31">
        <v>44297</v>
      </c>
      <c r="D14" s="30" t="s">
        <v>45</v>
      </c>
      <c r="E14" s="30" t="s">
        <v>89</v>
      </c>
      <c r="F14" s="30" t="s">
        <v>90</v>
      </c>
      <c r="G14" s="30">
        <v>2000</v>
      </c>
      <c r="H14" s="30" t="s">
        <v>91</v>
      </c>
      <c r="I14" s="30" t="s">
        <v>89</v>
      </c>
    </row>
    <row r="15" spans="1:9">
      <c r="A15" s="29">
        <v>7</v>
      </c>
      <c r="B15" s="32" t="s">
        <v>105</v>
      </c>
      <c r="C15" s="31">
        <v>44298</v>
      </c>
      <c r="D15" s="30" t="s">
        <v>45</v>
      </c>
      <c r="E15" s="30" t="s">
        <v>89</v>
      </c>
      <c r="F15" s="30" t="s">
        <v>93</v>
      </c>
      <c r="G15" s="30">
        <v>2002</v>
      </c>
      <c r="H15" s="30" t="s">
        <v>94</v>
      </c>
      <c r="I15" s="30" t="s">
        <v>89</v>
      </c>
    </row>
    <row r="16" spans="1:9">
      <c r="A16" s="29">
        <v>8</v>
      </c>
      <c r="B16" s="30" t="s">
        <v>106</v>
      </c>
      <c r="C16" s="31">
        <v>44299</v>
      </c>
      <c r="D16" s="30" t="s">
        <v>45</v>
      </c>
      <c r="E16" s="30" t="s">
        <v>89</v>
      </c>
      <c r="F16" s="30" t="s">
        <v>96</v>
      </c>
      <c r="G16" s="30">
        <v>2004</v>
      </c>
      <c r="H16" s="30" t="s">
        <v>97</v>
      </c>
      <c r="I16" s="30" t="s">
        <v>89</v>
      </c>
    </row>
    <row r="17" spans="1:9">
      <c r="A17" s="29">
        <v>9</v>
      </c>
      <c r="B17" s="32" t="s">
        <v>107</v>
      </c>
      <c r="C17" s="31">
        <v>44300</v>
      </c>
      <c r="D17" s="30" t="s">
        <v>45</v>
      </c>
      <c r="E17" s="30" t="s">
        <v>89</v>
      </c>
      <c r="F17" s="30" t="s">
        <v>99</v>
      </c>
      <c r="G17" s="30">
        <v>2006</v>
      </c>
      <c r="H17" s="30" t="s">
        <v>100</v>
      </c>
      <c r="I17" s="30" t="s">
        <v>89</v>
      </c>
    </row>
    <row r="18" spans="1:9">
      <c r="A18" s="29">
        <v>10</v>
      </c>
      <c r="B18" s="30" t="s">
        <v>108</v>
      </c>
      <c r="C18" s="31">
        <v>44301</v>
      </c>
      <c r="D18" s="30" t="s">
        <v>45</v>
      </c>
      <c r="E18" s="30" t="s">
        <v>89</v>
      </c>
      <c r="F18" s="30" t="s">
        <v>102</v>
      </c>
      <c r="G18" s="30">
        <v>2008</v>
      </c>
      <c r="H18" s="30" t="s">
        <v>103</v>
      </c>
      <c r="I18" s="30" t="s">
        <v>89</v>
      </c>
    </row>
    <row r="19" spans="1:9">
      <c r="A19" s="29">
        <v>11</v>
      </c>
      <c r="B19" s="30" t="s">
        <v>109</v>
      </c>
      <c r="C19" s="31">
        <v>44302</v>
      </c>
      <c r="D19" s="30" t="s">
        <v>46</v>
      </c>
      <c r="E19" s="30" t="s">
        <v>110</v>
      </c>
      <c r="F19" s="30" t="s">
        <v>99</v>
      </c>
      <c r="G19" s="30">
        <v>1991</v>
      </c>
      <c r="H19" s="30" t="s">
        <v>100</v>
      </c>
      <c r="I19" s="30" t="s">
        <v>110</v>
      </c>
    </row>
    <row r="20" spans="1:9">
      <c r="A20" s="29">
        <v>12</v>
      </c>
      <c r="B20" s="30" t="s">
        <v>111</v>
      </c>
      <c r="C20" s="31">
        <v>44303</v>
      </c>
      <c r="D20" s="30" t="s">
        <v>46</v>
      </c>
      <c r="E20" s="30" t="s">
        <v>110</v>
      </c>
      <c r="F20" s="30" t="s">
        <v>102</v>
      </c>
      <c r="G20" s="30">
        <v>1993</v>
      </c>
      <c r="H20" s="30" t="s">
        <v>103</v>
      </c>
      <c r="I20" s="30" t="s">
        <v>110</v>
      </c>
    </row>
    <row r="21" spans="1:9">
      <c r="A21" s="29">
        <v>13</v>
      </c>
      <c r="B21" s="32" t="s">
        <v>112</v>
      </c>
      <c r="C21" s="31">
        <v>44304</v>
      </c>
      <c r="D21" s="30" t="s">
        <v>46</v>
      </c>
      <c r="E21" s="30" t="s">
        <v>110</v>
      </c>
      <c r="F21" s="30" t="s">
        <v>90</v>
      </c>
      <c r="G21" s="30">
        <v>1995</v>
      </c>
      <c r="H21" s="30" t="s">
        <v>91</v>
      </c>
      <c r="I21" s="30" t="s">
        <v>110</v>
      </c>
    </row>
    <row r="22" spans="1:9">
      <c r="A22" s="29">
        <v>14</v>
      </c>
      <c r="B22" s="30" t="s">
        <v>113</v>
      </c>
      <c r="C22" s="31">
        <v>44305</v>
      </c>
      <c r="D22" s="30" t="s">
        <v>46</v>
      </c>
      <c r="E22" s="30" t="s">
        <v>110</v>
      </c>
      <c r="F22" s="30" t="s">
        <v>93</v>
      </c>
      <c r="G22" s="30">
        <v>1997</v>
      </c>
      <c r="H22" s="30" t="s">
        <v>94</v>
      </c>
      <c r="I22" s="30" t="s">
        <v>110</v>
      </c>
    </row>
    <row r="23" spans="1:9">
      <c r="A23" s="29">
        <v>15</v>
      </c>
      <c r="B23" s="30" t="s">
        <v>114</v>
      </c>
      <c r="C23" s="31">
        <v>44306</v>
      </c>
      <c r="D23" s="30" t="s">
        <v>46</v>
      </c>
      <c r="E23" s="30" t="s">
        <v>110</v>
      </c>
      <c r="F23" s="30" t="s">
        <v>96</v>
      </c>
      <c r="G23" s="30">
        <v>1999</v>
      </c>
      <c r="H23" s="30" t="s">
        <v>97</v>
      </c>
      <c r="I23" s="30" t="s">
        <v>110</v>
      </c>
    </row>
    <row r="24" spans="1:9">
      <c r="A24" s="29">
        <v>16</v>
      </c>
      <c r="B24" s="30" t="s">
        <v>115</v>
      </c>
      <c r="C24" s="31">
        <v>44307</v>
      </c>
      <c r="D24" s="30" t="s">
        <v>46</v>
      </c>
      <c r="E24" s="30" t="s">
        <v>110</v>
      </c>
      <c r="F24" s="30" t="s">
        <v>99</v>
      </c>
      <c r="G24" s="30">
        <v>2001</v>
      </c>
      <c r="H24" s="30" t="s">
        <v>100</v>
      </c>
      <c r="I24" s="30" t="s">
        <v>110</v>
      </c>
    </row>
    <row r="25" spans="1:9">
      <c r="A25" s="29">
        <v>17</v>
      </c>
      <c r="B25" s="30" t="s">
        <v>116</v>
      </c>
      <c r="C25" s="31">
        <v>44308</v>
      </c>
      <c r="D25" s="30" t="s">
        <v>46</v>
      </c>
      <c r="E25" s="30" t="s">
        <v>110</v>
      </c>
      <c r="F25" s="30" t="s">
        <v>102</v>
      </c>
      <c r="G25" s="30">
        <v>2003</v>
      </c>
      <c r="H25" s="30" t="s">
        <v>103</v>
      </c>
      <c r="I25" s="30" t="s">
        <v>110</v>
      </c>
    </row>
    <row r="26" spans="1:9">
      <c r="A26" s="29">
        <v>18</v>
      </c>
      <c r="B26" s="30" t="s">
        <v>117</v>
      </c>
      <c r="C26" s="31">
        <v>44309</v>
      </c>
      <c r="D26" s="30" t="s">
        <v>46</v>
      </c>
      <c r="E26" s="30" t="s">
        <v>110</v>
      </c>
      <c r="F26" s="30" t="s">
        <v>90</v>
      </c>
      <c r="G26" s="30">
        <v>2005</v>
      </c>
      <c r="H26" s="30" t="s">
        <v>91</v>
      </c>
      <c r="I26" s="30" t="s">
        <v>110</v>
      </c>
    </row>
    <row r="27" spans="1:9">
      <c r="A27" s="29">
        <v>19</v>
      </c>
      <c r="B27" s="30" t="s">
        <v>118</v>
      </c>
      <c r="C27" s="31">
        <v>44310</v>
      </c>
      <c r="D27" s="30" t="s">
        <v>46</v>
      </c>
      <c r="E27" s="30" t="s">
        <v>110</v>
      </c>
      <c r="F27" s="30" t="s">
        <v>93</v>
      </c>
      <c r="G27" s="30">
        <v>2007</v>
      </c>
      <c r="H27" s="30" t="s">
        <v>94</v>
      </c>
      <c r="I27" s="30" t="s">
        <v>110</v>
      </c>
    </row>
    <row r="28" spans="1:9">
      <c r="A28" s="29">
        <v>20</v>
      </c>
      <c r="B28" s="30" t="s">
        <v>119</v>
      </c>
      <c r="C28" s="31">
        <v>44311</v>
      </c>
      <c r="D28" s="30" t="s">
        <v>46</v>
      </c>
      <c r="E28" s="30" t="s">
        <v>110</v>
      </c>
      <c r="F28" s="30" t="s">
        <v>96</v>
      </c>
      <c r="G28" s="30">
        <v>2009</v>
      </c>
      <c r="H28" s="30" t="s">
        <v>97</v>
      </c>
      <c r="I28" s="30" t="s">
        <v>110</v>
      </c>
    </row>
    <row r="29" spans="1:9">
      <c r="A29" s="18" t="s">
        <v>121</v>
      </c>
    </row>
  </sheetData>
  <sortState xmlns:xlrd2="http://schemas.microsoft.com/office/spreadsheetml/2017/richdata2" ref="B9:I28">
    <sortCondition ref="D9:D28"/>
    <sortCondition ref="I9:I28"/>
    <sortCondition ref="G9:G28"/>
  </sortState>
  <mergeCells count="2">
    <mergeCell ref="A1:C2"/>
    <mergeCell ref="A4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1B6F-55EC-4393-83C8-FA41263E315B}">
  <dimension ref="A1:AK25"/>
  <sheetViews>
    <sheetView zoomScale="90" zoomScaleNormal="90" workbookViewId="0">
      <selection activeCell="AK16" sqref="AK16"/>
    </sheetView>
  </sheetViews>
  <sheetFormatPr defaultRowHeight="14.5"/>
  <cols>
    <col min="1" max="1" width="13.453125" customWidth="1"/>
    <col min="2" max="2" width="24.54296875" customWidth="1"/>
  </cols>
  <sheetData>
    <row r="1" spans="1:37" s="9" customFormat="1" ht="13">
      <c r="A1" s="148" t="s">
        <v>12</v>
      </c>
      <c r="B1" s="148"/>
      <c r="C1" s="148"/>
      <c r="E1" s="26" t="s">
        <v>37</v>
      </c>
      <c r="F1" s="27"/>
    </row>
    <row r="2" spans="1:37" s="9" customFormat="1" ht="13">
      <c r="A2" s="148"/>
      <c r="B2" s="148"/>
      <c r="C2" s="148"/>
      <c r="E2" s="26"/>
      <c r="F2" s="27"/>
    </row>
    <row r="5" spans="1:37" ht="18.5">
      <c r="A5" s="169" t="s">
        <v>311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</row>
    <row r="6" spans="1:37" ht="18.5">
      <c r="A6" s="170" t="s">
        <v>323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</row>
    <row r="7" spans="1:37" s="64" customFormat="1"/>
    <row r="8" spans="1:37" s="64" customFormat="1">
      <c r="A8" s="64" t="s">
        <v>345</v>
      </c>
      <c r="B8" s="64" t="s">
        <v>346</v>
      </c>
    </row>
    <row r="9" spans="1:37" s="65" customFormat="1">
      <c r="A9" s="69" t="s">
        <v>312</v>
      </c>
      <c r="B9" s="69" t="s">
        <v>313</v>
      </c>
      <c r="C9" s="69">
        <v>1</v>
      </c>
      <c r="D9" s="69">
        <v>2</v>
      </c>
      <c r="E9" s="69">
        <v>3</v>
      </c>
      <c r="F9" s="69">
        <v>4</v>
      </c>
      <c r="G9" s="69">
        <v>5</v>
      </c>
      <c r="H9" s="69">
        <v>6</v>
      </c>
      <c r="I9" s="69">
        <v>7</v>
      </c>
      <c r="J9" s="69">
        <v>8</v>
      </c>
      <c r="K9" s="69">
        <v>9</v>
      </c>
      <c r="L9" s="69">
        <v>10</v>
      </c>
      <c r="M9" s="69">
        <v>11</v>
      </c>
      <c r="N9" s="69">
        <v>12</v>
      </c>
      <c r="O9" s="69">
        <v>13</v>
      </c>
      <c r="P9" s="69">
        <v>14</v>
      </c>
      <c r="Q9" s="69">
        <v>15</v>
      </c>
      <c r="R9" s="69">
        <v>16</v>
      </c>
      <c r="S9" s="69">
        <v>17</v>
      </c>
      <c r="T9" s="69">
        <v>18</v>
      </c>
      <c r="U9" s="69">
        <v>19</v>
      </c>
      <c r="V9" s="69">
        <v>20</v>
      </c>
      <c r="W9" s="69">
        <v>21</v>
      </c>
      <c r="X9" s="69">
        <v>22</v>
      </c>
      <c r="Y9" s="69">
        <v>23</v>
      </c>
      <c r="Z9" s="69">
        <v>24</v>
      </c>
      <c r="AA9" s="69">
        <v>25</v>
      </c>
      <c r="AB9" s="69">
        <v>26</v>
      </c>
      <c r="AC9" s="69">
        <v>27</v>
      </c>
      <c r="AD9" s="69">
        <v>28</v>
      </c>
      <c r="AE9" s="69">
        <v>29</v>
      </c>
      <c r="AF9" s="69">
        <v>30</v>
      </c>
      <c r="AG9" s="69">
        <v>31</v>
      </c>
      <c r="AH9" s="69" t="s">
        <v>314</v>
      </c>
      <c r="AI9" s="69" t="s">
        <v>315</v>
      </c>
      <c r="AJ9" s="69" t="s">
        <v>316</v>
      </c>
      <c r="AK9" s="69" t="s">
        <v>324</v>
      </c>
    </row>
    <row r="10" spans="1:37" s="64" customFormat="1">
      <c r="A10" s="52" t="s">
        <v>325</v>
      </c>
      <c r="B10" s="52" t="s">
        <v>335</v>
      </c>
      <c r="C10" s="52" t="s">
        <v>318</v>
      </c>
      <c r="D10" s="52" t="s">
        <v>318</v>
      </c>
      <c r="E10" s="52" t="s">
        <v>318</v>
      </c>
      <c r="F10" s="52" t="s">
        <v>318</v>
      </c>
      <c r="G10" s="52" t="s">
        <v>318</v>
      </c>
      <c r="H10" s="66"/>
      <c r="I10" s="66"/>
      <c r="J10" s="52" t="s">
        <v>318</v>
      </c>
      <c r="K10" s="52" t="s">
        <v>319</v>
      </c>
      <c r="L10" s="52" t="s">
        <v>319</v>
      </c>
      <c r="M10" s="52" t="s">
        <v>319</v>
      </c>
      <c r="N10" s="52" t="s">
        <v>318</v>
      </c>
      <c r="O10" s="67"/>
      <c r="P10" s="67"/>
      <c r="Q10" s="52" t="s">
        <v>318</v>
      </c>
      <c r="R10" s="52" t="s">
        <v>318</v>
      </c>
      <c r="S10" s="52" t="s">
        <v>318</v>
      </c>
      <c r="T10" s="52" t="s">
        <v>318</v>
      </c>
      <c r="U10" s="52" t="s">
        <v>318</v>
      </c>
      <c r="V10" s="67"/>
      <c r="W10" s="67"/>
      <c r="X10" s="52" t="s">
        <v>318</v>
      </c>
      <c r="Y10" s="52" t="s">
        <v>318</v>
      </c>
      <c r="Z10" s="52" t="s">
        <v>318</v>
      </c>
      <c r="AA10" s="52" t="s">
        <v>318</v>
      </c>
      <c r="AB10" s="52" t="s">
        <v>318</v>
      </c>
      <c r="AC10" s="67"/>
      <c r="AD10" s="67"/>
      <c r="AE10" s="52" t="s">
        <v>318</v>
      </c>
      <c r="AF10" s="52" t="s">
        <v>318</v>
      </c>
      <c r="AG10" s="52" t="s">
        <v>318</v>
      </c>
      <c r="AH10" s="68">
        <f>COUNTIF(C10:AG10,".")</f>
        <v>20</v>
      </c>
      <c r="AI10" s="68">
        <f>COUNTIF(C10:AG10,"s")</f>
        <v>0</v>
      </c>
      <c r="AJ10" s="68">
        <f>COUNTIF(C10:AG10,"c")</f>
        <v>3</v>
      </c>
      <c r="AK10" s="68">
        <f>COUNTIF(C10:AG10,"a")</f>
        <v>0</v>
      </c>
    </row>
    <row r="11" spans="1:37" s="64" customFormat="1">
      <c r="A11" s="52" t="s">
        <v>326</v>
      </c>
      <c r="B11" s="52" t="s">
        <v>336</v>
      </c>
      <c r="C11" s="52" t="s">
        <v>318</v>
      </c>
      <c r="D11" s="52" t="s">
        <v>318</v>
      </c>
      <c r="E11" s="52" t="s">
        <v>318</v>
      </c>
      <c r="F11" s="52" t="s">
        <v>318</v>
      </c>
      <c r="G11" s="52" t="s">
        <v>318</v>
      </c>
      <c r="H11" s="66"/>
      <c r="I11" s="66"/>
      <c r="J11" s="52" t="s">
        <v>318</v>
      </c>
      <c r="K11" s="52" t="s">
        <v>318</v>
      </c>
      <c r="L11" s="52" t="s">
        <v>318</v>
      </c>
      <c r="M11" s="52" t="s">
        <v>318</v>
      </c>
      <c r="N11" s="52" t="s">
        <v>318</v>
      </c>
      <c r="O11" s="67"/>
      <c r="P11" s="67"/>
      <c r="Q11" s="52" t="s">
        <v>318</v>
      </c>
      <c r="R11" s="52" t="s">
        <v>318</v>
      </c>
      <c r="S11" s="52" t="s">
        <v>318</v>
      </c>
      <c r="T11" s="52" t="s">
        <v>318</v>
      </c>
      <c r="U11" s="52" t="s">
        <v>318</v>
      </c>
      <c r="V11" s="67"/>
      <c r="W11" s="67"/>
      <c r="X11" s="52" t="s">
        <v>317</v>
      </c>
      <c r="Y11" s="52" t="s">
        <v>317</v>
      </c>
      <c r="Z11" s="52" t="s">
        <v>318</v>
      </c>
      <c r="AA11" s="52" t="s">
        <v>318</v>
      </c>
      <c r="AB11" s="52" t="s">
        <v>318</v>
      </c>
      <c r="AC11" s="67"/>
      <c r="AD11" s="67"/>
      <c r="AE11" s="52" t="s">
        <v>318</v>
      </c>
      <c r="AF11" s="52" t="s">
        <v>318</v>
      </c>
      <c r="AG11" s="52" t="s">
        <v>318</v>
      </c>
      <c r="AH11" s="68">
        <f t="shared" ref="AH11:AH19" si="0">COUNTIF(C11:AG11,".")</f>
        <v>21</v>
      </c>
      <c r="AI11" s="68">
        <f t="shared" ref="AI11:AI19" si="1">COUNTIF(C11:AG11,"s")</f>
        <v>0</v>
      </c>
      <c r="AJ11" s="68">
        <f t="shared" ref="AJ11:AJ19" si="2">COUNTIF(C11:AG11,"c")</f>
        <v>0</v>
      </c>
      <c r="AK11" s="68">
        <f t="shared" ref="AK11:AK19" si="3">COUNTIF(C11:AG11,"a")</f>
        <v>2</v>
      </c>
    </row>
    <row r="12" spans="1:37" s="64" customFormat="1">
      <c r="A12" s="52" t="s">
        <v>327</v>
      </c>
      <c r="B12" s="52" t="s">
        <v>337</v>
      </c>
      <c r="C12" s="52" t="s">
        <v>318</v>
      </c>
      <c r="D12" s="52" t="s">
        <v>320</v>
      </c>
      <c r="E12" s="52" t="s">
        <v>320</v>
      </c>
      <c r="F12" s="52" t="s">
        <v>320</v>
      </c>
      <c r="G12" s="52" t="s">
        <v>318</v>
      </c>
      <c r="H12" s="66"/>
      <c r="I12" s="66"/>
      <c r="J12" s="52" t="s">
        <v>318</v>
      </c>
      <c r="K12" s="52" t="s">
        <v>318</v>
      </c>
      <c r="L12" s="52" t="s">
        <v>318</v>
      </c>
      <c r="M12" s="52" t="s">
        <v>318</v>
      </c>
      <c r="N12" s="52" t="s">
        <v>318</v>
      </c>
      <c r="O12" s="67"/>
      <c r="P12" s="67"/>
      <c r="Q12" s="52" t="s">
        <v>318</v>
      </c>
      <c r="R12" s="52" t="s">
        <v>318</v>
      </c>
      <c r="S12" s="52" t="s">
        <v>318</v>
      </c>
      <c r="T12" s="52" t="s">
        <v>318</v>
      </c>
      <c r="U12" s="52" t="s">
        <v>318</v>
      </c>
      <c r="V12" s="67"/>
      <c r="W12" s="67"/>
      <c r="X12" s="52" t="s">
        <v>318</v>
      </c>
      <c r="Y12" s="52" t="s">
        <v>318</v>
      </c>
      <c r="Z12" s="52" t="s">
        <v>318</v>
      </c>
      <c r="AA12" s="52" t="s">
        <v>318</v>
      </c>
      <c r="AB12" s="52" t="s">
        <v>318</v>
      </c>
      <c r="AC12" s="67"/>
      <c r="AD12" s="67"/>
      <c r="AE12" s="52" t="s">
        <v>318</v>
      </c>
      <c r="AF12" s="52" t="s">
        <v>318</v>
      </c>
      <c r="AG12" s="52" t="s">
        <v>318</v>
      </c>
      <c r="AH12" s="68">
        <f t="shared" si="0"/>
        <v>20</v>
      </c>
      <c r="AI12" s="68">
        <f t="shared" si="1"/>
        <v>3</v>
      </c>
      <c r="AJ12" s="68">
        <f t="shared" si="2"/>
        <v>0</v>
      </c>
      <c r="AK12" s="68">
        <f t="shared" si="3"/>
        <v>0</v>
      </c>
    </row>
    <row r="13" spans="1:37" s="64" customFormat="1">
      <c r="A13" s="52" t="s">
        <v>328</v>
      </c>
      <c r="B13" s="52" t="s">
        <v>338</v>
      </c>
      <c r="C13" s="52" t="s">
        <v>318</v>
      </c>
      <c r="D13" s="52" t="s">
        <v>318</v>
      </c>
      <c r="E13" s="52" t="s">
        <v>318</v>
      </c>
      <c r="F13" s="52" t="s">
        <v>318</v>
      </c>
      <c r="G13" s="52" t="s">
        <v>318</v>
      </c>
      <c r="H13" s="66"/>
      <c r="I13" s="66"/>
      <c r="J13" s="52" t="s">
        <v>318</v>
      </c>
      <c r="K13" s="52" t="s">
        <v>318</v>
      </c>
      <c r="L13" s="52" t="s">
        <v>318</v>
      </c>
      <c r="M13" s="52" t="s">
        <v>318</v>
      </c>
      <c r="N13" s="52" t="s">
        <v>318</v>
      </c>
      <c r="O13" s="67"/>
      <c r="P13" s="67"/>
      <c r="Q13" s="52" t="s">
        <v>318</v>
      </c>
      <c r="R13" s="52" t="s">
        <v>318</v>
      </c>
      <c r="S13" s="52" t="s">
        <v>318</v>
      </c>
      <c r="T13" s="52" t="s">
        <v>317</v>
      </c>
      <c r="U13" s="52" t="s">
        <v>318</v>
      </c>
      <c r="V13" s="67"/>
      <c r="W13" s="67"/>
      <c r="X13" s="52" t="s">
        <v>318</v>
      </c>
      <c r="Y13" s="52" t="s">
        <v>318</v>
      </c>
      <c r="Z13" s="52" t="s">
        <v>318</v>
      </c>
      <c r="AA13" s="52" t="s">
        <v>320</v>
      </c>
      <c r="AB13" s="52" t="s">
        <v>318</v>
      </c>
      <c r="AC13" s="67"/>
      <c r="AD13" s="67"/>
      <c r="AE13" s="52" t="s">
        <v>318</v>
      </c>
      <c r="AF13" s="52" t="s">
        <v>318</v>
      </c>
      <c r="AG13" s="52" t="s">
        <v>318</v>
      </c>
      <c r="AH13" s="68">
        <f t="shared" si="0"/>
        <v>21</v>
      </c>
      <c r="AI13" s="68">
        <f t="shared" si="1"/>
        <v>1</v>
      </c>
      <c r="AJ13" s="68">
        <f t="shared" si="2"/>
        <v>0</v>
      </c>
      <c r="AK13" s="68">
        <f t="shared" si="3"/>
        <v>1</v>
      </c>
    </row>
    <row r="14" spans="1:37" s="64" customFormat="1">
      <c r="A14" s="52" t="s">
        <v>329</v>
      </c>
      <c r="B14" s="52" t="s">
        <v>339</v>
      </c>
      <c r="C14" s="52" t="s">
        <v>318</v>
      </c>
      <c r="D14" s="52" t="s">
        <v>318</v>
      </c>
      <c r="E14" s="52" t="s">
        <v>318</v>
      </c>
      <c r="F14" s="52" t="s">
        <v>318</v>
      </c>
      <c r="G14" s="52" t="s">
        <v>318</v>
      </c>
      <c r="H14" s="66"/>
      <c r="I14" s="66"/>
      <c r="J14" s="52" t="s">
        <v>318</v>
      </c>
      <c r="K14" s="52" t="s">
        <v>318</v>
      </c>
      <c r="L14" s="52" t="s">
        <v>318</v>
      </c>
      <c r="M14" s="52" t="s">
        <v>319</v>
      </c>
      <c r="N14" s="52" t="s">
        <v>318</v>
      </c>
      <c r="O14" s="67"/>
      <c r="P14" s="67"/>
      <c r="Q14" s="52" t="s">
        <v>318</v>
      </c>
      <c r="R14" s="52" t="s">
        <v>318</v>
      </c>
      <c r="S14" s="52" t="s">
        <v>318</v>
      </c>
      <c r="T14" s="52" t="s">
        <v>318</v>
      </c>
      <c r="U14" s="52" t="s">
        <v>318</v>
      </c>
      <c r="V14" s="67"/>
      <c r="W14" s="67"/>
      <c r="X14" s="52" t="s">
        <v>318</v>
      </c>
      <c r="Y14" s="52" t="s">
        <v>318</v>
      </c>
      <c r="Z14" s="52" t="s">
        <v>318</v>
      </c>
      <c r="AA14" s="52" t="s">
        <v>318</v>
      </c>
      <c r="AB14" s="52" t="s">
        <v>318</v>
      </c>
      <c r="AC14" s="67"/>
      <c r="AD14" s="67"/>
      <c r="AE14" s="52" t="s">
        <v>318</v>
      </c>
      <c r="AF14" s="52" t="s">
        <v>318</v>
      </c>
      <c r="AG14" s="52" t="s">
        <v>318</v>
      </c>
      <c r="AH14" s="68">
        <f t="shared" si="0"/>
        <v>22</v>
      </c>
      <c r="AI14" s="68">
        <f t="shared" si="1"/>
        <v>0</v>
      </c>
      <c r="AJ14" s="68">
        <f t="shared" si="2"/>
        <v>1</v>
      </c>
      <c r="AK14" s="68">
        <f t="shared" si="3"/>
        <v>0</v>
      </c>
    </row>
    <row r="15" spans="1:37" s="64" customFormat="1">
      <c r="A15" s="52" t="s">
        <v>330</v>
      </c>
      <c r="B15" s="52" t="s">
        <v>340</v>
      </c>
      <c r="C15" s="52" t="s">
        <v>318</v>
      </c>
      <c r="D15" s="52" t="s">
        <v>318</v>
      </c>
      <c r="E15" s="52" t="s">
        <v>318</v>
      </c>
      <c r="F15" s="52" t="s">
        <v>317</v>
      </c>
      <c r="G15" s="52" t="s">
        <v>318</v>
      </c>
      <c r="H15" s="66"/>
      <c r="I15" s="66"/>
      <c r="J15" s="52" t="s">
        <v>318</v>
      </c>
      <c r="K15" s="52" t="s">
        <v>318</v>
      </c>
      <c r="L15" s="52" t="s">
        <v>318</v>
      </c>
      <c r="M15" s="52" t="s">
        <v>318</v>
      </c>
      <c r="N15" s="52" t="s">
        <v>319</v>
      </c>
      <c r="O15" s="67"/>
      <c r="P15" s="67"/>
      <c r="Q15" s="52" t="s">
        <v>318</v>
      </c>
      <c r="R15" s="52" t="s">
        <v>318</v>
      </c>
      <c r="S15" s="52" t="s">
        <v>318</v>
      </c>
      <c r="T15" s="52" t="s">
        <v>318</v>
      </c>
      <c r="U15" s="52" t="s">
        <v>318</v>
      </c>
      <c r="V15" s="67"/>
      <c r="W15" s="67"/>
      <c r="X15" s="52" t="s">
        <v>318</v>
      </c>
      <c r="Y15" s="52" t="s">
        <v>320</v>
      </c>
      <c r="Z15" s="52" t="s">
        <v>318</v>
      </c>
      <c r="AA15" s="52" t="s">
        <v>318</v>
      </c>
      <c r="AB15" s="52" t="s">
        <v>318</v>
      </c>
      <c r="AC15" s="67"/>
      <c r="AD15" s="67"/>
      <c r="AE15" s="52" t="s">
        <v>318</v>
      </c>
      <c r="AF15" s="52" t="s">
        <v>318</v>
      </c>
      <c r="AG15" s="52" t="s">
        <v>318</v>
      </c>
      <c r="AH15" s="68">
        <f t="shared" si="0"/>
        <v>20</v>
      </c>
      <c r="AI15" s="68">
        <f t="shared" si="1"/>
        <v>1</v>
      </c>
      <c r="AJ15" s="68">
        <f t="shared" si="2"/>
        <v>1</v>
      </c>
      <c r="AK15" s="68">
        <f t="shared" si="3"/>
        <v>1</v>
      </c>
    </row>
    <row r="16" spans="1:37" s="64" customFormat="1">
      <c r="A16" s="52" t="s">
        <v>331</v>
      </c>
      <c r="B16" s="52" t="s">
        <v>341</v>
      </c>
      <c r="C16" s="52" t="s">
        <v>318</v>
      </c>
      <c r="D16" s="52" t="s">
        <v>318</v>
      </c>
      <c r="E16" s="52" t="s">
        <v>318</v>
      </c>
      <c r="F16" s="52" t="s">
        <v>318</v>
      </c>
      <c r="G16" s="52" t="s">
        <v>318</v>
      </c>
      <c r="H16" s="66"/>
      <c r="I16" s="66"/>
      <c r="J16" s="52" t="s">
        <v>318</v>
      </c>
      <c r="K16" s="52" t="s">
        <v>318</v>
      </c>
      <c r="L16" s="52" t="s">
        <v>318</v>
      </c>
      <c r="M16" s="52" t="s">
        <v>318</v>
      </c>
      <c r="N16" s="52" t="s">
        <v>318</v>
      </c>
      <c r="O16" s="67"/>
      <c r="P16" s="67"/>
      <c r="Q16" s="52" t="s">
        <v>318</v>
      </c>
      <c r="R16" s="52" t="s">
        <v>318</v>
      </c>
      <c r="S16" s="52" t="s">
        <v>318</v>
      </c>
      <c r="T16" s="52" t="s">
        <v>318</v>
      </c>
      <c r="U16" s="52" t="s">
        <v>318</v>
      </c>
      <c r="V16" s="67"/>
      <c r="W16" s="67"/>
      <c r="X16" s="52" t="s">
        <v>318</v>
      </c>
      <c r="Y16" s="52" t="s">
        <v>318</v>
      </c>
      <c r="Z16" s="52" t="s">
        <v>318</v>
      </c>
      <c r="AA16" s="52" t="s">
        <v>318</v>
      </c>
      <c r="AB16" s="52" t="s">
        <v>318</v>
      </c>
      <c r="AC16" s="67"/>
      <c r="AD16" s="67"/>
      <c r="AE16" s="52" t="s">
        <v>318</v>
      </c>
      <c r="AF16" s="52" t="s">
        <v>318</v>
      </c>
      <c r="AG16" s="52" t="s">
        <v>318</v>
      </c>
      <c r="AH16" s="68">
        <f t="shared" si="0"/>
        <v>23</v>
      </c>
      <c r="AI16" s="68">
        <f t="shared" si="1"/>
        <v>0</v>
      </c>
      <c r="AJ16" s="68">
        <f t="shared" si="2"/>
        <v>0</v>
      </c>
      <c r="AK16" s="68">
        <f t="shared" si="3"/>
        <v>0</v>
      </c>
    </row>
    <row r="17" spans="1:37" s="64" customFormat="1">
      <c r="A17" s="52" t="s">
        <v>332</v>
      </c>
      <c r="B17" s="52" t="s">
        <v>342</v>
      </c>
      <c r="C17" s="52" t="s">
        <v>318</v>
      </c>
      <c r="D17" s="52" t="s">
        <v>318</v>
      </c>
      <c r="E17" s="52" t="s">
        <v>318</v>
      </c>
      <c r="F17" s="52" t="s">
        <v>318</v>
      </c>
      <c r="G17" s="52" t="s">
        <v>318</v>
      </c>
      <c r="H17" s="66"/>
      <c r="I17" s="66"/>
      <c r="J17" s="52" t="s">
        <v>318</v>
      </c>
      <c r="K17" s="52" t="s">
        <v>318</v>
      </c>
      <c r="L17" s="52" t="s">
        <v>320</v>
      </c>
      <c r="M17" s="52" t="s">
        <v>320</v>
      </c>
      <c r="N17" s="52" t="s">
        <v>318</v>
      </c>
      <c r="O17" s="67"/>
      <c r="P17" s="67"/>
      <c r="Q17" s="52" t="s">
        <v>318</v>
      </c>
      <c r="R17" s="52" t="s">
        <v>318</v>
      </c>
      <c r="S17" s="52" t="s">
        <v>318</v>
      </c>
      <c r="T17" s="52" t="s">
        <v>318</v>
      </c>
      <c r="U17" s="52" t="s">
        <v>318</v>
      </c>
      <c r="V17" s="67"/>
      <c r="W17" s="67"/>
      <c r="X17" s="52" t="s">
        <v>318</v>
      </c>
      <c r="Y17" s="52" t="s">
        <v>318</v>
      </c>
      <c r="Z17" s="52" t="s">
        <v>318</v>
      </c>
      <c r="AA17" s="52" t="s">
        <v>318</v>
      </c>
      <c r="AB17" s="52" t="s">
        <v>318</v>
      </c>
      <c r="AC17" s="67"/>
      <c r="AD17" s="67"/>
      <c r="AE17" s="52" t="s">
        <v>318</v>
      </c>
      <c r="AF17" s="52" t="s">
        <v>318</v>
      </c>
      <c r="AG17" s="52" t="s">
        <v>318</v>
      </c>
      <c r="AH17" s="68">
        <f t="shared" si="0"/>
        <v>21</v>
      </c>
      <c r="AI17" s="68">
        <f t="shared" si="1"/>
        <v>2</v>
      </c>
      <c r="AJ17" s="68">
        <f t="shared" si="2"/>
        <v>0</v>
      </c>
      <c r="AK17" s="68">
        <f t="shared" si="3"/>
        <v>0</v>
      </c>
    </row>
    <row r="18" spans="1:37" s="64" customFormat="1">
      <c r="A18" s="52" t="s">
        <v>333</v>
      </c>
      <c r="B18" s="52" t="s">
        <v>343</v>
      </c>
      <c r="C18" s="52" t="s">
        <v>318</v>
      </c>
      <c r="D18" s="52" t="s">
        <v>318</v>
      </c>
      <c r="E18" s="52" t="s">
        <v>318</v>
      </c>
      <c r="F18" s="52" t="s">
        <v>318</v>
      </c>
      <c r="G18" s="52" t="s">
        <v>318</v>
      </c>
      <c r="H18" s="66"/>
      <c r="I18" s="66"/>
      <c r="J18" s="52" t="s">
        <v>318</v>
      </c>
      <c r="K18" s="52" t="s">
        <v>318</v>
      </c>
      <c r="L18" s="52" t="s">
        <v>318</v>
      </c>
      <c r="M18" s="52" t="s">
        <v>318</v>
      </c>
      <c r="N18" s="52" t="s">
        <v>318</v>
      </c>
      <c r="O18" s="67"/>
      <c r="P18" s="67"/>
      <c r="Q18" s="52" t="s">
        <v>318</v>
      </c>
      <c r="R18" s="52" t="s">
        <v>318</v>
      </c>
      <c r="S18" s="52" t="s">
        <v>317</v>
      </c>
      <c r="T18" s="52" t="s">
        <v>318</v>
      </c>
      <c r="U18" s="52" t="s">
        <v>318</v>
      </c>
      <c r="V18" s="67"/>
      <c r="W18" s="67"/>
      <c r="X18" s="52" t="s">
        <v>318</v>
      </c>
      <c r="Y18" s="52" t="s">
        <v>318</v>
      </c>
      <c r="Z18" s="52" t="s">
        <v>317</v>
      </c>
      <c r="AA18" s="52" t="s">
        <v>318</v>
      </c>
      <c r="AB18" s="52" t="s">
        <v>318</v>
      </c>
      <c r="AC18" s="67"/>
      <c r="AD18" s="67"/>
      <c r="AE18" s="52" t="s">
        <v>318</v>
      </c>
      <c r="AF18" s="52" t="s">
        <v>318</v>
      </c>
      <c r="AG18" s="52" t="s">
        <v>318</v>
      </c>
      <c r="AH18" s="68">
        <f t="shared" si="0"/>
        <v>21</v>
      </c>
      <c r="AI18" s="68">
        <f t="shared" si="1"/>
        <v>0</v>
      </c>
      <c r="AJ18" s="68">
        <f t="shared" si="2"/>
        <v>0</v>
      </c>
      <c r="AK18" s="68">
        <f t="shared" si="3"/>
        <v>2</v>
      </c>
    </row>
    <row r="19" spans="1:37" s="64" customFormat="1">
      <c r="A19" s="52" t="s">
        <v>334</v>
      </c>
      <c r="B19" s="52" t="s">
        <v>344</v>
      </c>
      <c r="C19" s="52" t="s">
        <v>318</v>
      </c>
      <c r="D19" s="52" t="s">
        <v>318</v>
      </c>
      <c r="E19" s="52" t="s">
        <v>318</v>
      </c>
      <c r="F19" s="52" t="s">
        <v>318</v>
      </c>
      <c r="G19" s="52" t="s">
        <v>318</v>
      </c>
      <c r="H19" s="66"/>
      <c r="I19" s="66"/>
      <c r="J19" s="52" t="s">
        <v>318</v>
      </c>
      <c r="K19" s="52" t="s">
        <v>318</v>
      </c>
      <c r="L19" s="52" t="s">
        <v>318</v>
      </c>
      <c r="M19" s="52" t="s">
        <v>318</v>
      </c>
      <c r="N19" s="52" t="s">
        <v>318</v>
      </c>
      <c r="O19" s="67"/>
      <c r="P19" s="67"/>
      <c r="Q19" s="52" t="s">
        <v>318</v>
      </c>
      <c r="R19" s="52" t="s">
        <v>319</v>
      </c>
      <c r="S19" s="52" t="s">
        <v>318</v>
      </c>
      <c r="T19" s="52" t="s">
        <v>318</v>
      </c>
      <c r="U19" s="52" t="s">
        <v>318</v>
      </c>
      <c r="V19" s="67"/>
      <c r="W19" s="67"/>
      <c r="X19" s="52" t="s">
        <v>318</v>
      </c>
      <c r="Y19" s="52" t="s">
        <v>318</v>
      </c>
      <c r="Z19" s="52" t="s">
        <v>318</v>
      </c>
      <c r="AA19" s="52" t="s">
        <v>318</v>
      </c>
      <c r="AB19" s="52" t="s">
        <v>318</v>
      </c>
      <c r="AC19" s="67"/>
      <c r="AD19" s="67"/>
      <c r="AE19" s="52" t="s">
        <v>318</v>
      </c>
      <c r="AF19" s="52" t="s">
        <v>318</v>
      </c>
      <c r="AG19" s="52" t="s">
        <v>318</v>
      </c>
      <c r="AH19" s="68">
        <f t="shared" si="0"/>
        <v>22</v>
      </c>
      <c r="AI19" s="68">
        <f t="shared" si="1"/>
        <v>0</v>
      </c>
      <c r="AJ19" s="68">
        <f t="shared" si="2"/>
        <v>1</v>
      </c>
      <c r="AK19" s="68">
        <f t="shared" si="3"/>
        <v>0</v>
      </c>
    </row>
    <row r="21" spans="1:37">
      <c r="AH21" t="s">
        <v>321</v>
      </c>
    </row>
    <row r="24" spans="1:37">
      <c r="AH24" t="s">
        <v>347</v>
      </c>
    </row>
    <row r="25" spans="1:37">
      <c r="AH25" t="s">
        <v>322</v>
      </c>
    </row>
  </sheetData>
  <mergeCells count="3">
    <mergeCell ref="A1:C2"/>
    <mergeCell ref="A5:AK5"/>
    <mergeCell ref="A6:AK6"/>
  </mergeCells>
  <phoneticPr fontId="23" type="noConversion"/>
  <conditionalFormatting sqref="C10:AG19">
    <cfRule type="cellIs" dxfId="12" priority="1" operator="equal">
      <formula>"c"</formula>
    </cfRule>
    <cfRule type="cellIs" dxfId="11" priority="2" operator="equal">
      <formula>"a"</formula>
    </cfRule>
    <cfRule type="cellIs" dxfId="10" priority="3" operator="equal">
      <formula>"s"</formula>
    </cfRule>
    <cfRule type="cellIs" dxfId="9" priority="4" operator="equal">
      <formula>"a"</formula>
    </cfRule>
    <cfRule type="cellIs" dxfId="8" priority="5" operator="equal">
      <formula>"."</formula>
    </cfRule>
    <cfRule type="cellIs" dxfId="7" priority="6" operator="equal">
      <formula>"a"</formula>
    </cfRule>
    <cfRule type="cellIs" dxfId="6" priority="7" operator="equal">
      <formula>"s"</formula>
    </cfRule>
    <cfRule type="cellIs" dxfId="5" priority="8" operator="equal">
      <formula>"c"</formula>
    </cfRule>
    <cfRule type="cellIs" dxfId="4" priority="9" operator="equal">
      <formula>"c"</formula>
    </cfRule>
    <cfRule type="cellIs" dxfId="3" priority="10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Administrasi</vt:lpstr>
      <vt:lpstr>Data Referensi</vt:lpstr>
      <vt:lpstr>Pivot Table 1</vt:lpstr>
      <vt:lpstr>Sheet 1</vt:lpstr>
      <vt:lpstr>Hasil Tabel Pivot 1</vt:lpstr>
      <vt:lpstr>Hasil Tabel Pivot 2</vt:lpstr>
      <vt:lpstr>Filter</vt:lpstr>
      <vt:lpstr>Laporan Absensi</vt:lpstr>
      <vt:lpstr>QR Code</vt:lpstr>
      <vt:lpstr>Laporan Stok Barang</vt:lpstr>
      <vt:lpstr>STok Barang Masuk-Keluar</vt:lpstr>
      <vt:lpstr>Laporan Kas</vt:lpstr>
      <vt:lpstr>Latihan 1</vt:lpstr>
      <vt:lpstr>Latihan 2</vt:lpstr>
      <vt:lpstr>Latihan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2023-07-04T23:59:55Z</dcterms:modified>
</cp:coreProperties>
</file>