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tetraPRO" sheetId="2" state="visible" r:id="rId3"/>
  </sheets>
  <definedNames>
    <definedName function="false" hidden="false" localSheetId="0" name="_xlnm.Print_Area" vbProcedure="false">Current!$A$1:$N$54</definedName>
    <definedName function="false" hidden="false" localSheetId="1" name="_xlnm.Print_Area" vbProcedure="false">tetraPRO!$A$1:$N$52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<sst xmlns="http://schemas.openxmlformats.org/spreadsheetml/2006/main" count="385" uniqueCount="169">
  <si>
    <t xml:space="preserve">Property Analysis Worksheet - The Value Play Income Analyzer</t>
  </si>
  <si>
    <t xml:space="preserve">https://www.crexi.com/properties/317972/minnesota-241-w-lake-ave</t>
  </si>
  <si>
    <t xml:space="preserve">Cost and Revenue Assumptions</t>
  </si>
  <si>
    <t xml:space="preserve">Financing Assumptions</t>
  </si>
  <si>
    <t xml:space="preserve">Key Ratios</t>
  </si>
  <si>
    <t xml:space="preserve">Projected</t>
  </si>
  <si>
    <t xml:space="preserve">Ask</t>
  </si>
  <si>
    <t xml:space="preserve">1</t>
  </si>
  <si>
    <t xml:space="preserve">Total Purchase</t>
  </si>
  <si>
    <t xml:space="preserve">Total Square Feet</t>
  </si>
  <si>
    <t xml:space="preserve">2</t>
  </si>
  <si>
    <t xml:space="preserve">OFFER : </t>
  </si>
  <si>
    <t xml:space="preserve">Land</t>
  </si>
  <si>
    <t xml:space="preserve">Owner's Equity</t>
  </si>
  <si>
    <t xml:space="preserve">8</t>
  </si>
  <si>
    <t xml:space="preserve">Avg Sq Ft/Unit</t>
  </si>
  <si>
    <t xml:space="preserve">Limited Partnership LP</t>
  </si>
  <si>
    <t xml:space="preserve">Building</t>
  </si>
  <si>
    <t xml:space="preserve">Seller Financing</t>
  </si>
  <si>
    <t xml:space="preserve">9</t>
  </si>
  <si>
    <t xml:space="preserve">Avg Rent/Sq Ft</t>
  </si>
  <si>
    <t xml:space="preserve">Investment:</t>
  </si>
  <si>
    <t xml:space="preserve">/ Unit</t>
  </si>
  <si>
    <t xml:space="preserve">Necessary Improvements</t>
  </si>
  <si>
    <t xml:space="preserve">Financing</t>
  </si>
  <si>
    <t xml:space="preserve">Avg Cost/Sq Ft</t>
  </si>
  <si>
    <t xml:space="preserve">Closing:</t>
  </si>
  <si>
    <t xml:space="preserve">Closing Cost</t>
  </si>
  <si>
    <t xml:space="preserve">Avg Unit Cost</t>
  </si>
  <si>
    <t xml:space="preserve">Acquisition Fee:</t>
  </si>
  <si>
    <t xml:space="preserve">Acquisition Fee</t>
  </si>
  <si>
    <t xml:space="preserve">Cap Rate</t>
  </si>
  <si>
    <t xml:space="preserve">Down Payment:</t>
  </si>
  <si>
    <t xml:space="preserve">Total</t>
  </si>
  <si>
    <t xml:space="preserve">Annual</t>
  </si>
  <si>
    <t xml:space="preserve">Monthly</t>
  </si>
  <si>
    <t xml:space="preserve">Gross Rent Mult.</t>
  </si>
  <si>
    <t xml:space="preserve">Interest Rate</t>
  </si>
  <si>
    <t xml:space="preserve">10</t>
  </si>
  <si>
    <t xml:space="preserve">Expense/Unit</t>
  </si>
  <si>
    <t xml:space="preserve">5 years</t>
  </si>
  <si>
    <t xml:space="preserve">Number of Units</t>
  </si>
  <si>
    <t xml:space="preserve">3</t>
  </si>
  <si>
    <t xml:space="preserve">Amort Period</t>
  </si>
  <si>
    <t xml:space="preserve">11</t>
  </si>
  <si>
    <t xml:space="preserve">Expense/Sq Ft</t>
  </si>
  <si>
    <t xml:space="preserve">10 years</t>
  </si>
  <si>
    <t xml:space="preserve">Average Monthly Rent</t>
  </si>
  <si>
    <t xml:space="preserve">4</t>
  </si>
  <si>
    <t xml:space="preserve">Payment</t>
  </si>
  <si>
    <t xml:space="preserve">20 years</t>
  </si>
  <si>
    <t xml:space="preserve">Gross Monthly Revenues</t>
  </si>
  <si>
    <t xml:space="preserve">12</t>
  </si>
  <si>
    <t xml:space="preserve">13</t>
  </si>
  <si>
    <t xml:space="preserve">Cash on Cash</t>
  </si>
  <si>
    <t xml:space="preserve">30 years</t>
  </si>
  <si>
    <t xml:space="preserve">Interest ONLY</t>
  </si>
  <si>
    <t xml:space="preserve">Balloon in 5Yr</t>
  </si>
  <si>
    <t xml:space="preserve">*30 Yrs debt reduction + Appreciation @ 3% / annum</t>
  </si>
  <si>
    <t xml:space="preserve">Rental Increase Projections</t>
  </si>
  <si>
    <t xml:space="preserve">14</t>
  </si>
  <si>
    <t xml:space="preserve">ROI:</t>
  </si>
  <si>
    <t xml:space="preserve">Operating Expense Projections</t>
  </si>
  <si>
    <t xml:space="preserve">15</t>
  </si>
  <si>
    <t xml:space="preserve">/year:</t>
  </si>
  <si>
    <t xml:space="preserve">/Month:</t>
  </si>
  <si>
    <t xml:space="preserve">Operating Revenues</t>
  </si>
  <si>
    <t xml:space="preserve">Actual Monthly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</si>
  <si>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</si>
  <si>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</si>
  <si>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</si>
  <si>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</si>
  <si>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</si>
  <si>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Deal</t>
  </si>
  <si>
    <t xml:space="preserve">IRR</t>
  </si>
  <si>
    <t xml:space="preserve">Gross Scheduled Income</t>
  </si>
  <si>
    <t xml:space="preserve">% Deal</t>
  </si>
  <si>
    <t xml:space="preserve">Initial Outlay:</t>
  </si>
  <si>
    <t xml:space="preserve">PV</t>
  </si>
  <si>
    <t xml:space="preserve">Vacancy Rate</t>
  </si>
  <si>
    <t xml:space="preserve">5</t>
  </si>
  <si>
    <t xml:space="preserve">Opportunity:</t>
  </si>
  <si>
    <t xml:space="preserve">Net Rental Income</t>
  </si>
  <si>
    <t xml:space="preserve">Creating:       →</t>
  </si>
  <si>
    <t xml:space="preserve">Units </t>
  </si>
  <si>
    <t xml:space="preserve">After Tax</t>
  </si>
  <si>
    <t xml:space="preserve">Other Income</t>
  </si>
  <si>
    <t xml:space="preserve">6</t>
  </si>
  <si>
    <t xml:space="preserve">Expectation:</t>
  </si>
  <si>
    <t xml:space="preserve">Cash flow 1:</t>
  </si>
  <si>
    <t xml:space="preserve">Gross Income</t>
  </si>
  <si>
    <t xml:space="preserve">Cash flow 2:</t>
  </si>
  <si>
    <t xml:space="preserve">Investors:</t>
  </si>
  <si>
    <t xml:space="preserve">Cash flow 3:</t>
  </si>
  <si>
    <t xml:space="preserve">Operating Expenses</t>
  </si>
  <si>
    <t xml:space="preserve">Contributing:  →</t>
  </si>
  <si>
    <t xml:space="preserve">Cash flow 4:</t>
  </si>
  <si>
    <t xml:space="preserve">Repairs and Maintenance</t>
  </si>
  <si>
    <t xml:space="preserve">7</t>
  </si>
  <si>
    <t xml:space="preserve">a</t>
  </si>
  <si>
    <t xml:space="preserve">Cash flow 5:</t>
  </si>
  <si>
    <t xml:space="preserve">Property Management Fee</t>
  </si>
  <si>
    <t xml:space="preserve">b</t>
  </si>
  <si>
    <t xml:space="preserve">Min Investment:</t>
  </si>
  <si>
    <t xml:space="preserve">/ Investor</t>
  </si>
  <si>
    <t xml:space="preserve">Cash out:</t>
  </si>
  <si>
    <t xml:space="preserve">Taxes</t>
  </si>
  <si>
    <t xml:space="preserve">c</t>
  </si>
  <si>
    <t xml:space="preserve">Units/Investor</t>
  </si>
  <si>
    <t xml:space="preserve">Insurance</t>
  </si>
  <si>
    <t xml:space="preserve">d</t>
  </si>
  <si>
    <t xml:space="preserve">*to meet all min requirements of SEC*</t>
  </si>
  <si>
    <t xml:space="preserve">Total PV:</t>
  </si>
  <si>
    <t xml:space="preserve">~~~~~~~~~~~~~~~~~&gt;</t>
  </si>
  <si>
    <t xml:space="preserve">Salaries and Wages</t>
  </si>
  <si>
    <t xml:space="preserve">e</t>
  </si>
  <si>
    <t xml:space="preserve">Opportunity</t>
  </si>
  <si>
    <t xml:space="preserve">Utilities</t>
  </si>
  <si>
    <t xml:space="preserve">f</t>
  </si>
  <si>
    <t xml:space="preserve">NPV:</t>
  </si>
  <si>
    <t xml:space="preserve">Gen &amp; Admin</t>
  </si>
  <si>
    <t xml:space="preserve">g</t>
  </si>
  <si>
    <t xml:space="preserve">Professional Fees</t>
  </si>
  <si>
    <t xml:space="preserve">h</t>
  </si>
  <si>
    <t xml:space="preserve">IRR:</t>
  </si>
  <si>
    <t xml:space="preserve">Advertising</t>
  </si>
  <si>
    <t xml:space="preserve">I</t>
  </si>
  <si>
    <t xml:space="preserve">Notes*</t>
  </si>
  <si>
    <t xml:space="preserve">Capital Reserve</t>
  </si>
  <si>
    <t xml:space="preserve">j</t>
  </si>
  <si>
    <t xml:space="preserve">*Cashout refi profit goes entirely to </t>
  </si>
  <si>
    <t xml:space="preserve">Other</t>
  </si>
  <si>
    <t xml:space="preserve">k</t>
  </si>
  <si>
    <t xml:space="preserve">repay investors initial contributions</t>
  </si>
  <si>
    <t xml:space="preserve">Total Operating Expenses</t>
  </si>
  <si>
    <t xml:space="preserve">5 Year Performance</t>
  </si>
  <si>
    <t xml:space="preserve">Net Operating Income</t>
  </si>
  <si>
    <t xml:space="preserve">Initial Investment:</t>
  </si>
  <si>
    <t xml:space="preserve">CoC</t>
  </si>
  <si>
    <t xml:space="preserve">Interest on Loan</t>
  </si>
  <si>
    <t xml:space="preserve">+ cash flow</t>
  </si>
  <si>
    <t xml:space="preserve">Principle Paid</t>
  </si>
  <si>
    <t xml:space="preserve">Total Cost of Interest</t>
  </si>
  <si>
    <t xml:space="preserve">Income Tax Rate</t>
  </si>
  <si>
    <t xml:space="preserve">~~~~~~~~~~~~~~~~~~~~~~~~~~~~~~~~~~~~~~~~~~~~~~~~~~~~~~~~~~~~~~~~~~~~~~~~~~~~~~~~~~~~~~~~~~~</t>
  </si>
  <si>
    <t xml:space="preserve">Depreciation Expenses(Building)</t>
  </si>
  <si>
    <t xml:space="preserve">Year 6</t>
  </si>
  <si>
    <t xml:space="preserve">+ Refinance*</t>
  </si>
  <si>
    <t xml:space="preserve">7.5 cap rate</t>
  </si>
  <si>
    <t xml:space="preserve">Total Taxable Deductions</t>
  </si>
  <si>
    <t xml:space="preserve">- Repay Debts</t>
  </si>
  <si>
    <t xml:space="preserve">Net Income before Taxes</t>
  </si>
  <si>
    <t xml:space="preserve">Profits</t>
  </si>
  <si>
    <t xml:space="preserve">Expected Taxes</t>
  </si>
  <si>
    <t xml:space="preserve">Ca$h+Profits</t>
  </si>
  <si>
    <t xml:space="preserve">Net Income after Taxes</t>
  </si>
  <si>
    <t xml:space="preserve">Percentage:</t>
  </si>
  <si>
    <t xml:space="preserve">Actual Performance</t>
  </si>
  <si>
    <t xml:space="preserve">/ LP unit</t>
  </si>
  <si>
    <t xml:space="preserve">1st Qrt</t>
  </si>
  <si>
    <t xml:space="preserve">2nd Qrt</t>
  </si>
  <si>
    <t xml:space="preserve">3rd Qrt</t>
  </si>
  <si>
    <t xml:space="preserve">4th Qrt</t>
  </si>
  <si>
    <t xml:space="preserve">Totals:</t>
  </si>
  <si>
    <t xml:space="preserve">Refinanced @</t>
  </si>
  <si>
    <t xml:space="preserve">7.5 cap</t>
  </si>
  <si>
    <t xml:space="preserve">25 yrs</t>
  </si>
  <si>
    <t xml:space="preserve">Performance:</t>
  </si>
  <si>
    <t xml:space="preserve">ROE: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</si>
</sst>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#,##0"/>
    <numFmt numFmtId="166" formatCode="#,##0.00"/>
    <numFmt numFmtId="167" formatCode="0%"/>
    <numFmt numFmtId="168" formatCode="[$$-409]#,##0.00;[RED]\-[$$-409]#,##0.00"/>
    <numFmt numFmtId="169" formatCode="[$$-409]#,##0;[RED]\-[$$-409]#,##0"/>
    <numFmt numFmtId="170" formatCode="\$#,##0\ ;&quot;($&quot;#,##0\)"/>
    <numFmt numFmtId="171" formatCode="\$#,##0"/>
    <numFmt numFmtId="172" formatCode="\$#,##0.00"/>
    <numFmt numFmtId="173" formatCode="\$#,##0_);[RED]&quot;($&quot;#,##0\)"/>
    <numFmt numFmtId="174" formatCode="0.00%"/>
    <numFmt numFmtId="175" formatCode="0.000"/>
    <numFmt numFmtId="176" formatCode="0.0%"/>
    <numFmt numFmtId="177" formatCode="#,##0.00_);\(#,##0.00\)"/>
    <numFmt numFmtId="178" formatCode="#,##0.00_);[RED]\-#,##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perscript"/>
      <sz val="10"/>
      <name val="Arial"/>
      <family val="0"/>
      <charset val="1"/>
    </font>
    <font>
      <b val="true"/>
      <sz val="10"/>
      <name val="Arial"/>
      <family val="0"/>
      <charset val="1"/>
    </font>
    <font>
      <sz val="10.5"/>
      <name val="Arial"/>
      <family val="0"/>
      <charset val="1"/>
    </font>
    <font>
      <sz val="12"/>
      <name val="Arial"/>
      <family val="0"/>
      <charset val="1"/>
    </font>
    <font>
      <sz val="11"/>
      <name val="Arial"/>
      <family val="0"/>
      <charset val="1"/>
    </font>
    <font>
      <b val="true"/>
      <sz val="13"/>
      <name val="Arial"/>
      <family val="0"/>
      <charset val="1"/>
    </font>
    <font>
      <sz val="13"/>
      <name val="Arial"/>
      <family val="0"/>
      <charset val="1"/>
    </font>
    <font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2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rgb="FF21409A"/>
      <name val="Arial"/>
      <family val="2"/>
      <charset val="1"/>
    </font>
    <font>
      <sz val="10"/>
      <color rgb="FF21409A"/>
      <name val="Arial"/>
      <family val="0"/>
      <charset val="1"/>
    </font>
    <font>
      <b val="true"/>
      <sz val="15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0C0C0"/>
      </patternFill>
    </fill>
    <fill>
      <patternFill patternType="solid">
        <fgColor rgb="FFDDDDDD"/>
        <bgColor rgb="FFEBEBEB"/>
      </patternFill>
    </fill>
    <fill>
      <patternFill patternType="solid">
        <fgColor rgb="FFB2B2B2"/>
        <bgColor rgb="FFC0C0C0"/>
      </patternFill>
    </fill>
    <fill>
      <patternFill patternType="solid">
        <fgColor rgb="FFE0EFD4"/>
        <bgColor rgb="FFEBEBEB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  <fill>
      <patternFill patternType="solid">
        <fgColor rgb="FF89C765"/>
        <bgColor rgb="FFADD58A"/>
      </patternFill>
    </fill>
    <fill>
      <patternFill patternType="solid">
        <fgColor rgb="FF62A73B"/>
        <bgColor rgb="FF89C765"/>
      </patternFill>
    </fill>
    <fill>
      <patternFill patternType="solid">
        <fgColor rgb="FFC0C0C0"/>
        <bgColor rgb="FFCCCC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EBEBE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>
        <color rgb="FFEBEBEB"/>
      </top>
      <bottom style="medium">
        <color rgb="FF808080"/>
      </bottom>
      <diagonal/>
    </border>
    <border diagonalUp="false" diagonalDown="false">
      <left style="hair"/>
      <right style="hair"/>
      <top style="hair"/>
      <bottom style="medium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/>
      <top/>
      <bottom style="thin">
        <color rgb="FFEBEBEB"/>
      </bottom>
      <diagonal/>
    </border>
    <border diagonalUp="false" diagonalDown="false">
      <left/>
      <right/>
      <top style="medium">
        <color rgb="FF808080"/>
      </top>
      <bottom style="medium">
        <color rgb="FF808080"/>
      </bottom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medium">
        <color rgb="FFEBEBEB"/>
      </top>
      <bottom style="medium">
        <color rgb="FFEBEBE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9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4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3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2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7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0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BEB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0AE"/>
      <rgbColor rgb="FFE0EFD4"/>
      <rgbColor rgb="FFFFFF99"/>
      <rgbColor rgb="FFADD58A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B2B2B2"/>
      <rgbColor rgb="FF003366"/>
      <rgbColor rgb="FF62A73B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8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Q44" activeCellId="0" sqref="Q44"/>
    </sheetView>
  </sheetViews>
  <sheetFormatPr defaultRowHeight="12.75" zeroHeight="false" outlineLevelRow="0" outlineLevelCol="0"/>
  <cols>
    <col collapsed="false" customWidth="true" hidden="false" outlineLevel="0" max="1" min="1" style="1" width="32.9"/>
    <col collapsed="false" customWidth="true" hidden="false" outlineLevel="0" max="2" min="2" style="2" width="14.49"/>
    <col collapsed="false" customWidth="true" hidden="false" outlineLevel="0" max="3" min="3" style="2" width="2.57"/>
    <col collapsed="false" customWidth="true" hidden="false" outlineLevel="0" max="4" min="4" style="1" width="14.78"/>
    <col collapsed="false" customWidth="true" hidden="false" outlineLevel="0" max="5" min="5" style="1" width="2.07"/>
    <col collapsed="false" customWidth="true" hidden="false" outlineLevel="0" max="6" min="6" style="2" width="13.49"/>
    <col collapsed="false" customWidth="true" hidden="false" outlineLevel="0" max="7" min="7" style="2" width="2.07"/>
    <col collapsed="false" customWidth="true" hidden="false" outlineLevel="0" max="8" min="8" style="2" width="13.78"/>
    <col collapsed="false" customWidth="true" hidden="false" outlineLevel="0" max="9" min="9" style="2" width="1.92"/>
    <col collapsed="false" customWidth="true" hidden="false" outlineLevel="0" max="10" min="10" style="2" width="15.08"/>
    <col collapsed="false" customWidth="true" hidden="false" outlineLevel="0" max="11" min="11" style="2" width="1.92"/>
    <col collapsed="false" customWidth="true" hidden="false" outlineLevel="0" max="12" min="12" style="2" width="12.06"/>
    <col collapsed="false" customWidth="true" hidden="false" outlineLevel="0" max="13" min="13" style="2" width="2.38"/>
    <col collapsed="false" customWidth="true" hidden="false" outlineLevel="0" max="14" min="14" style="2" width="14.62"/>
    <col collapsed="false" customWidth="true" hidden="false" outlineLevel="0" max="15" min="15" style="2" width="14.68"/>
    <col collapsed="false" customWidth="true" hidden="false" outlineLevel="0" max="16" min="16" style="2" width="15.48"/>
    <col collapsed="false" customWidth="true" hidden="false" outlineLevel="0" max="17" min="17" style="2" width="10.92"/>
    <col collapsed="false" customWidth="true" hidden="false" outlineLevel="0" max="18" min="18" style="2" width="14.08"/>
    <col collapsed="false" customWidth="true" hidden="false" outlineLevel="0" max="20" min="19" style="2" width="8.7"/>
    <col collapsed="false" customWidth="true" hidden="false" outlineLevel="0" max="21" min="21" style="2" width="11.24"/>
    <col collapsed="false" customWidth="true" hidden="false" outlineLevel="0" max="22" min="22" style="2" width="8.7"/>
    <col collapsed="false" customWidth="true" hidden="false" outlineLevel="0" max="23" min="23" style="2" width="11.72"/>
    <col collapsed="false" customWidth="true" hidden="false" outlineLevel="0" max="1025" min="24" style="2" width="8.7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customFormat="false" ht="15" hidden="false" customHeight="true" outlineLevel="0" collapsed="false">
      <c r="A3" s="5" t="s">
        <v>2</v>
      </c>
      <c r="B3" s="5"/>
      <c r="C3" s="6"/>
      <c r="D3" s="5" t="s">
        <v>3</v>
      </c>
      <c r="E3" s="5"/>
      <c r="F3" s="5"/>
      <c r="G3" s="5"/>
      <c r="H3" s="5"/>
      <c r="I3" s="6"/>
      <c r="J3" s="7" t="s">
        <v>4</v>
      </c>
      <c r="K3" s="7"/>
      <c r="L3" s="7"/>
      <c r="M3" s="7"/>
      <c r="N3" s="7"/>
      <c r="S3" s="8" t="s">
        <v>5</v>
      </c>
      <c r="T3" s="8"/>
      <c r="U3" s="8"/>
      <c r="V3" s="8"/>
      <c r="W3" s="8"/>
      <c r="X3" s="8"/>
      <c r="Y3" s="8"/>
      <c r="Z3" s="8"/>
    </row>
    <row r="4" customFormat="false" ht="12.8" hidden="false" customHeight="true" outlineLevel="0" collapsed="false">
      <c r="A4" s="9" t="s">
        <v>6</v>
      </c>
      <c r="B4" s="10" t="n">
        <v>240000</v>
      </c>
      <c r="C4" s="11" t="s">
        <v>7</v>
      </c>
      <c r="D4" s="12" t="s">
        <v>8</v>
      </c>
      <c r="E4" s="13"/>
      <c r="F4" s="2" t="n">
        <v>1</v>
      </c>
      <c r="G4" s="14"/>
      <c r="H4" s="2" t="n">
        <f aca="false">B4-B7</f>
        <v>240000</v>
      </c>
      <c r="J4" s="15" t="s">
        <v>9</v>
      </c>
      <c r="M4" s="16" t="s">
        <v>10</v>
      </c>
      <c r="N4" s="17" t="n">
        <v>10000</v>
      </c>
      <c r="O4" s="18" t="s">
        <v>11</v>
      </c>
      <c r="P4" s="18"/>
      <c r="Q4" s="18"/>
      <c r="R4" s="18"/>
    </row>
    <row r="5" customFormat="false" ht="12.8" hidden="false" customHeight="true" outlineLevel="0" collapsed="false">
      <c r="A5" s="19" t="s">
        <v>12</v>
      </c>
      <c r="B5" s="2" t="n">
        <f aca="false">B4*0.2</f>
        <v>48000</v>
      </c>
      <c r="D5" s="19" t="s">
        <v>13</v>
      </c>
      <c r="F5" s="2" t="n">
        <v>0.3</v>
      </c>
      <c r="G5" s="20" t="s">
        <v>14</v>
      </c>
      <c r="H5" s="2" t="n">
        <f aca="false">H4*F5</f>
        <v>72000</v>
      </c>
      <c r="J5" s="15" t="s">
        <v>15</v>
      </c>
      <c r="N5" s="21" t="n">
        <f aca="false">N4/B12</f>
        <v>833.333333333333</v>
      </c>
      <c r="O5" s="22" t="s">
        <v>16</v>
      </c>
      <c r="P5" s="22"/>
      <c r="Q5" s="22"/>
      <c r="R5" s="22"/>
    </row>
    <row r="6" s="2" customFormat="true" ht="12.8" hidden="false" customHeight="true" outlineLevel="0" collapsed="false">
      <c r="A6" s="19" t="s">
        <v>17</v>
      </c>
      <c r="B6" s="2" t="n">
        <f aca="false">B4*0.8</f>
        <v>192000</v>
      </c>
      <c r="D6" s="23" t="s">
        <v>18</v>
      </c>
      <c r="F6" s="24" t="n">
        <v>0</v>
      </c>
      <c r="G6" s="20" t="s">
        <v>19</v>
      </c>
      <c r="H6" s="2" t="n">
        <f aca="false">F6*H4</f>
        <v>0</v>
      </c>
      <c r="J6" s="15" t="s">
        <v>20</v>
      </c>
      <c r="N6" s="2" t="n">
        <f aca="false">B14/N4</f>
        <v>0.6</v>
      </c>
      <c r="O6" s="15" t="s">
        <v>21</v>
      </c>
      <c r="P6" s="25" t="n">
        <f aca="false">(H5+((H4*0.035)+(H4*0.01)))/Q27</f>
        <v>15.0545454545455</v>
      </c>
      <c r="Q6" s="26" t="s">
        <v>22</v>
      </c>
      <c r="R6" s="27" t="n">
        <f aca="false">P6*Q27</f>
        <v>82800</v>
      </c>
    </row>
    <row r="7" customFormat="false" ht="12.8" hidden="false" customHeight="true" outlineLevel="0" collapsed="false">
      <c r="A7" s="19" t="s">
        <v>23</v>
      </c>
      <c r="B7" s="2" t="n">
        <v>0</v>
      </c>
      <c r="D7" s="19" t="s">
        <v>24</v>
      </c>
      <c r="F7" s="2" t="n">
        <f aca="false">F4-(F5+F6)</f>
        <v>0.7</v>
      </c>
      <c r="H7" s="2" t="n">
        <f aca="false">H4-(H5+H6)</f>
        <v>168000</v>
      </c>
      <c r="J7" s="15" t="s">
        <v>25</v>
      </c>
      <c r="N7" s="2" t="n">
        <f aca="false">B10/N4</f>
        <v>24.864</v>
      </c>
      <c r="O7" s="15" t="s">
        <v>26</v>
      </c>
      <c r="P7" s="20"/>
      <c r="Q7" s="11"/>
      <c r="R7" s="27" t="n">
        <f aca="false">H4*0.035</f>
        <v>8400</v>
      </c>
    </row>
    <row r="8" customFormat="false" ht="12.8" hidden="false" customHeight="true" outlineLevel="0" collapsed="false">
      <c r="A8" s="19" t="s">
        <v>27</v>
      </c>
      <c r="B8" s="2" t="n">
        <f aca="false">((B5+B6)*0.035)</f>
        <v>8400</v>
      </c>
      <c r="D8" s="19"/>
      <c r="H8" s="28"/>
      <c r="J8" s="15" t="s">
        <v>28</v>
      </c>
      <c r="N8" s="2" t="n">
        <f aca="false">H4/B12</f>
        <v>20000</v>
      </c>
      <c r="O8" s="15" t="s">
        <v>29</v>
      </c>
      <c r="P8" s="20"/>
      <c r="Q8" s="11"/>
      <c r="R8" s="27" t="n">
        <f aca="false">H4*0.01</f>
        <v>2400</v>
      </c>
    </row>
    <row r="9" s="2" customFormat="true" ht="12.8" hidden="false" customHeight="true" outlineLevel="0" collapsed="false">
      <c r="A9" s="29" t="s">
        <v>30</v>
      </c>
      <c r="B9" s="30" t="n">
        <f aca="false">B4*0.001</f>
        <v>240</v>
      </c>
      <c r="D9" s="15"/>
      <c r="H9" s="28"/>
      <c r="J9" s="15" t="s">
        <v>31</v>
      </c>
      <c r="L9" s="31"/>
      <c r="M9" s="31"/>
      <c r="N9" s="2" t="n">
        <f aca="false">F41/B4</f>
        <v>0.137041666666667</v>
      </c>
      <c r="O9" s="15" t="s">
        <v>32</v>
      </c>
      <c r="P9" s="20"/>
      <c r="Q9" s="11"/>
      <c r="R9" s="32" t="n">
        <f aca="false">R6-R7-R8</f>
        <v>72000</v>
      </c>
    </row>
    <row r="10" customFormat="false" ht="12.8" hidden="false" customHeight="true" outlineLevel="0" collapsed="false">
      <c r="A10" s="33" t="s">
        <v>33</v>
      </c>
      <c r="B10" s="2" t="n">
        <f aca="false">SUM(B5:B9)-B7</f>
        <v>248640</v>
      </c>
      <c r="D10" s="19"/>
      <c r="F10" s="34" t="s">
        <v>34</v>
      </c>
      <c r="G10" s="34"/>
      <c r="H10" s="35" t="s">
        <v>35</v>
      </c>
      <c r="I10" s="34"/>
      <c r="J10" s="15" t="s">
        <v>36</v>
      </c>
      <c r="L10" s="31"/>
      <c r="M10" s="31"/>
      <c r="N10" s="2" t="n">
        <f aca="false">H4/F25</f>
        <v>3.7037037037037</v>
      </c>
      <c r="O10" s="15"/>
      <c r="P10" s="20"/>
      <c r="Q10" s="20"/>
      <c r="R10" s="28"/>
    </row>
    <row r="11" customFormat="false" ht="13.2" hidden="false" customHeight="true" outlineLevel="0" collapsed="false">
      <c r="A11" s="19"/>
      <c r="B11" s="36"/>
      <c r="D11" s="19" t="s">
        <v>37</v>
      </c>
      <c r="F11" s="2" t="n">
        <v>0.05</v>
      </c>
      <c r="G11" s="20" t="s">
        <v>38</v>
      </c>
      <c r="H11" s="2" t="n">
        <f aca="false">F11/12</f>
        <v>0.00416666666666667</v>
      </c>
      <c r="J11" s="15" t="s">
        <v>39</v>
      </c>
      <c r="N11" s="37" t="n">
        <f aca="false">F39/B12</f>
        <v>2659.16666666667</v>
      </c>
      <c r="O11" s="15" t="s">
        <v>40</v>
      </c>
      <c r="P11" s="38" t="n">
        <f aca="false">((N41/0.075)-(H7-(F43+H43+J43+L43+N43)))/N4</f>
        <v>31.3897414641707</v>
      </c>
      <c r="Q11" s="11"/>
      <c r="R11" s="39" t="n">
        <f aca="false">P11*N4</f>
        <v>313897.414641707</v>
      </c>
    </row>
    <row r="12" customFormat="false" ht="15" hidden="false" customHeight="true" outlineLevel="0" collapsed="false">
      <c r="A12" s="19" t="s">
        <v>41</v>
      </c>
      <c r="B12" s="2" t="n">
        <v>12</v>
      </c>
      <c r="C12" s="20" t="s">
        <v>42</v>
      </c>
      <c r="D12" s="19" t="s">
        <v>43</v>
      </c>
      <c r="F12" s="40" t="n">
        <v>30</v>
      </c>
      <c r="G12" s="20" t="s">
        <v>44</v>
      </c>
      <c r="H12" s="28" t="n">
        <f aca="false">12*F12</f>
        <v>360</v>
      </c>
      <c r="J12" s="15" t="s">
        <v>45</v>
      </c>
      <c r="N12" s="37" t="n">
        <f aca="false">F39/N4</f>
        <v>3.191</v>
      </c>
      <c r="O12" s="15" t="s">
        <v>46</v>
      </c>
      <c r="P12" s="41" t="n">
        <f aca="false">((N41/0.075)+((N41/0.075)*0.015*5)-(H7*0.81))/N4</f>
        <v>36.4424729670239</v>
      </c>
      <c r="Q12" s="11"/>
      <c r="R12" s="42" t="n">
        <f aca="false">P12*N4</f>
        <v>364424.72967024</v>
      </c>
    </row>
    <row r="13" customFormat="false" ht="15" hidden="false" customHeight="true" outlineLevel="0" collapsed="false">
      <c r="A13" s="19" t="s">
        <v>47</v>
      </c>
      <c r="B13" s="2" t="n">
        <v>500</v>
      </c>
      <c r="C13" s="20" t="s">
        <v>48</v>
      </c>
      <c r="D13" s="19" t="s">
        <v>49</v>
      </c>
      <c r="F13" s="43" t="n">
        <f aca="false">H13*12</f>
        <v>-10822.3239199247</v>
      </c>
      <c r="H13" s="44" t="n">
        <f aca="false">-(H7*(H11*((1+H11)^H12)))/(((1+H11)^H12)-1)</f>
        <v>-901.860326660395</v>
      </c>
      <c r="J13" s="15"/>
      <c r="N13" s="28"/>
      <c r="O13" s="15" t="s">
        <v>50</v>
      </c>
      <c r="P13" s="45" t="n">
        <f aca="false">(((N41/0.075)+(N41/0.075)*0.015*15)-(H7*0.51))/N4</f>
        <v>48.4662598926552</v>
      </c>
      <c r="Q13" s="11"/>
      <c r="R13" s="46" t="n">
        <f aca="false">P13*N4</f>
        <v>484662.598926552</v>
      </c>
    </row>
    <row r="14" customFormat="false" ht="16.15" hidden="false" customHeight="true" outlineLevel="0" collapsed="false">
      <c r="A14" s="47" t="s">
        <v>51</v>
      </c>
      <c r="B14" s="2" t="n">
        <f aca="false">B13*B12</f>
        <v>6000</v>
      </c>
      <c r="C14" s="48"/>
      <c r="D14" s="19" t="s">
        <v>18</v>
      </c>
      <c r="F14" s="49" t="n">
        <v>0.08</v>
      </c>
      <c r="G14" s="20" t="s">
        <v>52</v>
      </c>
      <c r="H14" s="50" t="n">
        <v>60</v>
      </c>
      <c r="I14" s="51" t="s">
        <v>53</v>
      </c>
      <c r="J14" s="52" t="s">
        <v>54</v>
      </c>
      <c r="K14" s="53"/>
      <c r="L14" s="53"/>
      <c r="M14" s="53"/>
      <c r="N14" s="2" t="n">
        <f aca="false">(F49/R6)</f>
        <v>0.266517827054049</v>
      </c>
      <c r="O14" s="15" t="s">
        <v>55</v>
      </c>
      <c r="P14" s="54" t="n">
        <f aca="false">((N41/0.075)+(N41/0.075)*0.015*25)/N4</f>
        <v>64.0180468182865</v>
      </c>
      <c r="Q14" s="26" t="s">
        <v>22</v>
      </c>
      <c r="R14" s="55" t="n">
        <f aca="false">P14*N4</f>
        <v>640180.468182865</v>
      </c>
    </row>
    <row r="15" customFormat="false" ht="12.8" hidden="false" customHeight="true" outlineLevel="0" collapsed="false">
      <c r="D15" s="52"/>
      <c r="E15" s="56"/>
      <c r="F15" s="53" t="s">
        <v>56</v>
      </c>
      <c r="G15" s="53"/>
      <c r="H15" s="57" t="s">
        <v>57</v>
      </c>
      <c r="O15" s="58" t="s">
        <v>58</v>
      </c>
      <c r="P15" s="58"/>
      <c r="Q15" s="58"/>
      <c r="R15" s="58"/>
    </row>
    <row r="16" customFormat="false" ht="12.8" hidden="false" customHeight="true" outlineLevel="0" collapsed="false">
      <c r="A16" s="1" t="s">
        <v>59</v>
      </c>
      <c r="E16" s="59" t="s">
        <v>60</v>
      </c>
      <c r="F16" s="2" t="n">
        <v>0</v>
      </c>
      <c r="G16" s="60"/>
      <c r="H16" s="2" t="n">
        <v>0.02</v>
      </c>
      <c r="I16" s="61"/>
      <c r="J16" s="2" t="n">
        <v>0.02</v>
      </c>
      <c r="L16" s="2" t="n">
        <v>0.02</v>
      </c>
      <c r="N16" s="2" t="n">
        <v>0.02</v>
      </c>
      <c r="O16" s="15"/>
      <c r="P16" s="20"/>
      <c r="Q16" s="11"/>
      <c r="R16" s="28"/>
    </row>
    <row r="17" customFormat="false" ht="12.8" hidden="false" customHeight="true" outlineLevel="0" collapsed="false">
      <c r="A17" s="1" t="s">
        <v>47</v>
      </c>
      <c r="F17" s="2" t="n">
        <f aca="false">(B13*F16)+B13</f>
        <v>500</v>
      </c>
      <c r="H17" s="2" t="n">
        <f aca="false">(F17*H16)+F17</f>
        <v>510</v>
      </c>
      <c r="I17" s="62"/>
      <c r="J17" s="2" t="n">
        <f aca="false">(H17*J16)+H17</f>
        <v>520.2</v>
      </c>
      <c r="L17" s="2" t="n">
        <f aca="false">(J17*L16)+J17</f>
        <v>530.604</v>
      </c>
      <c r="N17" s="2" t="n">
        <f aca="false">(L17*N16)+L17</f>
        <v>541.21608</v>
      </c>
      <c r="O17" s="15" t="s">
        <v>61</v>
      </c>
      <c r="P17" s="20"/>
      <c r="Q17" s="11"/>
      <c r="R17" s="63" t="n">
        <f aca="false">R14/R6</f>
        <v>7.73164816645972</v>
      </c>
    </row>
    <row r="18" customFormat="false" ht="12.8" hidden="false" customHeight="true" outlineLevel="0" collapsed="false">
      <c r="A18" s="64" t="s">
        <v>62</v>
      </c>
      <c r="B18" s="48"/>
      <c r="C18" s="48"/>
      <c r="D18" s="64"/>
      <c r="E18" s="65" t="s">
        <v>63</v>
      </c>
      <c r="F18" s="2" t="n">
        <v>0</v>
      </c>
      <c r="G18" s="66"/>
      <c r="H18" s="2" t="n">
        <v>0.025</v>
      </c>
      <c r="I18" s="67"/>
      <c r="J18" s="2" t="n">
        <v>0.025</v>
      </c>
      <c r="L18" s="2" t="n">
        <v>0.025</v>
      </c>
      <c r="N18" s="2" t="n">
        <v>0.025</v>
      </c>
      <c r="O18" s="15" t="s">
        <v>64</v>
      </c>
      <c r="P18" s="20"/>
      <c r="Q18" s="11"/>
      <c r="R18" s="63" t="n">
        <f aca="false">R17/30</f>
        <v>0.257721605548657</v>
      </c>
    </row>
    <row r="19" customFormat="false" ht="12.75" hidden="false" customHeight="true" outlineLevel="0" collapsed="false">
      <c r="F19" s="68" t="s">
        <v>5</v>
      </c>
      <c r="G19" s="68"/>
      <c r="H19" s="68"/>
      <c r="I19" s="68"/>
      <c r="J19" s="68"/>
      <c r="K19" s="68"/>
      <c r="L19" s="68"/>
      <c r="M19" s="68"/>
      <c r="N19" s="68"/>
      <c r="O19" s="52" t="s">
        <v>65</v>
      </c>
      <c r="P19" s="53"/>
      <c r="Q19" s="69"/>
      <c r="R19" s="70" t="n">
        <f aca="false">R17/360</f>
        <v>0.0214768004623881</v>
      </c>
    </row>
    <row r="20" customFormat="false" ht="15" hidden="false" customHeight="true" outlineLevel="0" collapsed="false">
      <c r="A20" s="64" t="s">
        <v>66</v>
      </c>
      <c r="B20" s="48"/>
      <c r="C20" s="48"/>
      <c r="D20" s="71" t="s">
        <v>67</v>
      </c>
      <c r="E20" s="64"/>
      <c r="F20" s="71" t="s">
        <v>68</v>
      </c>
      <c r="G20" s="71"/>
      <c r="H20" s="71" t="s">
        <v>69</v>
      </c>
      <c r="I20" s="71"/>
      <c r="J20" s="71" t="s">
        <v>70</v>
      </c>
      <c r="K20" s="71"/>
      <c r="L20" s="71" t="s">
        <v>71</v>
      </c>
      <c r="M20" s="71"/>
      <c r="N20" s="71" t="s">
        <v>72</v>
      </c>
      <c r="O20" s="72" t="s">
        <v>73</v>
      </c>
      <c r="P20" s="72"/>
      <c r="Q20" s="72"/>
      <c r="R20" s="72"/>
      <c r="S20" s="73" t="s">
        <v>74</v>
      </c>
      <c r="T20" s="73"/>
      <c r="U20" s="73"/>
      <c r="V20" s="73"/>
      <c r="W20" s="73"/>
    </row>
    <row r="21" customFormat="false" ht="12.8" hidden="false" customHeight="true" outlineLevel="0" collapsed="false">
      <c r="A21" s="1" t="s">
        <v>75</v>
      </c>
      <c r="D21" s="74" t="n">
        <f aca="false">B14</f>
        <v>6000</v>
      </c>
      <c r="E21" s="75"/>
      <c r="F21" s="62" t="n">
        <f aca="false">((12*D21)*F16)+(12*D21)</f>
        <v>72000</v>
      </c>
      <c r="H21" s="62" t="n">
        <f aca="false">(F21*H16)+F21</f>
        <v>73440</v>
      </c>
      <c r="J21" s="62" t="n">
        <f aca="false">(H21*J16)+H21</f>
        <v>74908.8</v>
      </c>
      <c r="L21" s="62" t="n">
        <f aca="false">(J21*L16)+J21</f>
        <v>76406.976</v>
      </c>
      <c r="N21" s="62" t="n">
        <f aca="false">(L21*N16)+L21</f>
        <v>77935.11552</v>
      </c>
      <c r="O21" s="15"/>
      <c r="P21" s="26" t="s">
        <v>76</v>
      </c>
      <c r="Q21" s="11"/>
      <c r="R21" s="76"/>
      <c r="S21" s="77" t="s">
        <v>77</v>
      </c>
      <c r="T21" s="77"/>
      <c r="U21" s="43" t="n">
        <f aca="false">R41</f>
        <v>-82800</v>
      </c>
      <c r="V21" s="78" t="n">
        <f aca="false">-P6</f>
        <v>-15.0545454545455</v>
      </c>
      <c r="W21" s="79" t="s">
        <v>78</v>
      </c>
    </row>
    <row r="22" customFormat="false" ht="12.8" hidden="false" customHeight="true" outlineLevel="0" collapsed="false">
      <c r="A22" s="1" t="s">
        <v>79</v>
      </c>
      <c r="B22" s="2" t="n">
        <v>0.1</v>
      </c>
      <c r="C22" s="20" t="s">
        <v>80</v>
      </c>
      <c r="D22" s="80" t="n">
        <f aca="false">-(D21*B22)</f>
        <v>-600</v>
      </c>
      <c r="E22" s="81"/>
      <c r="F22" s="82" t="n">
        <f aca="false">12*D22</f>
        <v>-7200</v>
      </c>
      <c r="G22" s="43"/>
      <c r="H22" s="82" t="n">
        <f aca="false">(F22*H16)+F22</f>
        <v>-7344</v>
      </c>
      <c r="I22" s="43"/>
      <c r="J22" s="82" t="n">
        <f aca="false">(H22*J16)+H22</f>
        <v>-7490.88</v>
      </c>
      <c r="K22" s="43"/>
      <c r="L22" s="82" t="n">
        <f aca="false">(J22*L16)+J22</f>
        <v>-7640.6976</v>
      </c>
      <c r="M22" s="43"/>
      <c r="N22" s="82" t="n">
        <f aca="false">(L22*N16)+L22</f>
        <v>-7793.511552</v>
      </c>
      <c r="O22" s="15" t="s">
        <v>81</v>
      </c>
      <c r="P22" s="83" t="n">
        <v>0.45</v>
      </c>
      <c r="Q22" s="84" t="n">
        <f aca="false">P22*F49</f>
        <v>9930.45423603387</v>
      </c>
      <c r="R22" s="27" t="n">
        <f aca="false">Q22/12</f>
        <v>827.537853002822</v>
      </c>
      <c r="S22" s="15"/>
      <c r="W22" s="28"/>
    </row>
    <row r="23" customFormat="false" ht="12.8" hidden="false" customHeight="true" outlineLevel="0" collapsed="false">
      <c r="A23" s="1" t="s">
        <v>82</v>
      </c>
      <c r="D23" s="74" t="n">
        <f aca="false">D21+D22</f>
        <v>5400</v>
      </c>
      <c r="E23" s="75"/>
      <c r="F23" s="62" t="n">
        <f aca="false">SUM(F21:F22)</f>
        <v>64800</v>
      </c>
      <c r="H23" s="62" t="n">
        <f aca="false">(F23*H16)+F23</f>
        <v>66096</v>
      </c>
      <c r="J23" s="62" t="n">
        <f aca="false">(H23*J16)+H23</f>
        <v>67417.92</v>
      </c>
      <c r="L23" s="62" t="n">
        <f aca="false">(J23*L16)+J23</f>
        <v>68766.2784</v>
      </c>
      <c r="N23" s="62" t="n">
        <f aca="false">(L23*N16)+L23</f>
        <v>70141.603968</v>
      </c>
      <c r="O23" s="85" t="s">
        <v>83</v>
      </c>
      <c r="P23" s="86" t="n">
        <f aca="false">P6*Q23</f>
        <v>67745.4545454546</v>
      </c>
      <c r="Q23" s="87" t="n">
        <f aca="false">N4-Q27</f>
        <v>4500</v>
      </c>
      <c r="R23" s="88" t="s">
        <v>84</v>
      </c>
      <c r="S23" s="89" t="s">
        <v>85</v>
      </c>
      <c r="T23" s="89"/>
      <c r="V23" s="90" t="s">
        <v>22</v>
      </c>
      <c r="W23" s="91" t="n">
        <f aca="false">U21</f>
        <v>-82800</v>
      </c>
    </row>
    <row r="24" customFormat="false" ht="12.8" hidden="false" customHeight="true" outlineLevel="0" collapsed="false">
      <c r="A24" s="1" t="s">
        <v>86</v>
      </c>
      <c r="D24" s="2" t="n">
        <f aca="false">F24/12</f>
        <v>0</v>
      </c>
      <c r="E24" s="59" t="s">
        <v>87</v>
      </c>
      <c r="F24" s="92" t="n">
        <v>0</v>
      </c>
      <c r="H24" s="93" t="n">
        <f aca="false">(F24*H16)+F24</f>
        <v>0</v>
      </c>
      <c r="J24" s="93" t="n">
        <f aca="false">(H24*J16)+H24</f>
        <v>0</v>
      </c>
      <c r="L24" s="93" t="n">
        <f aca="false">(J24*L16)+J24</f>
        <v>0</v>
      </c>
      <c r="N24" s="93" t="n">
        <f aca="false">(L24*N16)+L24</f>
        <v>0</v>
      </c>
      <c r="O24" s="15" t="s">
        <v>88</v>
      </c>
      <c r="P24" s="84" t="n">
        <f aca="false">Q23*P14</f>
        <v>288081.210682289</v>
      </c>
      <c r="R24" s="63" t="n">
        <f aca="false">N14-R28</f>
        <v>0.119933022174322</v>
      </c>
      <c r="S24" s="77" t="s">
        <v>89</v>
      </c>
      <c r="T24" s="77"/>
      <c r="U24" s="43" t="n">
        <f aca="false">F51*P26</f>
        <v>11562.5385674352</v>
      </c>
      <c r="V24" s="94" t="n">
        <f aca="false">U24/Q27</f>
        <v>2.10227973953367</v>
      </c>
      <c r="W24" s="95" t="n">
        <f aca="false">(U24/(1+F11)^5)</f>
        <v>9059.5515183862</v>
      </c>
    </row>
    <row r="25" customFormat="false" ht="12.8" hidden="false" customHeight="true" outlineLevel="0" collapsed="false">
      <c r="A25" s="34" t="s">
        <v>90</v>
      </c>
      <c r="B25" s="2" t="n">
        <v>1</v>
      </c>
      <c r="D25" s="75" t="n">
        <f aca="false">SUM(D23:D24)</f>
        <v>5400</v>
      </c>
      <c r="E25" s="75"/>
      <c r="F25" s="75" t="n">
        <f aca="false">SUM(F23:F24)</f>
        <v>64800</v>
      </c>
      <c r="G25" s="1"/>
      <c r="H25" s="75" t="n">
        <f aca="false">(F25*H16)+F25</f>
        <v>66096</v>
      </c>
      <c r="I25" s="1"/>
      <c r="J25" s="75" t="n">
        <f aca="false">(H25*J16)+H25</f>
        <v>67417.92</v>
      </c>
      <c r="K25" s="1"/>
      <c r="L25" s="75" t="n">
        <f aca="false">(J25*L16)+J25</f>
        <v>68766.2784</v>
      </c>
      <c r="M25" s="1"/>
      <c r="N25" s="75" t="n">
        <f aca="false">(L25*N16)+L25</f>
        <v>70141.603968</v>
      </c>
      <c r="O25" s="15"/>
      <c r="P25" s="11"/>
      <c r="Q25" s="11"/>
      <c r="R25" s="27"/>
      <c r="S25" s="77" t="s">
        <v>91</v>
      </c>
      <c r="T25" s="77"/>
      <c r="U25" s="43" t="n">
        <f aca="false">H51*P26</f>
        <v>11751.4249878897</v>
      </c>
      <c r="V25" s="94" t="n">
        <f aca="false">U25/Q27</f>
        <v>2.13662272507086</v>
      </c>
      <c r="W25" s="95" t="n">
        <f aca="false">(U25/(1+F11)^5)</f>
        <v>9207.5489713029</v>
      </c>
    </row>
    <row r="26" customFormat="false" ht="12.8" hidden="false" customHeight="true" outlineLevel="0" collapsed="false">
      <c r="M26" s="48"/>
      <c r="N26" s="48"/>
      <c r="O26" s="15" t="s">
        <v>92</v>
      </c>
      <c r="P26" s="96" t="n">
        <f aca="false">1-P22</f>
        <v>0.55</v>
      </c>
      <c r="Q26" s="84" t="n">
        <f aca="false">P26*F49</f>
        <v>12137.2218440414</v>
      </c>
      <c r="R26" s="27" t="n">
        <f aca="false">Q26/12</f>
        <v>1011.43515367012</v>
      </c>
      <c r="S26" s="77" t="s">
        <v>93</v>
      </c>
      <c r="T26" s="77"/>
      <c r="U26" s="43" t="n">
        <f aca="false">J51*P26</f>
        <v>11943.8669581118</v>
      </c>
      <c r="V26" s="94" t="n">
        <f aca="false">U26/Q27</f>
        <v>2.17161217420215</v>
      </c>
      <c r="W26" s="95" t="n">
        <f aca="false">(U26/(1+F11)^5)</f>
        <v>9358.33229049866</v>
      </c>
    </row>
    <row r="27" customFormat="false" ht="12.8" hidden="false" customHeight="true" outlineLevel="0" collapsed="false">
      <c r="A27" s="97" t="s">
        <v>94</v>
      </c>
      <c r="B27" s="98"/>
      <c r="C27" s="98"/>
      <c r="D27" s="97"/>
      <c r="E27" s="97"/>
      <c r="F27" s="98"/>
      <c r="G27" s="98"/>
      <c r="H27" s="98"/>
      <c r="I27" s="98"/>
      <c r="J27" s="98"/>
      <c r="K27" s="98"/>
      <c r="L27" s="98"/>
      <c r="M27" s="48"/>
      <c r="N27" s="48"/>
      <c r="O27" s="85" t="s">
        <v>95</v>
      </c>
      <c r="P27" s="86" t="n">
        <f aca="false">Q27*P6</f>
        <v>82800</v>
      </c>
      <c r="Q27" s="87" t="n">
        <f aca="false">ROUNDUP(N4*P26,0)</f>
        <v>5500</v>
      </c>
      <c r="R27" s="88" t="s">
        <v>84</v>
      </c>
      <c r="S27" s="77" t="s">
        <v>96</v>
      </c>
      <c r="T27" s="77"/>
      <c r="U27" s="43" t="n">
        <f aca="false">L51*P26</f>
        <v>12139.8460410546</v>
      </c>
      <c r="V27" s="94" t="n">
        <f aca="false">U27/Q27</f>
        <v>2.20724473473719</v>
      </c>
      <c r="W27" s="95" t="n">
        <f aca="false">(U27/(1+F11)^5)</f>
        <v>9511.88703006478</v>
      </c>
    </row>
    <row r="28" customFormat="false" ht="12.8" hidden="false" customHeight="true" outlineLevel="0" collapsed="false">
      <c r="A28" s="1" t="s">
        <v>97</v>
      </c>
      <c r="B28" s="2" t="n">
        <f aca="false">D28/D25</f>
        <v>0.000925925925925926</v>
      </c>
      <c r="D28" s="74" t="n">
        <f aca="false">F28/12</f>
        <v>5</v>
      </c>
      <c r="E28" s="59" t="s">
        <v>98</v>
      </c>
      <c r="F28" s="99" t="n">
        <v>60</v>
      </c>
      <c r="G28" s="20" t="s">
        <v>99</v>
      </c>
      <c r="H28" s="62" t="n">
        <f aca="false">(F28*H18)+F28</f>
        <v>61.5</v>
      </c>
      <c r="J28" s="62" t="n">
        <f aca="false">(H28*J18)+H28</f>
        <v>63.0375</v>
      </c>
      <c r="L28" s="62" t="n">
        <f aca="false">(J28*L18)+J28</f>
        <v>64.6134375</v>
      </c>
      <c r="N28" s="62" t="n">
        <f aca="false">(L28*N18)+L28</f>
        <v>66.2287734375</v>
      </c>
      <c r="O28" s="15" t="str">
        <f aca="false">O24</f>
        <v>Expectation:</v>
      </c>
      <c r="P28" s="84" t="n">
        <f aca="false">P14*Q27</f>
        <v>352099.257500576</v>
      </c>
      <c r="Q28" s="11"/>
      <c r="R28" s="63" t="n">
        <f aca="false">Q26/R6</f>
        <v>0.146584804879727</v>
      </c>
      <c r="S28" s="77" t="s">
        <v>100</v>
      </c>
      <c r="T28" s="77"/>
      <c r="U28" s="43" t="n">
        <f aca="false">N51*P26</f>
        <v>12339.3438265408</v>
      </c>
      <c r="V28" s="94" t="n">
        <f aca="false">U28/Q27</f>
        <v>2.24351705937106</v>
      </c>
      <c r="W28" s="95" t="n">
        <f aca="false">(U28/(1+F11)^5)</f>
        <v>9668.19876514578</v>
      </c>
    </row>
    <row r="29" customFormat="false" ht="12.8" hidden="false" customHeight="true" outlineLevel="0" collapsed="false">
      <c r="A29" s="1" t="s">
        <v>101</v>
      </c>
      <c r="B29" s="2" t="n">
        <f aca="false">D29/D25</f>
        <v>0</v>
      </c>
      <c r="D29" s="74" t="n">
        <f aca="false">F29/12</f>
        <v>0</v>
      </c>
      <c r="E29" s="59" t="s">
        <v>98</v>
      </c>
      <c r="F29" s="99" t="n">
        <v>0</v>
      </c>
      <c r="G29" s="20" t="s">
        <v>102</v>
      </c>
      <c r="H29" s="62" t="n">
        <f aca="false">(F29*H18)+F29</f>
        <v>0</v>
      </c>
      <c r="J29" s="62" t="n">
        <f aca="false">(H29*J18)+H29</f>
        <v>0</v>
      </c>
      <c r="L29" s="62" t="n">
        <f aca="false">(J29*L18)+J29</f>
        <v>0</v>
      </c>
      <c r="N29" s="62" t="n">
        <f aca="false">(L29*N18)+L29</f>
        <v>0</v>
      </c>
      <c r="O29" s="77" t="s">
        <v>103</v>
      </c>
      <c r="P29" s="77"/>
      <c r="Q29" s="84" t="n">
        <f aca="false">H5/35</f>
        <v>2057.14285714286</v>
      </c>
      <c r="R29" s="28" t="s">
        <v>104</v>
      </c>
      <c r="S29" s="77" t="s">
        <v>105</v>
      </c>
      <c r="T29" s="77"/>
      <c r="U29" s="43" t="n">
        <f aca="false">R49</f>
        <v>174221.676129082</v>
      </c>
      <c r="V29" s="94" t="n">
        <f aca="false">U29/Q27</f>
        <v>31.6766683871058</v>
      </c>
      <c r="W29" s="95" t="n">
        <f aca="false">(U29/(1+F11)^5)</f>
        <v>136507.242013129</v>
      </c>
    </row>
    <row r="30" customFormat="false" ht="12.8" hidden="false" customHeight="true" outlineLevel="0" collapsed="false">
      <c r="A30" s="1" t="s">
        <v>106</v>
      </c>
      <c r="B30" s="2" t="n">
        <f aca="false">D30/D25</f>
        <v>0</v>
      </c>
      <c r="D30" s="74" t="n">
        <f aca="false">F30/12</f>
        <v>0</v>
      </c>
      <c r="E30" s="59" t="s">
        <v>98</v>
      </c>
      <c r="F30" s="99" t="n">
        <v>0</v>
      </c>
      <c r="G30" s="20" t="s">
        <v>107</v>
      </c>
      <c r="H30" s="62" t="n">
        <f aca="false">(F30*H18)+F30</f>
        <v>0</v>
      </c>
      <c r="J30" s="62" t="n">
        <f aca="false">(H30*J18)+H30</f>
        <v>0</v>
      </c>
      <c r="L30" s="62" t="n">
        <f aca="false">(J30*L18)+J30</f>
        <v>0</v>
      </c>
      <c r="N30" s="62" t="n">
        <f aca="false">(L30*N18)+L30</f>
        <v>0</v>
      </c>
      <c r="O30" s="77" t="s">
        <v>103</v>
      </c>
      <c r="P30" s="77"/>
      <c r="Q30" s="100" t="n">
        <f aca="false">ROUND(Q29/P6,0)</f>
        <v>137</v>
      </c>
      <c r="R30" s="28" t="s">
        <v>108</v>
      </c>
      <c r="S30" s="15"/>
      <c r="W30" s="28"/>
    </row>
    <row r="31" customFormat="false" ht="12.8" hidden="false" customHeight="true" outlineLevel="0" collapsed="false">
      <c r="A31" s="1" t="s">
        <v>109</v>
      </c>
      <c r="B31" s="2" t="n">
        <f aca="false">D31/D25</f>
        <v>0</v>
      </c>
      <c r="D31" s="74" t="n">
        <f aca="false">F31/12</f>
        <v>0</v>
      </c>
      <c r="E31" s="59" t="s">
        <v>98</v>
      </c>
      <c r="F31" s="99" t="n">
        <v>0</v>
      </c>
      <c r="G31" s="20" t="s">
        <v>110</v>
      </c>
      <c r="H31" s="62" t="n">
        <f aca="false">(F31*H18)+F31</f>
        <v>0</v>
      </c>
      <c r="J31" s="62" t="n">
        <f aca="false">(H31*J18)+H31</f>
        <v>0</v>
      </c>
      <c r="L31" s="62" t="n">
        <f aca="false">(J31*L18)+J31</f>
        <v>0</v>
      </c>
      <c r="N31" s="62" t="n">
        <f aca="false">(L31*N18)+L31</f>
        <v>0</v>
      </c>
      <c r="O31" s="101" t="s">
        <v>111</v>
      </c>
      <c r="P31" s="101"/>
      <c r="Q31" s="101"/>
      <c r="R31" s="101"/>
      <c r="S31" s="15" t="s">
        <v>112</v>
      </c>
      <c r="T31" s="102" t="s">
        <v>113</v>
      </c>
      <c r="U31" s="102"/>
      <c r="V31" s="103" t="n">
        <f aca="false">SUM(V24:V29)</f>
        <v>42.5379448200208</v>
      </c>
      <c r="W31" s="95" t="n">
        <f aca="false">SUM(W24:W29)</f>
        <v>183312.760588527</v>
      </c>
    </row>
    <row r="32" customFormat="false" ht="15" hidden="false" customHeight="true" outlineLevel="0" collapsed="false">
      <c r="A32" s="1" t="s">
        <v>114</v>
      </c>
      <c r="B32" s="2" t="n">
        <f aca="false">D32/D25</f>
        <v>0</v>
      </c>
      <c r="D32" s="74" t="n">
        <f aca="false">F32/12</f>
        <v>0</v>
      </c>
      <c r="E32" s="59" t="s">
        <v>98</v>
      </c>
      <c r="F32" s="99" t="n">
        <v>0</v>
      </c>
      <c r="G32" s="20" t="s">
        <v>115</v>
      </c>
      <c r="H32" s="62" t="n">
        <f aca="false">(F32*H18)+F32</f>
        <v>0</v>
      </c>
      <c r="J32" s="62" t="n">
        <f aca="false">(H32*J18)+H32</f>
        <v>0</v>
      </c>
      <c r="L32" s="62" t="n">
        <f aca="false">(J32*L18)+J32</f>
        <v>0</v>
      </c>
      <c r="N32" s="62" t="n">
        <f aca="false">(L32*N18)+L32</f>
        <v>0</v>
      </c>
      <c r="O32" s="72" t="s">
        <v>116</v>
      </c>
      <c r="P32" s="72"/>
      <c r="Q32" s="72"/>
      <c r="R32" s="72"/>
      <c r="S32" s="15"/>
      <c r="V32" s="20"/>
      <c r="W32" s="91"/>
    </row>
    <row r="33" customFormat="false" ht="12.8" hidden="false" customHeight="true" outlineLevel="0" collapsed="false">
      <c r="A33" s="1" t="s">
        <v>117</v>
      </c>
      <c r="B33" s="2" t="n">
        <f aca="false">D33/D25</f>
        <v>0</v>
      </c>
      <c r="D33" s="74" t="n">
        <f aca="false">F33/12</f>
        <v>0</v>
      </c>
      <c r="E33" s="59" t="s">
        <v>98</v>
      </c>
      <c r="F33" s="99" t="n">
        <v>0</v>
      </c>
      <c r="G33" s="20" t="s">
        <v>118</v>
      </c>
      <c r="H33" s="62" t="n">
        <f aca="false">(F33*H18)+F33</f>
        <v>0</v>
      </c>
      <c r="J33" s="62" t="n">
        <f aca="false">(H33*J18)+H33</f>
        <v>0</v>
      </c>
      <c r="L33" s="62" t="n">
        <f aca="false">(J33*L18)+J33</f>
        <v>0</v>
      </c>
      <c r="N33" s="62" t="n">
        <f aca="false">(L33*N18)+L33</f>
        <v>0</v>
      </c>
      <c r="O33" s="104"/>
      <c r="P33" s="104"/>
      <c r="Q33" s="104"/>
      <c r="R33" s="104"/>
      <c r="S33" s="23" t="s">
        <v>119</v>
      </c>
      <c r="T33" s="102" t="s">
        <v>113</v>
      </c>
      <c r="U33" s="102"/>
      <c r="V33" s="103" t="n">
        <f aca="false">V31+V21</f>
        <v>27.4833993654753</v>
      </c>
      <c r="W33" s="95" t="n">
        <f aca="false">W31+W23</f>
        <v>100512.760588527</v>
      </c>
    </row>
    <row r="34" customFormat="false" ht="12.8" hidden="false" customHeight="true" outlineLevel="0" collapsed="false">
      <c r="A34" s="1" t="s">
        <v>120</v>
      </c>
      <c r="B34" s="2" t="n">
        <f aca="false">D34/D25</f>
        <v>0</v>
      </c>
      <c r="D34" s="74" t="n">
        <f aca="false">F34/12</f>
        <v>0</v>
      </c>
      <c r="E34" s="59" t="s">
        <v>98</v>
      </c>
      <c r="F34" s="99" t="n">
        <v>0</v>
      </c>
      <c r="G34" s="20" t="s">
        <v>121</v>
      </c>
      <c r="H34" s="62" t="n">
        <f aca="false">(F34*H18)+F34</f>
        <v>0</v>
      </c>
      <c r="J34" s="62" t="n">
        <f aca="false">(H34*J18)+H34</f>
        <v>0</v>
      </c>
      <c r="L34" s="62" t="n">
        <f aca="false">(J34*L18)+J34</f>
        <v>0</v>
      </c>
      <c r="N34" s="62" t="n">
        <f aca="false">(L34*N18)+L34</f>
        <v>0</v>
      </c>
      <c r="O34" s="104"/>
      <c r="P34" s="104"/>
      <c r="Q34" s="104"/>
      <c r="R34" s="104"/>
      <c r="S34" s="15"/>
      <c r="W34" s="76"/>
    </row>
    <row r="35" customFormat="false" ht="16.15" hidden="false" customHeight="true" outlineLevel="0" collapsed="false">
      <c r="A35" s="1" t="s">
        <v>122</v>
      </c>
      <c r="B35" s="2" t="n">
        <f aca="false">D35/D25</f>
        <v>0</v>
      </c>
      <c r="D35" s="74" t="n">
        <f aca="false">F35/12</f>
        <v>0</v>
      </c>
      <c r="E35" s="59" t="s">
        <v>98</v>
      </c>
      <c r="F35" s="99" t="n">
        <v>0</v>
      </c>
      <c r="G35" s="20" t="s">
        <v>123</v>
      </c>
      <c r="H35" s="62" t="n">
        <f aca="false">(F35*H18)+F35</f>
        <v>0</v>
      </c>
      <c r="J35" s="62" t="n">
        <f aca="false">(H35*J18)+H35</f>
        <v>0</v>
      </c>
      <c r="L35" s="62" t="n">
        <f aca="false">(J35*L18)+J35</f>
        <v>0</v>
      </c>
      <c r="N35" s="62" t="n">
        <f aca="false">(L35*N18)+L35</f>
        <v>0</v>
      </c>
      <c r="O35" s="104"/>
      <c r="P35" s="104"/>
      <c r="Q35" s="104"/>
      <c r="R35" s="104"/>
      <c r="S35" s="105" t="s">
        <v>124</v>
      </c>
      <c r="T35" s="106"/>
      <c r="U35" s="106"/>
      <c r="V35" s="106"/>
      <c r="W35" s="107" t="n">
        <f aca="false">IRR(W23:W29)</f>
        <v>0.170626734773493</v>
      </c>
    </row>
    <row r="36" customFormat="false" ht="16.15" hidden="false" customHeight="true" outlineLevel="0" collapsed="false">
      <c r="A36" s="1" t="s">
        <v>125</v>
      </c>
      <c r="B36" s="2" t="n">
        <f aca="false">D36/D25</f>
        <v>0</v>
      </c>
      <c r="D36" s="74" t="n">
        <f aca="false">F36/12</f>
        <v>0</v>
      </c>
      <c r="E36" s="59" t="s">
        <v>98</v>
      </c>
      <c r="F36" s="99" t="n">
        <v>0</v>
      </c>
      <c r="G36" s="20" t="s">
        <v>126</v>
      </c>
      <c r="H36" s="62" t="n">
        <f aca="false">(F36*H18)+F36</f>
        <v>0</v>
      </c>
      <c r="J36" s="62" t="n">
        <f aca="false">(H36*J18)+H36</f>
        <v>0</v>
      </c>
      <c r="L36" s="62" t="n">
        <f aca="false">(J36*L18)+J36</f>
        <v>0</v>
      </c>
      <c r="N36" s="62" t="n">
        <f aca="false">(L36*N18)+L36</f>
        <v>0</v>
      </c>
      <c r="O36" s="104"/>
      <c r="P36" s="104"/>
      <c r="Q36" s="104"/>
      <c r="R36" s="104"/>
      <c r="S36" s="108" t="s">
        <v>127</v>
      </c>
      <c r="T36" s="108"/>
      <c r="U36" s="108"/>
      <c r="V36" s="108"/>
      <c r="W36" s="108"/>
    </row>
    <row r="37" customFormat="false" ht="12.8" hidden="false" customHeight="true" outlineLevel="0" collapsed="false">
      <c r="A37" s="1" t="s">
        <v>128</v>
      </c>
      <c r="B37" s="2" t="n">
        <f aca="false">D37/D25</f>
        <v>0.0285493827160494</v>
      </c>
      <c r="D37" s="74" t="n">
        <f aca="false">F37/12</f>
        <v>154.166666666667</v>
      </c>
      <c r="E37" s="59" t="s">
        <v>98</v>
      </c>
      <c r="F37" s="99" t="n">
        <v>1850</v>
      </c>
      <c r="G37" s="20" t="s">
        <v>129</v>
      </c>
      <c r="H37" s="62" t="n">
        <f aca="false">(F37*H18)+F37</f>
        <v>1896.25</v>
      </c>
      <c r="J37" s="62" t="n">
        <f aca="false">(H37*J18)+H37</f>
        <v>1943.65625</v>
      </c>
      <c r="L37" s="62" t="n">
        <f aca="false">(J37*L18)+J37</f>
        <v>1992.24765625</v>
      </c>
      <c r="N37" s="62" t="n">
        <f aca="false">(L37*N18)+L37</f>
        <v>2042.05384765625</v>
      </c>
      <c r="O37" s="109"/>
      <c r="P37" s="109"/>
      <c r="Q37" s="109"/>
      <c r="R37" s="109"/>
      <c r="S37" s="22" t="s">
        <v>130</v>
      </c>
      <c r="T37" s="22"/>
      <c r="U37" s="22"/>
      <c r="V37" s="22"/>
      <c r="W37" s="22"/>
    </row>
    <row r="38" customFormat="false" ht="12.8" hidden="false" customHeight="true" outlineLevel="0" collapsed="false">
      <c r="A38" s="1" t="s">
        <v>131</v>
      </c>
      <c r="B38" s="2" t="n">
        <f aca="false">D38/D25</f>
        <v>0.462962962962963</v>
      </c>
      <c r="D38" s="110" t="n">
        <f aca="false">F38/12</f>
        <v>2500</v>
      </c>
      <c r="E38" s="59" t="s">
        <v>98</v>
      </c>
      <c r="F38" s="92" t="n">
        <v>30000</v>
      </c>
      <c r="G38" s="20" t="s">
        <v>132</v>
      </c>
      <c r="H38" s="93" t="n">
        <f aca="false">(F38*H18)+F38</f>
        <v>30750</v>
      </c>
      <c r="J38" s="93" t="n">
        <f aca="false">(H38*J18)+H38</f>
        <v>31518.75</v>
      </c>
      <c r="L38" s="93" t="n">
        <f aca="false">(J38*L18)+J38</f>
        <v>32306.71875</v>
      </c>
      <c r="N38" s="93" t="n">
        <f aca="false">(L38*N18)+L38</f>
        <v>33114.38671875</v>
      </c>
      <c r="O38" s="111"/>
      <c r="P38" s="111"/>
      <c r="Q38" s="111"/>
      <c r="R38" s="111"/>
      <c r="S38" s="101" t="s">
        <v>133</v>
      </c>
      <c r="T38" s="101"/>
      <c r="U38" s="101"/>
      <c r="V38" s="101"/>
      <c r="W38" s="101"/>
    </row>
    <row r="39" customFormat="false" ht="15" hidden="false" customHeight="true" outlineLevel="0" collapsed="false">
      <c r="A39" s="34" t="s">
        <v>134</v>
      </c>
      <c r="B39" s="112" t="n">
        <f aca="false">SUM(B28:B38)</f>
        <v>0.492438271604938</v>
      </c>
      <c r="D39" s="75" t="n">
        <f aca="false">SUM(D28:D38)</f>
        <v>2659.16666666667</v>
      </c>
      <c r="F39" s="75" t="n">
        <f aca="false">SUM(F28:F38)</f>
        <v>31910</v>
      </c>
      <c r="H39" s="75" t="n">
        <f aca="false">SUM(H28:H38)</f>
        <v>32707.75</v>
      </c>
      <c r="J39" s="75" t="n">
        <f aca="false">SUM(J28:J38)</f>
        <v>33525.44375</v>
      </c>
      <c r="L39" s="75" t="n">
        <f aca="false">SUM(L28:L38)</f>
        <v>34363.57984375</v>
      </c>
      <c r="N39" s="75" t="n">
        <f aca="false">SUM(N28:N38)</f>
        <v>35222.6693398437</v>
      </c>
      <c r="O39" s="72" t="s">
        <v>135</v>
      </c>
      <c r="P39" s="72"/>
      <c r="Q39" s="72"/>
      <c r="R39" s="72"/>
    </row>
    <row r="40" customFormat="false" ht="6" hidden="false" customHeight="true" outlineLevel="0" collapsed="false">
      <c r="M40" s="48"/>
      <c r="N40" s="48"/>
      <c r="O40" s="15"/>
      <c r="P40" s="20"/>
      <c r="Q40" s="20"/>
      <c r="R40" s="28"/>
    </row>
    <row r="41" customFormat="false" ht="15" hidden="false" customHeight="true" outlineLevel="0" collapsed="false">
      <c r="A41" s="97" t="s">
        <v>136</v>
      </c>
      <c r="B41" s="113" t="n">
        <f aca="false">100%-B39</f>
        <v>0.507561728395062</v>
      </c>
      <c r="C41" s="97"/>
      <c r="D41" s="114" t="n">
        <f aca="false">D25-D39</f>
        <v>2740.83333333333</v>
      </c>
      <c r="E41" s="115"/>
      <c r="F41" s="114" t="n">
        <f aca="false">F25-F39</f>
        <v>32890</v>
      </c>
      <c r="G41" s="115"/>
      <c r="H41" s="114" t="n">
        <f aca="false">H25-H39</f>
        <v>33388.25</v>
      </c>
      <c r="I41" s="115"/>
      <c r="J41" s="114" t="n">
        <f aca="false">J25-J39</f>
        <v>33892.47625</v>
      </c>
      <c r="K41" s="115"/>
      <c r="L41" s="114" t="n">
        <f aca="false">L25-L39</f>
        <v>34402.69855625</v>
      </c>
      <c r="M41" s="116"/>
      <c r="N41" s="114" t="n">
        <f aca="false">N25-N39</f>
        <v>34918.9346281562</v>
      </c>
      <c r="O41" s="77" t="s">
        <v>137</v>
      </c>
      <c r="P41" s="77"/>
      <c r="Q41" s="90" t="s">
        <v>138</v>
      </c>
      <c r="R41" s="44" t="n">
        <f aca="false">-R6</f>
        <v>-82800</v>
      </c>
    </row>
    <row r="42" customFormat="false" ht="12.8" hidden="false" customHeight="true" outlineLevel="0" collapsed="false">
      <c r="A42" s="1" t="s">
        <v>139</v>
      </c>
      <c r="B42" s="2" t="n">
        <f aca="false">-D42/D25</f>
        <v>0.125308641975309</v>
      </c>
      <c r="D42" s="117" t="n">
        <f aca="false">F42/12</f>
        <v>-676.666666666667</v>
      </c>
      <c r="E42" s="118"/>
      <c r="F42" s="117" t="n">
        <f aca="false">ISPMT(F11,12,H12,H7)</f>
        <v>-8120</v>
      </c>
      <c r="G42" s="118"/>
      <c r="H42" s="117" t="n">
        <f aca="false">ISPMT(F11,24,H12,H7)</f>
        <v>-7840</v>
      </c>
      <c r="I42" s="118"/>
      <c r="J42" s="117" t="n">
        <f aca="false">ISPMT(F11,36,H12,H7)</f>
        <v>-7560</v>
      </c>
      <c r="K42" s="118"/>
      <c r="L42" s="117" t="n">
        <f aca="false">ISPMT(F11,48,H12,H7)</f>
        <v>-7280</v>
      </c>
      <c r="M42" s="118"/>
      <c r="N42" s="117" t="n">
        <f aca="false">ISPMT(F11,60,H12,H7)</f>
        <v>-7000</v>
      </c>
      <c r="O42" s="15" t="s">
        <v>68</v>
      </c>
      <c r="P42" s="26" t="s">
        <v>140</v>
      </c>
      <c r="Q42" s="96" t="n">
        <f aca="false">R28</f>
        <v>0.146584804879727</v>
      </c>
      <c r="R42" s="44" t="n">
        <f aca="false">Q26</f>
        <v>12137.2218440414</v>
      </c>
    </row>
    <row r="43" customFormat="false" ht="12.8" hidden="false" customHeight="true" outlineLevel="0" collapsed="false">
      <c r="A43" s="1" t="s">
        <v>141</v>
      </c>
      <c r="D43" s="75" t="n">
        <f aca="false">D42-H13</f>
        <v>225.193659993728</v>
      </c>
      <c r="E43" s="75"/>
      <c r="F43" s="75" t="n">
        <f aca="false">F42-F13</f>
        <v>2702.32391992474</v>
      </c>
      <c r="G43" s="62"/>
      <c r="H43" s="75" t="n">
        <f aca="false">H42-F13</f>
        <v>2982.32391992474</v>
      </c>
      <c r="I43" s="62"/>
      <c r="J43" s="75" t="n">
        <f aca="false">J42-F13</f>
        <v>3262.32391992474</v>
      </c>
      <c r="K43" s="62"/>
      <c r="L43" s="75" t="n">
        <f aca="false">L42-F13</f>
        <v>3542.32391992474</v>
      </c>
      <c r="M43" s="62"/>
      <c r="N43" s="75" t="n">
        <f aca="false">N42-F13</f>
        <v>3822.32391992474</v>
      </c>
      <c r="O43" s="15" t="s">
        <v>69</v>
      </c>
      <c r="P43" s="26" t="s">
        <v>140</v>
      </c>
      <c r="Q43" s="96" t="n">
        <f aca="false">(H49/R6)*P26</f>
        <v>0.149894436522239</v>
      </c>
      <c r="R43" s="44" t="n">
        <f aca="false">H49*P26</f>
        <v>12411.2593440414</v>
      </c>
    </row>
    <row r="44" customFormat="false" ht="12.8" hidden="false" customHeight="true" outlineLevel="0" collapsed="false">
      <c r="A44" s="1" t="s">
        <v>18</v>
      </c>
      <c r="B44" s="2" t="n">
        <f aca="false">-D44/D25</f>
        <v>0</v>
      </c>
      <c r="D44" s="119" t="n">
        <f aca="false">F44/12</f>
        <v>-0</v>
      </c>
      <c r="F44" s="117" t="n">
        <f aca="false">-H6*F14</f>
        <v>-0</v>
      </c>
      <c r="H44" s="117" t="n">
        <f aca="false">-H6*F14</f>
        <v>-0</v>
      </c>
      <c r="J44" s="117" t="n">
        <f aca="false">-H6*F14</f>
        <v>-0</v>
      </c>
      <c r="L44" s="117" t="n">
        <f aca="false">-H6*F14</f>
        <v>-0</v>
      </c>
      <c r="N44" s="117" t="n">
        <f aca="false">-H6*F14</f>
        <v>-0</v>
      </c>
      <c r="O44" s="15" t="s">
        <v>70</v>
      </c>
      <c r="P44" s="26" t="s">
        <v>140</v>
      </c>
      <c r="Q44" s="96" t="n">
        <f aca="false">(J49/R6)*P26</f>
        <v>0.153243765477553</v>
      </c>
      <c r="R44" s="44" t="n">
        <f aca="false">J49*P26</f>
        <v>12688.5837815414</v>
      </c>
    </row>
    <row r="45" customFormat="false" ht="12.8" hidden="false" customHeight="true" outlineLevel="0" collapsed="false">
      <c r="A45" s="1" t="s">
        <v>142</v>
      </c>
      <c r="D45" s="119"/>
      <c r="F45" s="120" t="n">
        <f aca="false">SUM(F44+F42)</f>
        <v>-8120</v>
      </c>
      <c r="G45" s="121"/>
      <c r="H45" s="120" t="n">
        <f aca="false">SUM(H44+H42)</f>
        <v>-7840</v>
      </c>
      <c r="I45" s="121"/>
      <c r="J45" s="120" t="n">
        <f aca="false">SUM(J44+J42)</f>
        <v>-7560</v>
      </c>
      <c r="K45" s="121"/>
      <c r="L45" s="120" t="n">
        <f aca="false">SUM(L44+L42)</f>
        <v>-7280</v>
      </c>
      <c r="M45" s="121"/>
      <c r="N45" s="120" t="n">
        <f aca="false">SUM(N44+N42)</f>
        <v>-7000</v>
      </c>
      <c r="O45" s="15" t="s">
        <v>71</v>
      </c>
      <c r="P45" s="26" t="s">
        <v>140</v>
      </c>
      <c r="Q45" s="96" t="n">
        <f aca="false">(L49/R6)*P26</f>
        <v>0.156632923308924</v>
      </c>
      <c r="R45" s="44" t="n">
        <f aca="false">L49*P26</f>
        <v>12969.2060499789</v>
      </c>
    </row>
    <row r="46" customFormat="false" ht="12.8" hidden="false" customHeight="true" outlineLevel="0" collapsed="false">
      <c r="A46" s="1" t="s">
        <v>143</v>
      </c>
      <c r="B46" s="2" t="n">
        <v>0.15</v>
      </c>
      <c r="D46" s="122" t="s">
        <v>144</v>
      </c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5" t="s">
        <v>72</v>
      </c>
      <c r="P46" s="26" t="s">
        <v>140</v>
      </c>
      <c r="Q46" s="96" t="n">
        <f aca="false">(N49/R6)*P26</f>
        <v>0.160062027651296</v>
      </c>
      <c r="R46" s="44" t="n">
        <f aca="false">N49*P26</f>
        <v>13253.1358895273</v>
      </c>
    </row>
    <row r="47" customFormat="false" ht="12.8" hidden="false" customHeight="true" outlineLevel="0" collapsed="false">
      <c r="A47" s="1" t="s">
        <v>145</v>
      </c>
      <c r="D47" s="123" t="n">
        <f aca="false">F47/12</f>
        <v>581.818181818181</v>
      </c>
      <c r="F47" s="62" t="n">
        <f aca="false">VDB(B6,B5,27.5,0,1,1)</f>
        <v>6981.81818181818</v>
      </c>
      <c r="G47" s="62"/>
      <c r="H47" s="62" t="n">
        <f aca="false">VDB(B6,B5,27.5,1,2,1)</f>
        <v>6727.93388429753</v>
      </c>
      <c r="I47" s="62"/>
      <c r="J47" s="62" t="n">
        <f aca="false">VDB(B6,B5,27.5,2,3,1)</f>
        <v>6483.28174305035</v>
      </c>
      <c r="K47" s="62"/>
      <c r="L47" s="62" t="n">
        <f aca="false">VDB(B6,B5,27.5,3,4,1)</f>
        <v>6247.52604330305</v>
      </c>
      <c r="M47" s="62"/>
      <c r="N47" s="62" t="n">
        <f aca="false">VDB(B6,B5,27.5,4,5,1)</f>
        <v>6020.34327809204</v>
      </c>
      <c r="O47" s="15" t="s">
        <v>146</v>
      </c>
      <c r="P47" s="26" t="s">
        <v>147</v>
      </c>
      <c r="Q47" s="2" t="s">
        <v>148</v>
      </c>
      <c r="R47" s="44" t="n">
        <f aca="false">(N41/0.075)*0.7</f>
        <v>325910.056529458</v>
      </c>
    </row>
    <row r="48" customFormat="false" ht="12.8" hidden="false" customHeight="true" outlineLevel="0" collapsed="false">
      <c r="A48" s="1" t="s">
        <v>149</v>
      </c>
      <c r="F48" s="124" t="n">
        <f aca="false">-F45+F47</f>
        <v>15101.8181818182</v>
      </c>
      <c r="G48" s="124"/>
      <c r="H48" s="124" t="n">
        <f aca="false">-H45+H47</f>
        <v>14567.9338842975</v>
      </c>
      <c r="I48" s="124"/>
      <c r="J48" s="124" t="n">
        <f aca="false">-J45+J47</f>
        <v>14043.2817430504</v>
      </c>
      <c r="K48" s="124"/>
      <c r="L48" s="124" t="n">
        <f aca="false">-L45+L47</f>
        <v>13527.526043303</v>
      </c>
      <c r="M48" s="124"/>
      <c r="N48" s="124" t="n">
        <f aca="false">-N45+N47</f>
        <v>13020.343278092</v>
      </c>
      <c r="O48" s="15"/>
      <c r="P48" s="26" t="s">
        <v>150</v>
      </c>
      <c r="Q48" s="20"/>
      <c r="R48" s="44" t="n">
        <f aca="false">-(H7-(F43+H43+J43+L43+N43)+H6)</f>
        <v>-151688.380400376</v>
      </c>
    </row>
    <row r="49" customFormat="false" ht="15" hidden="false" customHeight="true" outlineLevel="0" collapsed="false">
      <c r="A49" s="1" t="s">
        <v>151</v>
      </c>
      <c r="D49" s="125" t="n">
        <f aca="false">F49/12</f>
        <v>1838.97300667294</v>
      </c>
      <c r="E49" s="125"/>
      <c r="F49" s="125" t="n">
        <f aca="false">(F41+(F13+F44))</f>
        <v>22067.6760800753</v>
      </c>
      <c r="G49" s="126"/>
      <c r="H49" s="125" t="n">
        <f aca="false">(H41+(F13+H44))</f>
        <v>22565.9260800753</v>
      </c>
      <c r="I49" s="126"/>
      <c r="J49" s="125" t="n">
        <f aca="false">(J41+(F13+J44))</f>
        <v>23070.1523300753</v>
      </c>
      <c r="K49" s="126"/>
      <c r="L49" s="125" t="n">
        <f aca="false">(L41+(F13+L44))</f>
        <v>23580.3746363253</v>
      </c>
      <c r="M49" s="126"/>
      <c r="N49" s="125" t="n">
        <f aca="false">(N41+(F13+N44))</f>
        <v>24096.6107082315</v>
      </c>
      <c r="O49" s="15" t="s">
        <v>152</v>
      </c>
      <c r="P49" s="11"/>
      <c r="Q49" s="20"/>
      <c r="R49" s="44" t="n">
        <f aca="false">(R47+R48)</f>
        <v>174221.676129082</v>
      </c>
    </row>
    <row r="50" customFormat="false" ht="12.8" hidden="false" customHeight="true" outlineLevel="0" collapsed="false">
      <c r="A50" s="1" t="s">
        <v>153</v>
      </c>
      <c r="D50" s="75"/>
      <c r="E50" s="75"/>
      <c r="F50" s="117" t="n">
        <f aca="false">IF(F49&lt;F48,0,-((F49-F48)*B46))</f>
        <v>-1044.87868473856</v>
      </c>
      <c r="G50" s="43"/>
      <c r="H50" s="117" t="n">
        <f aca="false">IF(H49&lt;H48,0,-((H49-H48)*B46))</f>
        <v>-1199.69882936666</v>
      </c>
      <c r="I50" s="43"/>
      <c r="J50" s="43" t="n">
        <f aca="false">IF(J49&lt;J48,0,-((J49-J48)*B46))</f>
        <v>-1354.03058805374</v>
      </c>
      <c r="K50" s="43"/>
      <c r="L50" s="43" t="n">
        <f aca="false">IF(L49&lt;L48,0,-((L49-L48)*B46))</f>
        <v>-1507.92728895333</v>
      </c>
      <c r="M50" s="43"/>
      <c r="N50" s="43" t="n">
        <f aca="false">IF(N49&lt;N48,0,-((N49-N48)*B46))</f>
        <v>-1661.44011452092</v>
      </c>
      <c r="O50" s="127" t="s">
        <v>154</v>
      </c>
      <c r="P50" s="69"/>
      <c r="Q50" s="53"/>
      <c r="R50" s="128" t="n">
        <f aca="false">R42+R43+R44+R45+R46+R49</f>
        <v>237681.083038212</v>
      </c>
    </row>
    <row r="51" customFormat="false" ht="18.55" hidden="false" customHeight="true" outlineLevel="0" collapsed="false">
      <c r="A51" s="129" t="s">
        <v>155</v>
      </c>
      <c r="B51" s="130"/>
      <c r="C51" s="130"/>
      <c r="D51" s="131" t="n">
        <f aca="false">F51/12</f>
        <v>1751.89978294473</v>
      </c>
      <c r="E51" s="131"/>
      <c r="F51" s="131" t="n">
        <f aca="false">F49+F50</f>
        <v>21022.7973953367</v>
      </c>
      <c r="G51" s="131"/>
      <c r="H51" s="131" t="n">
        <f aca="false">H49+H50</f>
        <v>21366.2272507086</v>
      </c>
      <c r="I51" s="131"/>
      <c r="J51" s="131" t="n">
        <f aca="false">J49+J50</f>
        <v>21716.1217420215</v>
      </c>
      <c r="K51" s="131"/>
      <c r="L51" s="131" t="n">
        <f aca="false">L49+L50</f>
        <v>22072.4473473719</v>
      </c>
      <c r="M51" s="131"/>
      <c r="N51" s="131" t="n">
        <f aca="false">N49+N50</f>
        <v>22435.1705937106</v>
      </c>
      <c r="O51" s="132" t="s">
        <v>156</v>
      </c>
      <c r="P51" s="133"/>
      <c r="Q51" s="133"/>
      <c r="R51" s="134" t="n">
        <f aca="false">((-R50)/R41)</f>
        <v>2.87054448113783</v>
      </c>
    </row>
    <row r="52" s="2" customFormat="true" ht="12.8" hidden="false" customHeight="true" outlineLevel="0" collapsed="false"/>
    <row r="53" customFormat="false" ht="14.65" hidden="false" customHeight="true" outlineLevel="0" collapsed="false">
      <c r="F53" s="43"/>
      <c r="G53" s="43"/>
      <c r="H53" s="43"/>
      <c r="I53" s="43"/>
      <c r="J53" s="43"/>
      <c r="K53" s="43"/>
      <c r="L53" s="43"/>
      <c r="M53" s="43"/>
      <c r="N53" s="43"/>
    </row>
    <row r="54" s="1" customFormat="true" ht="14.65" hidden="false" customHeight="true" outlineLevel="0" collapsed="false">
      <c r="A54" s="135"/>
      <c r="B54" s="135"/>
      <c r="C54" s="135"/>
      <c r="D54" s="135"/>
      <c r="E54" s="135"/>
      <c r="F54" s="2"/>
      <c r="G54" s="136"/>
      <c r="H54" s="2"/>
      <c r="I54" s="136"/>
      <c r="J54" s="2"/>
      <c r="K54" s="136"/>
      <c r="L54" s="2"/>
      <c r="M54" s="136"/>
      <c r="N54" s="2"/>
    </row>
    <row r="58" customFormat="false" ht="12.8" hidden="false" customHeight="true" outlineLevel="0" collapsed="false"/>
  </sheetData>
  <mergeCells count="38">
    <mergeCell ref="A1:N1"/>
    <mergeCell ref="A2:N2"/>
    <mergeCell ref="A3:B3"/>
    <mergeCell ref="D3:H3"/>
    <mergeCell ref="J3:N3"/>
    <mergeCell ref="S3:Z3"/>
    <mergeCell ref="O4:R4"/>
    <mergeCell ref="O5:R5"/>
    <mergeCell ref="O15:R15"/>
    <mergeCell ref="F19:N19"/>
    <mergeCell ref="O20:R20"/>
    <mergeCell ref="S20:W20"/>
    <mergeCell ref="S21:T21"/>
    <mergeCell ref="S23:T23"/>
    <mergeCell ref="S24:T24"/>
    <mergeCell ref="S25:T25"/>
    <mergeCell ref="S26:T26"/>
    <mergeCell ref="S27:T27"/>
    <mergeCell ref="S28:T28"/>
    <mergeCell ref="O29:P29"/>
    <mergeCell ref="S29:T29"/>
    <mergeCell ref="O30:P30"/>
    <mergeCell ref="O31:R31"/>
    <mergeCell ref="T31:U31"/>
    <mergeCell ref="O32:R32"/>
    <mergeCell ref="O33:R33"/>
    <mergeCell ref="T33:U33"/>
    <mergeCell ref="O34:R34"/>
    <mergeCell ref="O35:R35"/>
    <mergeCell ref="O36:R36"/>
    <mergeCell ref="S36:W36"/>
    <mergeCell ref="O37:R37"/>
    <mergeCell ref="S37:W37"/>
    <mergeCell ref="O38:R38"/>
    <mergeCell ref="S38:W38"/>
    <mergeCell ref="O39:R39"/>
    <mergeCell ref="O41:P41"/>
    <mergeCell ref="D46:N46"/>
  </mergeCells>
  <printOptions headings="false" gridLines="false" gridLinesSet="true" horizontalCentered="true" verticalCentered="true"/>
  <pageMargins left="0.747916666666667" right="0.747916666666667" top="0.661111111111111" bottom="0.0979166666666667" header="0.177083333333333" footer="0.511805555555555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&amp;C&amp;"Arial,Bold"&amp;12 ASKING ANALYSIS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0" ySplit="19" topLeftCell="A20" activePane="bottomLeft" state="frozen"/>
      <selection pane="topLeft" activeCell="A1" activeCellId="0" sqref="A1"/>
      <selection pane="bottom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1" width="32.9"/>
    <col collapsed="false" customWidth="true" hidden="false" outlineLevel="0" max="2" min="2" style="2" width="14.49"/>
    <col collapsed="false" customWidth="true" hidden="false" outlineLevel="0" max="3" min="3" style="2" width="2.57"/>
    <col collapsed="false" customWidth="true" hidden="false" outlineLevel="0" max="4" min="4" style="1" width="14.78"/>
    <col collapsed="false" customWidth="true" hidden="false" outlineLevel="0" max="5" min="5" style="1" width="2.07"/>
    <col collapsed="false" customWidth="true" hidden="false" outlineLevel="0" max="6" min="6" style="2" width="13.49"/>
    <col collapsed="false" customWidth="true" hidden="false" outlineLevel="0" max="7" min="7" style="2" width="2.07"/>
    <col collapsed="false" customWidth="true" hidden="false" outlineLevel="0" max="8" min="8" style="2" width="13.78"/>
    <col collapsed="false" customWidth="true" hidden="false" outlineLevel="0" max="9" min="9" style="2" width="1.92"/>
    <col collapsed="false" customWidth="true" hidden="false" outlineLevel="0" max="10" min="10" style="2" width="15.08"/>
    <col collapsed="false" customWidth="true" hidden="false" outlineLevel="0" max="11" min="11" style="2" width="1.92"/>
    <col collapsed="false" customWidth="true" hidden="false" outlineLevel="0" max="12" min="12" style="2" width="12.06"/>
    <col collapsed="false" customWidth="true" hidden="false" outlineLevel="0" max="13" min="13" style="2" width="2.38"/>
    <col collapsed="false" customWidth="true" hidden="false" outlineLevel="0" max="14" min="14" style="2" width="14.62"/>
    <col collapsed="false" customWidth="true" hidden="false" outlineLevel="0" max="15" min="15" style="2" width="14.68"/>
    <col collapsed="false" customWidth="true" hidden="false" outlineLevel="0" max="16" min="16" style="2" width="15.48"/>
    <col collapsed="false" customWidth="true" hidden="false" outlineLevel="0" max="17" min="17" style="2" width="10.92"/>
    <col collapsed="false" customWidth="true" hidden="false" outlineLevel="0" max="18" min="18" style="2" width="12.48"/>
    <col collapsed="false" customWidth="true" hidden="false" outlineLevel="0" max="20" min="19" style="2" width="8.7"/>
    <col collapsed="false" customWidth="true" hidden="false" outlineLevel="0" max="21" min="21" style="2" width="10.73"/>
    <col collapsed="false" customWidth="true" hidden="false" outlineLevel="0" max="22" min="22" style="2" width="8.7"/>
    <col collapsed="false" customWidth="true" hidden="false" outlineLevel="0" max="23" min="23" style="2" width="10.92"/>
    <col collapsed="false" customWidth="true" hidden="false" outlineLevel="0" max="1025" min="24" style="2" width="8.7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7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customFormat="false" ht="17" hidden="false" customHeight="true" outlineLevel="0" collapsed="false">
      <c r="A3" s="7" t="s">
        <v>2</v>
      </c>
      <c r="B3" s="7"/>
      <c r="C3" s="6"/>
      <c r="D3" s="7" t="s">
        <v>3</v>
      </c>
      <c r="E3" s="7"/>
      <c r="F3" s="7"/>
      <c r="G3" s="7"/>
      <c r="H3" s="7"/>
      <c r="I3" s="6"/>
      <c r="J3" s="7" t="s">
        <v>4</v>
      </c>
      <c r="K3" s="7"/>
      <c r="L3" s="7"/>
      <c r="M3" s="7"/>
      <c r="N3" s="7"/>
    </row>
    <row r="4" customFormat="false" ht="12.8" hidden="false" customHeight="true" outlineLevel="0" collapsed="false">
      <c r="A4" s="9" t="s">
        <v>6</v>
      </c>
      <c r="B4" s="10" t="n">
        <f aca="false">Current!B4</f>
        <v>240000</v>
      </c>
      <c r="C4" s="11" t="s">
        <v>7</v>
      </c>
      <c r="D4" s="19" t="s">
        <v>8</v>
      </c>
      <c r="F4" s="2" t="n">
        <v>1</v>
      </c>
      <c r="H4" s="2" t="n">
        <f aca="false">B4-B7</f>
        <v>240000</v>
      </c>
      <c r="J4" s="15" t="s">
        <v>9</v>
      </c>
      <c r="M4" s="16" t="s">
        <v>10</v>
      </c>
      <c r="N4" s="17" t="n">
        <f aca="false">Current!N4</f>
        <v>10000</v>
      </c>
      <c r="O4" s="18" t="s">
        <v>11</v>
      </c>
      <c r="P4" s="18"/>
      <c r="Q4" s="18"/>
      <c r="R4" s="18"/>
    </row>
    <row r="5" customFormat="false" ht="12.8" hidden="false" customHeight="true" outlineLevel="0" collapsed="false">
      <c r="A5" s="19" t="s">
        <v>12</v>
      </c>
      <c r="B5" s="2" t="n">
        <f aca="false">B4*0.2</f>
        <v>48000</v>
      </c>
      <c r="D5" s="19" t="s">
        <v>13</v>
      </c>
      <c r="F5" s="2" t="n">
        <v>0.2</v>
      </c>
      <c r="G5" s="20" t="s">
        <v>14</v>
      </c>
      <c r="H5" s="2" t="n">
        <f aca="false">H4*F5</f>
        <v>48000</v>
      </c>
      <c r="J5" s="15" t="s">
        <v>15</v>
      </c>
      <c r="N5" s="21" t="n">
        <f aca="false">N4/B12</f>
        <v>833.333333333333</v>
      </c>
      <c r="O5" s="22" t="s">
        <v>16</v>
      </c>
      <c r="P5" s="22"/>
      <c r="Q5" s="22"/>
      <c r="R5" s="22"/>
    </row>
    <row r="6" s="2" customFormat="true" ht="12.8" hidden="false" customHeight="true" outlineLevel="0" collapsed="false">
      <c r="A6" s="19" t="s">
        <v>17</v>
      </c>
      <c r="B6" s="2" t="n">
        <f aca="false">B4*0.8</f>
        <v>192000</v>
      </c>
      <c r="D6" s="23" t="s">
        <v>18</v>
      </c>
      <c r="F6" s="24" t="n">
        <v>0.1</v>
      </c>
      <c r="G6" s="20" t="s">
        <v>19</v>
      </c>
      <c r="H6" s="2" t="n">
        <f aca="false">F6*H4</f>
        <v>24000</v>
      </c>
      <c r="J6" s="15" t="s">
        <v>20</v>
      </c>
      <c r="N6" s="2" t="n">
        <f aca="false">B14/N4</f>
        <v>0.6</v>
      </c>
      <c r="O6" s="15" t="s">
        <v>21</v>
      </c>
      <c r="P6" s="25" t="n">
        <f aca="false">(H5+((H4*0.035)+(H4*0.01)))/Q27</f>
        <v>10.6909090909091</v>
      </c>
      <c r="Q6" s="26" t="s">
        <v>22</v>
      </c>
      <c r="R6" s="27" t="n">
        <f aca="false">P6*Q27</f>
        <v>58800</v>
      </c>
    </row>
    <row r="7" customFormat="false" ht="12.8" hidden="false" customHeight="true" outlineLevel="0" collapsed="false">
      <c r="A7" s="19" t="s">
        <v>23</v>
      </c>
      <c r="B7" s="2" t="n">
        <f aca="false">Current!B7</f>
        <v>0</v>
      </c>
      <c r="D7" s="19" t="s">
        <v>24</v>
      </c>
      <c r="F7" s="2" t="n">
        <f aca="false">F4-(F5+F6)</f>
        <v>0.7</v>
      </c>
      <c r="H7" s="2" t="n">
        <f aca="false">H4-(H5+H6)</f>
        <v>168000</v>
      </c>
      <c r="J7" s="15" t="s">
        <v>25</v>
      </c>
      <c r="N7" s="2" t="n">
        <f aca="false">B10/N4</f>
        <v>24.864</v>
      </c>
      <c r="O7" s="15" t="s">
        <v>26</v>
      </c>
      <c r="P7" s="20"/>
      <c r="Q7" s="11"/>
      <c r="R7" s="27" t="n">
        <f aca="false">H4*0.035</f>
        <v>8400</v>
      </c>
    </row>
    <row r="8" customFormat="false" ht="12.8" hidden="false" customHeight="true" outlineLevel="0" collapsed="false">
      <c r="A8" s="19" t="s">
        <v>27</v>
      </c>
      <c r="B8" s="2" t="n">
        <f aca="false">((B5+B6)*0.035)</f>
        <v>8400</v>
      </c>
      <c r="D8" s="19"/>
      <c r="H8" s="28"/>
      <c r="J8" s="15" t="s">
        <v>28</v>
      </c>
      <c r="N8" s="2" t="n">
        <f aca="false">H4/B12</f>
        <v>20000</v>
      </c>
      <c r="O8" s="15" t="s">
        <v>29</v>
      </c>
      <c r="P8" s="20"/>
      <c r="Q8" s="11"/>
      <c r="R8" s="27" t="n">
        <f aca="false">H4*0.01</f>
        <v>2400</v>
      </c>
    </row>
    <row r="9" s="2" customFormat="true" ht="12.8" hidden="false" customHeight="true" outlineLevel="0" collapsed="false">
      <c r="A9" s="29" t="s">
        <v>30</v>
      </c>
      <c r="B9" s="30" t="n">
        <f aca="false">B4*0.001</f>
        <v>240</v>
      </c>
      <c r="J9" s="15" t="s">
        <v>31</v>
      </c>
      <c r="L9" s="31"/>
      <c r="M9" s="31"/>
      <c r="N9" s="2" t="n">
        <f aca="false">F41/B4</f>
        <v>0.137041666666667</v>
      </c>
      <c r="O9" s="15" t="s">
        <v>32</v>
      </c>
      <c r="P9" s="20"/>
      <c r="Q9" s="11"/>
      <c r="R9" s="32" t="n">
        <f aca="false">R6-R7-R8</f>
        <v>48000</v>
      </c>
    </row>
    <row r="10" customFormat="false" ht="12.8" hidden="false" customHeight="true" outlineLevel="0" collapsed="false">
      <c r="A10" s="33" t="s">
        <v>33</v>
      </c>
      <c r="B10" s="2" t="n">
        <f aca="false">SUM(B5:B9)-B7</f>
        <v>248640</v>
      </c>
      <c r="D10" s="19"/>
      <c r="F10" s="34" t="s">
        <v>34</v>
      </c>
      <c r="G10" s="34"/>
      <c r="H10" s="35" t="s">
        <v>35</v>
      </c>
      <c r="I10" s="34"/>
      <c r="J10" s="15" t="s">
        <v>36</v>
      </c>
      <c r="L10" s="31"/>
      <c r="M10" s="31"/>
      <c r="N10" s="2" t="n">
        <f aca="false">H4/F25</f>
        <v>3.7037037037037</v>
      </c>
      <c r="O10" s="15"/>
      <c r="P10" s="20"/>
      <c r="Q10" s="20"/>
      <c r="R10" s="28"/>
    </row>
    <row r="11" customFormat="false" ht="13.2" hidden="false" customHeight="true" outlineLevel="0" collapsed="false">
      <c r="A11" s="19"/>
      <c r="B11" s="36"/>
      <c r="D11" s="19" t="s">
        <v>37</v>
      </c>
      <c r="F11" s="2" t="n">
        <v>0.05</v>
      </c>
      <c r="G11" s="20" t="s">
        <v>38</v>
      </c>
      <c r="H11" s="2" t="n">
        <f aca="false">F11/12</f>
        <v>0.00416666666666667</v>
      </c>
      <c r="J11" s="15" t="s">
        <v>39</v>
      </c>
      <c r="N11" s="37" t="n">
        <f aca="false">F39/B12</f>
        <v>2659.16666666667</v>
      </c>
      <c r="O11" s="15" t="s">
        <v>40</v>
      </c>
      <c r="P11" s="38" t="n">
        <f aca="false">((N41/0.075)-(H7-(F43+H43+J43+L43+N43)))/N4</f>
        <v>37.7184625599624</v>
      </c>
      <c r="Q11" s="11"/>
      <c r="R11" s="39" t="n">
        <f aca="false">P11*N4</f>
        <v>377184.625599624</v>
      </c>
    </row>
    <row r="12" customFormat="false" ht="15" hidden="false" customHeight="true" outlineLevel="0" collapsed="false">
      <c r="A12" s="19" t="s">
        <v>41</v>
      </c>
      <c r="B12" s="2" t="n">
        <f aca="false">Current!B12</f>
        <v>12</v>
      </c>
      <c r="C12" s="20" t="s">
        <v>42</v>
      </c>
      <c r="D12" s="19" t="s">
        <v>43</v>
      </c>
      <c r="F12" s="40" t="n">
        <v>30</v>
      </c>
      <c r="G12" s="20" t="s">
        <v>44</v>
      </c>
      <c r="H12" s="28" t="n">
        <f aca="false">12*F12</f>
        <v>360</v>
      </c>
      <c r="J12" s="15" t="s">
        <v>45</v>
      </c>
      <c r="N12" s="37" t="n">
        <f aca="false">F39/N4</f>
        <v>3.191</v>
      </c>
      <c r="O12" s="15" t="s">
        <v>46</v>
      </c>
      <c r="P12" s="41" t="n">
        <f aca="false">((N41/0.075)+((N41/0.075)*0.015*5)-(H7*0.81))/N4</f>
        <v>43.245848145</v>
      </c>
      <c r="Q12" s="11"/>
      <c r="R12" s="42" t="n">
        <f aca="false">P12*N4</f>
        <v>432458.48145</v>
      </c>
    </row>
    <row r="13" customFormat="false" ht="15" hidden="false" customHeight="true" outlineLevel="0" collapsed="false">
      <c r="A13" s="19" t="s">
        <v>47</v>
      </c>
      <c r="B13" s="2" t="n">
        <f aca="false">Current!B13</f>
        <v>500</v>
      </c>
      <c r="C13" s="20" t="s">
        <v>48</v>
      </c>
      <c r="D13" s="19" t="s">
        <v>49</v>
      </c>
      <c r="F13" s="43" t="n">
        <f aca="false">H13*12</f>
        <v>-10822.3239199247</v>
      </c>
      <c r="H13" s="44" t="n">
        <f aca="false">-(H7*(H11*((1+H11)^H12)))/(((1+H11)^H12)-1)</f>
        <v>-901.860326660395</v>
      </c>
      <c r="J13" s="15"/>
      <c r="N13" s="28"/>
      <c r="O13" s="15" t="s">
        <v>50</v>
      </c>
      <c r="P13" s="45" t="n">
        <f aca="false">(((N41/0.075)+(N41/0.075)*0.015*15)-(H7*0.51))/N4</f>
        <v>56.218943235</v>
      </c>
      <c r="Q13" s="11"/>
      <c r="R13" s="46" t="n">
        <f aca="false">P13*N4</f>
        <v>562189.43235</v>
      </c>
    </row>
    <row r="14" customFormat="false" ht="16.15" hidden="false" customHeight="true" outlineLevel="0" collapsed="false">
      <c r="A14" s="47" t="s">
        <v>51</v>
      </c>
      <c r="B14" s="2" t="n">
        <f aca="false">B13*B12</f>
        <v>6000</v>
      </c>
      <c r="C14" s="48"/>
      <c r="D14" s="19" t="s">
        <v>18</v>
      </c>
      <c r="F14" s="137" t="n">
        <v>0.08</v>
      </c>
      <c r="G14" s="20" t="s">
        <v>52</v>
      </c>
      <c r="H14" s="138" t="n">
        <v>60</v>
      </c>
      <c r="I14" s="51" t="s">
        <v>53</v>
      </c>
      <c r="J14" s="52" t="s">
        <v>54</v>
      </c>
      <c r="K14" s="53"/>
      <c r="L14" s="53"/>
      <c r="M14" s="53"/>
      <c r="N14" s="2" t="n">
        <f aca="false">(F49/R6)</f>
        <v>0.342647552382232</v>
      </c>
      <c r="O14" s="15" t="s">
        <v>55</v>
      </c>
      <c r="P14" s="54" t="n">
        <f aca="false">((N41/0.075)+(N41/0.075)*0.015*25)/N4</f>
        <v>72.720038325</v>
      </c>
      <c r="Q14" s="26" t="s">
        <v>22</v>
      </c>
      <c r="R14" s="55" t="n">
        <f aca="false">P14*N4</f>
        <v>727200.38325</v>
      </c>
    </row>
    <row r="15" customFormat="false" ht="12.8" hidden="false" customHeight="true" outlineLevel="0" collapsed="false">
      <c r="D15" s="2"/>
      <c r="F15" s="139" t="s">
        <v>56</v>
      </c>
      <c r="H15" s="140" t="s">
        <v>57</v>
      </c>
      <c r="O15" s="58" t="s">
        <v>58</v>
      </c>
      <c r="P15" s="58"/>
      <c r="Q15" s="58"/>
      <c r="R15" s="58"/>
    </row>
    <row r="16" customFormat="false" ht="12.8" hidden="false" customHeight="true" outlineLevel="0" collapsed="false">
      <c r="A16" s="1" t="s">
        <v>59</v>
      </c>
      <c r="E16" s="59" t="s">
        <v>60</v>
      </c>
      <c r="F16" s="2" t="n">
        <v>0</v>
      </c>
      <c r="G16" s="60"/>
      <c r="H16" s="2" t="n">
        <v>0.03</v>
      </c>
      <c r="I16" s="61"/>
      <c r="J16" s="2" t="n">
        <v>0.025</v>
      </c>
      <c r="L16" s="2" t="n">
        <v>0.025</v>
      </c>
      <c r="N16" s="2" t="n">
        <v>0.025</v>
      </c>
      <c r="O16" s="15"/>
      <c r="P16" s="20"/>
      <c r="Q16" s="11"/>
      <c r="R16" s="28"/>
    </row>
    <row r="17" customFormat="false" ht="12.8" hidden="false" customHeight="true" outlineLevel="0" collapsed="false">
      <c r="A17" s="1" t="s">
        <v>47</v>
      </c>
      <c r="F17" s="2" t="n">
        <f aca="false">(B13*F16)+B13</f>
        <v>500</v>
      </c>
      <c r="H17" s="2" t="n">
        <f aca="false">(F17*H16)+F17</f>
        <v>515</v>
      </c>
      <c r="I17" s="62"/>
      <c r="J17" s="2" t="n">
        <f aca="false">(H17*J16)+H17</f>
        <v>527.875</v>
      </c>
      <c r="L17" s="2" t="n">
        <f aca="false">(J17*L16)+J17</f>
        <v>541.071875</v>
      </c>
      <c r="N17" s="2" t="n">
        <f aca="false">(L17*N16)+L17</f>
        <v>554.598671875</v>
      </c>
      <c r="O17" s="15" t="s">
        <v>61</v>
      </c>
      <c r="P17" s="20"/>
      <c r="Q17" s="11"/>
      <c r="R17" s="63" t="n">
        <f aca="false">R14/R6</f>
        <v>12.3673534566327</v>
      </c>
    </row>
    <row r="18" customFormat="false" ht="12.8" hidden="false" customHeight="true" outlineLevel="0" collapsed="false">
      <c r="A18" s="64" t="s">
        <v>62</v>
      </c>
      <c r="B18" s="48"/>
      <c r="C18" s="48"/>
      <c r="D18" s="64"/>
      <c r="E18" s="65" t="s">
        <v>63</v>
      </c>
      <c r="F18" s="2" t="n">
        <v>0</v>
      </c>
      <c r="G18" s="66"/>
      <c r="H18" s="2" t="n">
        <v>-0.025</v>
      </c>
      <c r="I18" s="67"/>
      <c r="J18" s="2" t="n">
        <v>0</v>
      </c>
      <c r="L18" s="2" t="n">
        <v>0.015</v>
      </c>
      <c r="N18" s="2" t="n">
        <v>0.02</v>
      </c>
      <c r="O18" s="15" t="s">
        <v>64</v>
      </c>
      <c r="P18" s="20"/>
      <c r="Q18" s="11"/>
      <c r="R18" s="63" t="n">
        <f aca="false">R17/30</f>
        <v>0.412245115221088</v>
      </c>
    </row>
    <row r="19" customFormat="false" ht="12.75" hidden="false" customHeight="true" outlineLevel="0" collapsed="false">
      <c r="F19" s="68" t="s">
        <v>5</v>
      </c>
      <c r="G19" s="68"/>
      <c r="H19" s="68"/>
      <c r="I19" s="68"/>
      <c r="J19" s="68"/>
      <c r="K19" s="68"/>
      <c r="L19" s="68"/>
      <c r="M19" s="68"/>
      <c r="N19" s="68"/>
      <c r="O19" s="52" t="s">
        <v>65</v>
      </c>
      <c r="P19" s="53"/>
      <c r="Q19" s="69"/>
      <c r="R19" s="70" t="n">
        <f aca="false">R17/360</f>
        <v>0.0343537596017574</v>
      </c>
    </row>
    <row r="20" customFormat="false" ht="16.15" hidden="false" customHeight="true" outlineLevel="0" collapsed="false">
      <c r="A20" s="64" t="s">
        <v>66</v>
      </c>
      <c r="B20" s="48"/>
      <c r="C20" s="48"/>
      <c r="D20" s="71" t="s">
        <v>67</v>
      </c>
      <c r="E20" s="64"/>
      <c r="F20" s="71" t="s">
        <v>68</v>
      </c>
      <c r="G20" s="71"/>
      <c r="H20" s="71" t="s">
        <v>69</v>
      </c>
      <c r="I20" s="71"/>
      <c r="J20" s="71" t="s">
        <v>70</v>
      </c>
      <c r="K20" s="71"/>
      <c r="L20" s="71" t="s">
        <v>71</v>
      </c>
      <c r="M20" s="71"/>
      <c r="N20" s="71" t="s">
        <v>72</v>
      </c>
      <c r="O20" s="72" t="s">
        <v>73</v>
      </c>
      <c r="P20" s="72"/>
      <c r="Q20" s="72"/>
      <c r="R20" s="72"/>
      <c r="S20" s="108" t="s">
        <v>127</v>
      </c>
      <c r="T20" s="108"/>
      <c r="U20" s="108"/>
      <c r="V20" s="108"/>
      <c r="W20" s="108"/>
    </row>
    <row r="21" customFormat="false" ht="12.8" hidden="false" customHeight="true" outlineLevel="0" collapsed="false">
      <c r="A21" s="1" t="s">
        <v>75</v>
      </c>
      <c r="D21" s="74" t="n">
        <f aca="false">B14</f>
        <v>6000</v>
      </c>
      <c r="E21" s="75"/>
      <c r="F21" s="62" t="n">
        <f aca="false">((12*D21)*F16)+(12*D21)</f>
        <v>72000</v>
      </c>
      <c r="H21" s="62" t="n">
        <f aca="false">(F21*H16)+F21</f>
        <v>74160</v>
      </c>
      <c r="J21" s="62" t="n">
        <f aca="false">(H21*J16)+H21</f>
        <v>76014</v>
      </c>
      <c r="L21" s="62" t="n">
        <f aca="false">(J21*L16)+J21</f>
        <v>77914.35</v>
      </c>
      <c r="N21" s="62" t="n">
        <f aca="false">(L21*N16)+L21</f>
        <v>79862.20875</v>
      </c>
      <c r="O21" s="15"/>
      <c r="P21" s="26" t="s">
        <v>76</v>
      </c>
      <c r="Q21" s="11"/>
      <c r="R21" s="76"/>
      <c r="S21" s="22" t="s">
        <v>130</v>
      </c>
      <c r="T21" s="22"/>
      <c r="U21" s="22"/>
      <c r="V21" s="22"/>
      <c r="W21" s="22"/>
    </row>
    <row r="22" customFormat="false" ht="12.8" hidden="false" customHeight="true" outlineLevel="0" collapsed="false">
      <c r="A22" s="1" t="s">
        <v>79</v>
      </c>
      <c r="B22" s="2" t="n">
        <v>0.1</v>
      </c>
      <c r="C22" s="20" t="s">
        <v>80</v>
      </c>
      <c r="D22" s="80" t="n">
        <f aca="false">-(D21*B22)</f>
        <v>-600</v>
      </c>
      <c r="E22" s="81"/>
      <c r="F22" s="82" t="n">
        <f aca="false">12*D22</f>
        <v>-7200</v>
      </c>
      <c r="G22" s="43"/>
      <c r="H22" s="82" t="n">
        <f aca="false">(F22*H16)+F22</f>
        <v>-7416</v>
      </c>
      <c r="I22" s="43"/>
      <c r="J22" s="82" t="n">
        <f aca="false">(H22*J16)+H22</f>
        <v>-7601.4</v>
      </c>
      <c r="K22" s="43"/>
      <c r="L22" s="82" t="n">
        <f aca="false">(J22*L16)+J22</f>
        <v>-7791.435</v>
      </c>
      <c r="M22" s="43"/>
      <c r="N22" s="82" t="n">
        <f aca="false">(L22*N16)+L22</f>
        <v>-7986.220875</v>
      </c>
      <c r="O22" s="15" t="s">
        <v>81</v>
      </c>
      <c r="P22" s="83" t="n">
        <v>0.45</v>
      </c>
      <c r="Q22" s="84" t="n">
        <f aca="false">P22*F49</f>
        <v>9066.45423603387</v>
      </c>
      <c r="R22" s="27" t="n">
        <f aca="false">Q22/12</f>
        <v>755.537853002822</v>
      </c>
      <c r="S22" s="101" t="s">
        <v>133</v>
      </c>
      <c r="T22" s="101"/>
      <c r="U22" s="101"/>
      <c r="V22" s="101"/>
      <c r="W22" s="101"/>
    </row>
    <row r="23" customFormat="false" ht="16.15" hidden="false" customHeight="true" outlineLevel="0" collapsed="false">
      <c r="A23" s="1" t="s">
        <v>82</v>
      </c>
      <c r="D23" s="74" t="n">
        <f aca="false">D21+D22</f>
        <v>5400</v>
      </c>
      <c r="E23" s="75"/>
      <c r="F23" s="62" t="n">
        <f aca="false">SUM(F21:F22)</f>
        <v>64800</v>
      </c>
      <c r="H23" s="62" t="n">
        <f aca="false">(F23*H16)+F23</f>
        <v>66744</v>
      </c>
      <c r="J23" s="62" t="n">
        <f aca="false">(H23*J16)+H23</f>
        <v>68412.6</v>
      </c>
      <c r="L23" s="62" t="n">
        <f aca="false">(J23*L16)+J23</f>
        <v>70122.915</v>
      </c>
      <c r="N23" s="62" t="n">
        <f aca="false">(L23*N16)+L23</f>
        <v>71875.987875</v>
      </c>
      <c r="O23" s="85" t="s">
        <v>83</v>
      </c>
      <c r="P23" s="86" t="n">
        <f aca="false">P6*Q23</f>
        <v>48109.0909090909</v>
      </c>
      <c r="Q23" s="87" t="n">
        <f aca="false">N4-Q27</f>
        <v>4500</v>
      </c>
      <c r="R23" s="88" t="s">
        <v>84</v>
      </c>
      <c r="S23" s="108" t="s">
        <v>157</v>
      </c>
      <c r="T23" s="108"/>
      <c r="U23" s="108"/>
      <c r="V23" s="108"/>
      <c r="W23" s="108"/>
    </row>
    <row r="24" customFormat="false" ht="12.8" hidden="false" customHeight="true" outlineLevel="0" collapsed="false">
      <c r="A24" s="1" t="s">
        <v>86</v>
      </c>
      <c r="D24" s="2" t="n">
        <f aca="false">F24/12</f>
        <v>0</v>
      </c>
      <c r="E24" s="59" t="s">
        <v>87</v>
      </c>
      <c r="F24" s="92" t="n">
        <f aca="false">Current!F24</f>
        <v>0</v>
      </c>
      <c r="H24" s="93" t="n">
        <f aca="false">(F24*H16)+F24</f>
        <v>0</v>
      </c>
      <c r="J24" s="93" t="n">
        <f aca="false">(H24*J16)+H24</f>
        <v>0</v>
      </c>
      <c r="L24" s="93" t="n">
        <f aca="false">(J24*L16)+J24</f>
        <v>0</v>
      </c>
      <c r="N24" s="93" t="n">
        <f aca="false">(L24*N16)+L24</f>
        <v>0</v>
      </c>
      <c r="O24" s="15" t="s">
        <v>88</v>
      </c>
      <c r="P24" s="84" t="n">
        <f aca="false">Q23*P14</f>
        <v>327240.1724625</v>
      </c>
      <c r="R24" s="63" t="n">
        <f aca="false">N14-R28</f>
        <v>0.154191398572005</v>
      </c>
      <c r="S24" s="15"/>
      <c r="W24" s="28"/>
    </row>
    <row r="25" customFormat="false" ht="12.8" hidden="false" customHeight="true" outlineLevel="0" collapsed="false">
      <c r="A25" s="34" t="s">
        <v>90</v>
      </c>
      <c r="B25" s="2" t="n">
        <v>1</v>
      </c>
      <c r="D25" s="75" t="n">
        <f aca="false">SUM(D23:D24)</f>
        <v>5400</v>
      </c>
      <c r="E25" s="75"/>
      <c r="F25" s="75" t="n">
        <f aca="false">SUM(F23:F24)</f>
        <v>64800</v>
      </c>
      <c r="G25" s="1"/>
      <c r="H25" s="75" t="n">
        <f aca="false">(F25*H16)+F25</f>
        <v>66744</v>
      </c>
      <c r="I25" s="1"/>
      <c r="J25" s="75" t="n">
        <f aca="false">(H25*J16)+H25</f>
        <v>68412.6</v>
      </c>
      <c r="K25" s="1"/>
      <c r="L25" s="75" t="n">
        <f aca="false">(J25*L16)+J25</f>
        <v>70122.915</v>
      </c>
      <c r="M25" s="1"/>
      <c r="N25" s="75" t="n">
        <f aca="false">(L25*N16)+L25</f>
        <v>71875.987875</v>
      </c>
      <c r="O25" s="15"/>
      <c r="P25" s="11"/>
      <c r="Q25" s="11"/>
      <c r="R25" s="27"/>
      <c r="S25" s="141" t="s">
        <v>158</v>
      </c>
      <c r="T25" s="90" t="s">
        <v>159</v>
      </c>
      <c r="U25" s="90" t="s">
        <v>160</v>
      </c>
      <c r="V25" s="90" t="s">
        <v>161</v>
      </c>
      <c r="W25" s="79" t="s">
        <v>162</v>
      </c>
    </row>
    <row r="26" customFormat="false" ht="12.8" hidden="false" customHeight="true" outlineLevel="0" collapsed="false">
      <c r="M26" s="48"/>
      <c r="N26" s="48"/>
      <c r="O26" s="15" t="s">
        <v>92</v>
      </c>
      <c r="P26" s="96" t="n">
        <f aca="false">1-P22</f>
        <v>0.55</v>
      </c>
      <c r="Q26" s="84" t="n">
        <f aca="false">P26*F49</f>
        <v>11081.2218440414</v>
      </c>
      <c r="R26" s="27" t="n">
        <f aca="false">Q26/12</f>
        <v>923.435153670116</v>
      </c>
      <c r="S26" s="15" t="s">
        <v>68</v>
      </c>
      <c r="T26" s="142"/>
      <c r="U26" s="142"/>
      <c r="V26" s="142"/>
      <c r="W26" s="142"/>
    </row>
    <row r="27" customFormat="false" ht="12.8" hidden="false" customHeight="true" outlineLevel="0" collapsed="false">
      <c r="A27" s="97" t="s">
        <v>94</v>
      </c>
      <c r="B27" s="98"/>
      <c r="C27" s="98"/>
      <c r="D27" s="97"/>
      <c r="E27" s="97"/>
      <c r="F27" s="98"/>
      <c r="G27" s="98"/>
      <c r="H27" s="98"/>
      <c r="I27" s="98"/>
      <c r="J27" s="98"/>
      <c r="K27" s="98"/>
      <c r="L27" s="98"/>
      <c r="M27" s="48"/>
      <c r="N27" s="48"/>
      <c r="O27" s="85" t="s">
        <v>95</v>
      </c>
      <c r="P27" s="86" t="n">
        <f aca="false">Q27*P6</f>
        <v>58800</v>
      </c>
      <c r="Q27" s="87" t="n">
        <f aca="false">ROUNDUP(N4*P26,0)</f>
        <v>5500</v>
      </c>
      <c r="R27" s="88" t="s">
        <v>84</v>
      </c>
      <c r="S27" s="15" t="s">
        <v>69</v>
      </c>
      <c r="T27" s="142"/>
      <c r="U27" s="142"/>
      <c r="V27" s="142"/>
      <c r="W27" s="142"/>
    </row>
    <row r="28" customFormat="false" ht="12.8" hidden="false" customHeight="true" outlineLevel="0" collapsed="false">
      <c r="A28" s="1" t="s">
        <v>97</v>
      </c>
      <c r="B28" s="2" t="n">
        <f aca="false">D28/D25</f>
        <v>0.000925925925925926</v>
      </c>
      <c r="D28" s="74" t="n">
        <f aca="false">F28/12</f>
        <v>5</v>
      </c>
      <c r="E28" s="59" t="s">
        <v>98</v>
      </c>
      <c r="F28" s="99" t="n">
        <f aca="false">Current!F28</f>
        <v>60</v>
      </c>
      <c r="G28" s="20" t="s">
        <v>99</v>
      </c>
      <c r="H28" s="62" t="n">
        <f aca="false">(F28*H18)+F28</f>
        <v>58.5</v>
      </c>
      <c r="J28" s="62" t="n">
        <f aca="false">(H28*J18)+H28</f>
        <v>58.5</v>
      </c>
      <c r="L28" s="62" t="n">
        <f aca="false">(J28*L18)+J28</f>
        <v>59.3775</v>
      </c>
      <c r="N28" s="62" t="n">
        <f aca="false">(L28*N18)+L28</f>
        <v>60.56505</v>
      </c>
      <c r="O28" s="15" t="str">
        <f aca="false">O24</f>
        <v>Expectation:</v>
      </c>
      <c r="P28" s="84" t="n">
        <f aca="false">P14*Q27</f>
        <v>399960.2107875</v>
      </c>
      <c r="Q28" s="11"/>
      <c r="R28" s="63" t="n">
        <f aca="false">Q26/R6</f>
        <v>0.188456153810228</v>
      </c>
      <c r="S28" s="15" t="s">
        <v>70</v>
      </c>
      <c r="T28" s="142"/>
      <c r="U28" s="142"/>
      <c r="V28" s="142"/>
      <c r="W28" s="142"/>
    </row>
    <row r="29" customFormat="false" ht="12.8" hidden="false" customHeight="true" outlineLevel="0" collapsed="false">
      <c r="A29" s="1" t="s">
        <v>101</v>
      </c>
      <c r="B29" s="2" t="n">
        <f aca="false">D29/D25</f>
        <v>0</v>
      </c>
      <c r="D29" s="74" t="n">
        <f aca="false">F29/12</f>
        <v>0</v>
      </c>
      <c r="E29" s="59" t="s">
        <v>98</v>
      </c>
      <c r="F29" s="99" t="n">
        <f aca="false">Current!F29</f>
        <v>0</v>
      </c>
      <c r="G29" s="20" t="s">
        <v>102</v>
      </c>
      <c r="H29" s="62" t="n">
        <f aca="false">(F29*H18)+F29</f>
        <v>0</v>
      </c>
      <c r="J29" s="62" t="n">
        <f aca="false">(H29*J18)+H29</f>
        <v>0</v>
      </c>
      <c r="L29" s="62" t="n">
        <f aca="false">(J29*L18)+J29</f>
        <v>0</v>
      </c>
      <c r="N29" s="62" t="n">
        <f aca="false">(L29*N18)+L29</f>
        <v>0</v>
      </c>
      <c r="O29" s="77" t="s">
        <v>103</v>
      </c>
      <c r="P29" s="77"/>
      <c r="Q29" s="84" t="n">
        <f aca="false">H5/35</f>
        <v>1371.42857142857</v>
      </c>
      <c r="R29" s="28" t="s">
        <v>104</v>
      </c>
      <c r="S29" s="15" t="s">
        <v>71</v>
      </c>
      <c r="T29" s="142"/>
      <c r="U29" s="142"/>
      <c r="V29" s="142"/>
      <c r="W29" s="142"/>
    </row>
    <row r="30" customFormat="false" ht="12.8" hidden="false" customHeight="true" outlineLevel="0" collapsed="false">
      <c r="A30" s="1" t="s">
        <v>106</v>
      </c>
      <c r="B30" s="2" t="n">
        <f aca="false">D30/D25</f>
        <v>0</v>
      </c>
      <c r="D30" s="74" t="n">
        <f aca="false">F30/12</f>
        <v>0</v>
      </c>
      <c r="E30" s="59" t="s">
        <v>98</v>
      </c>
      <c r="F30" s="99" t="n">
        <f aca="false">Current!F30</f>
        <v>0</v>
      </c>
      <c r="G30" s="20" t="s">
        <v>107</v>
      </c>
      <c r="H30" s="62" t="n">
        <f aca="false">(F30*H18)+F30</f>
        <v>0</v>
      </c>
      <c r="J30" s="62" t="n">
        <f aca="false">(H30*J18)+H30</f>
        <v>0</v>
      </c>
      <c r="L30" s="62" t="n">
        <f aca="false">(J30*L18)+J30</f>
        <v>0</v>
      </c>
      <c r="N30" s="62" t="n">
        <f aca="false">(L30*N18)+L30</f>
        <v>0</v>
      </c>
      <c r="O30" s="77" t="s">
        <v>103</v>
      </c>
      <c r="P30" s="77"/>
      <c r="Q30" s="100" t="n">
        <f aca="false">ROUND(Q29/P6,0)</f>
        <v>128</v>
      </c>
      <c r="R30" s="28" t="s">
        <v>108</v>
      </c>
      <c r="S30" s="15" t="s">
        <v>72</v>
      </c>
      <c r="T30" s="142"/>
      <c r="U30" s="142"/>
      <c r="V30" s="142"/>
      <c r="W30" s="142"/>
    </row>
    <row r="31" customFormat="false" ht="12.8" hidden="false" customHeight="true" outlineLevel="0" collapsed="false">
      <c r="A31" s="1" t="s">
        <v>109</v>
      </c>
      <c r="B31" s="2" t="n">
        <f aca="false">D31/D25</f>
        <v>0</v>
      </c>
      <c r="D31" s="74" t="n">
        <f aca="false">F31/12</f>
        <v>0</v>
      </c>
      <c r="E31" s="59" t="s">
        <v>98</v>
      </c>
      <c r="F31" s="99" t="n">
        <f aca="false">Current!F31</f>
        <v>0</v>
      </c>
      <c r="G31" s="20" t="s">
        <v>110</v>
      </c>
      <c r="H31" s="62" t="n">
        <f aca="false">(F31*H18)+F31</f>
        <v>0</v>
      </c>
      <c r="J31" s="62" t="n">
        <f aca="false">(H31*J18)+H31</f>
        <v>0</v>
      </c>
      <c r="L31" s="62" t="n">
        <f aca="false">(J31*L18)+J31</f>
        <v>0</v>
      </c>
      <c r="N31" s="62" t="n">
        <f aca="false">(L31*N18)+L31</f>
        <v>0</v>
      </c>
      <c r="O31" s="101" t="s">
        <v>111</v>
      </c>
      <c r="P31" s="101"/>
      <c r="Q31" s="101"/>
      <c r="R31" s="101"/>
      <c r="S31" s="15"/>
      <c r="T31" s="11"/>
      <c r="U31" s="11"/>
      <c r="V31" s="11"/>
      <c r="W31" s="76"/>
    </row>
    <row r="32" customFormat="false" ht="15" hidden="false" customHeight="true" outlineLevel="0" collapsed="false">
      <c r="A32" s="1" t="s">
        <v>114</v>
      </c>
      <c r="B32" s="2" t="n">
        <f aca="false">D32/D25</f>
        <v>0</v>
      </c>
      <c r="D32" s="74" t="n">
        <f aca="false">F32/12</f>
        <v>0</v>
      </c>
      <c r="E32" s="59" t="s">
        <v>98</v>
      </c>
      <c r="F32" s="99" t="n">
        <f aca="false">Current!F32</f>
        <v>0</v>
      </c>
      <c r="G32" s="20" t="s">
        <v>115</v>
      </c>
      <c r="H32" s="62" t="n">
        <f aca="false">(F32*H18)+F32</f>
        <v>0</v>
      </c>
      <c r="J32" s="62" t="n">
        <f aca="false">(H32*J18)+H32</f>
        <v>0</v>
      </c>
      <c r="L32" s="62" t="n">
        <f aca="false">(J32*L18)+J32</f>
        <v>0</v>
      </c>
      <c r="N32" s="62" t="n">
        <f aca="false">(L32*N18)+L32</f>
        <v>0</v>
      </c>
      <c r="O32" s="72" t="s">
        <v>116</v>
      </c>
      <c r="P32" s="72"/>
      <c r="Q32" s="72"/>
      <c r="R32" s="72"/>
      <c r="S32" s="15" t="s">
        <v>163</v>
      </c>
      <c r="T32" s="11" t="n">
        <f aca="false">SUM(T26:T30)</f>
        <v>0</v>
      </c>
      <c r="U32" s="11" t="n">
        <f aca="false">SUM(U26:U30)</f>
        <v>0</v>
      </c>
      <c r="V32" s="11" t="n">
        <f aca="false">SUM(V26:V30)</f>
        <v>0</v>
      </c>
      <c r="W32" s="76" t="n">
        <f aca="false">SUM(W26:W30)</f>
        <v>0</v>
      </c>
    </row>
    <row r="33" customFormat="false" ht="12.8" hidden="false" customHeight="true" outlineLevel="0" collapsed="false">
      <c r="A33" s="1" t="s">
        <v>117</v>
      </c>
      <c r="B33" s="2" t="n">
        <f aca="false">D33/D25</f>
        <v>0</v>
      </c>
      <c r="D33" s="74" t="n">
        <f aca="false">F33/12</f>
        <v>0</v>
      </c>
      <c r="E33" s="59" t="s">
        <v>98</v>
      </c>
      <c r="F33" s="99" t="n">
        <f aca="false">Current!F33</f>
        <v>0</v>
      </c>
      <c r="G33" s="20" t="s">
        <v>118</v>
      </c>
      <c r="H33" s="62" t="n">
        <f aca="false">(F33*H18)+F33</f>
        <v>0</v>
      </c>
      <c r="J33" s="62" t="n">
        <f aca="false">(H33*J18)+H33</f>
        <v>0</v>
      </c>
      <c r="L33" s="62" t="n">
        <f aca="false">(J33*L18)+J33</f>
        <v>0</v>
      </c>
      <c r="N33" s="62" t="n">
        <f aca="false">(L33*N18)+L33</f>
        <v>0</v>
      </c>
      <c r="O33" s="104" t="n">
        <f aca="false">Current!O33</f>
        <v>0</v>
      </c>
      <c r="P33" s="104"/>
      <c r="Q33" s="104"/>
      <c r="R33" s="104"/>
      <c r="S33" s="77" t="s">
        <v>164</v>
      </c>
      <c r="T33" s="77"/>
      <c r="U33" s="26" t="s">
        <v>165</v>
      </c>
      <c r="V33" s="26" t="s">
        <v>166</v>
      </c>
      <c r="W33" s="91"/>
    </row>
    <row r="34" customFormat="false" ht="12.8" hidden="false" customHeight="true" outlineLevel="0" collapsed="false">
      <c r="A34" s="1" t="s">
        <v>120</v>
      </c>
      <c r="B34" s="2" t="n">
        <f aca="false">D34/D25</f>
        <v>0</v>
      </c>
      <c r="D34" s="74" t="n">
        <f aca="false">F34/12</f>
        <v>0</v>
      </c>
      <c r="E34" s="59" t="s">
        <v>98</v>
      </c>
      <c r="F34" s="99" t="n">
        <f aca="false">Current!F34</f>
        <v>0</v>
      </c>
      <c r="G34" s="20" t="s">
        <v>121</v>
      </c>
      <c r="H34" s="62" t="n">
        <f aca="false">(F34*H18)+F34</f>
        <v>0</v>
      </c>
      <c r="J34" s="62" t="n">
        <f aca="false">(H34*J18)+H34</f>
        <v>0</v>
      </c>
      <c r="L34" s="62" t="n">
        <f aca="false">(J34*L18)+J34</f>
        <v>0</v>
      </c>
      <c r="N34" s="62" t="n">
        <f aca="false">(L34*N18)+L34</f>
        <v>0</v>
      </c>
      <c r="O34" s="104" t="n">
        <f aca="false">Current!O34</f>
        <v>0</v>
      </c>
      <c r="P34" s="104"/>
      <c r="Q34" s="104"/>
      <c r="R34" s="104"/>
      <c r="S34" s="143" t="s">
        <v>167</v>
      </c>
      <c r="T34" s="143"/>
      <c r="U34" s="144"/>
      <c r="V34" s="81"/>
      <c r="W34" s="145" t="n">
        <f aca="false">SUM(T32:W32)+W33</f>
        <v>0</v>
      </c>
    </row>
    <row r="35" customFormat="false" ht="16.15" hidden="false" customHeight="true" outlineLevel="0" collapsed="false">
      <c r="A35" s="1" t="s">
        <v>122</v>
      </c>
      <c r="B35" s="2" t="n">
        <f aca="false">D35/D25</f>
        <v>0</v>
      </c>
      <c r="D35" s="74" t="n">
        <f aca="false">F35/12</f>
        <v>0</v>
      </c>
      <c r="E35" s="59" t="s">
        <v>98</v>
      </c>
      <c r="F35" s="99" t="n">
        <f aca="false">Current!F35</f>
        <v>0</v>
      </c>
      <c r="G35" s="20" t="s">
        <v>123</v>
      </c>
      <c r="H35" s="62" t="n">
        <f aca="false">(F35*H18)+F35</f>
        <v>0</v>
      </c>
      <c r="J35" s="62" t="n">
        <f aca="false">(H35*J18)+H35</f>
        <v>0</v>
      </c>
      <c r="L35" s="62" t="n">
        <f aca="false">(J35*L18)+J35</f>
        <v>0</v>
      </c>
      <c r="N35" s="62" t="n">
        <f aca="false">(L35*N18)+L35</f>
        <v>0</v>
      </c>
      <c r="O35" s="104" t="n">
        <f aca="false">Current!O35</f>
        <v>0</v>
      </c>
      <c r="P35" s="104"/>
      <c r="Q35" s="104"/>
      <c r="R35" s="104"/>
      <c r="S35" s="146" t="s">
        <v>168</v>
      </c>
      <c r="T35" s="147"/>
      <c r="U35" s="147"/>
      <c r="V35" s="147"/>
      <c r="W35" s="148" t="e">
        <f aca="false">W34/-Q37</f>
        <v>#DIV/0!</v>
      </c>
    </row>
    <row r="36" customFormat="false" ht="15" hidden="false" customHeight="true" outlineLevel="0" collapsed="false">
      <c r="A36" s="1" t="s">
        <v>125</v>
      </c>
      <c r="B36" s="2" t="n">
        <f aca="false">D36/D25</f>
        <v>0</v>
      </c>
      <c r="D36" s="74" t="n">
        <f aca="false">F36/12</f>
        <v>0</v>
      </c>
      <c r="E36" s="59" t="s">
        <v>98</v>
      </c>
      <c r="F36" s="99" t="n">
        <f aca="false">Current!F36</f>
        <v>0</v>
      </c>
      <c r="G36" s="20" t="s">
        <v>126</v>
      </c>
      <c r="H36" s="62" t="n">
        <f aca="false">(F36*H18)+F36</f>
        <v>0</v>
      </c>
      <c r="J36" s="62" t="n">
        <f aca="false">(H36*J18)+H36</f>
        <v>0</v>
      </c>
      <c r="L36" s="62" t="n">
        <f aca="false">(J36*L18)+J36</f>
        <v>0</v>
      </c>
      <c r="N36" s="62" t="n">
        <f aca="false">(L36*N18)+L36</f>
        <v>0</v>
      </c>
      <c r="O36" s="104" t="n">
        <f aca="false">Current!O36</f>
        <v>0</v>
      </c>
      <c r="P36" s="104"/>
      <c r="Q36" s="104"/>
      <c r="R36" s="104"/>
      <c r="S36" s="73" t="s">
        <v>74</v>
      </c>
      <c r="T36" s="73"/>
      <c r="U36" s="73"/>
      <c r="V36" s="73"/>
      <c r="W36" s="73"/>
    </row>
    <row r="37" customFormat="false" ht="12.8" hidden="false" customHeight="true" outlineLevel="0" collapsed="false">
      <c r="A37" s="1" t="s">
        <v>128</v>
      </c>
      <c r="B37" s="2" t="n">
        <f aca="false">D37/D25</f>
        <v>0.0285493827160494</v>
      </c>
      <c r="D37" s="74" t="n">
        <f aca="false">F37/12</f>
        <v>154.166666666667</v>
      </c>
      <c r="E37" s="59" t="s">
        <v>98</v>
      </c>
      <c r="F37" s="99" t="n">
        <f aca="false">Current!F37</f>
        <v>1850</v>
      </c>
      <c r="G37" s="20" t="s">
        <v>129</v>
      </c>
      <c r="H37" s="62" t="n">
        <f aca="false">(F37*H18)+F37</f>
        <v>1803.75</v>
      </c>
      <c r="J37" s="62" t="n">
        <f aca="false">(H37*J18)+H37</f>
        <v>1803.75</v>
      </c>
      <c r="L37" s="62" t="n">
        <f aca="false">(J37*L18)+J37</f>
        <v>1830.80625</v>
      </c>
      <c r="N37" s="62" t="n">
        <f aca="false">(L37*N18)+L37</f>
        <v>1867.422375</v>
      </c>
      <c r="O37" s="149" t="n">
        <f aca="false">Current!O37</f>
        <v>0</v>
      </c>
      <c r="P37" s="149"/>
      <c r="Q37" s="149"/>
      <c r="R37" s="149"/>
      <c r="S37" s="77" t="s">
        <v>77</v>
      </c>
      <c r="T37" s="77"/>
      <c r="U37" s="43" t="n">
        <f aca="false">R41</f>
        <v>-58800</v>
      </c>
      <c r="V37" s="78" t="n">
        <f aca="false">-P6</f>
        <v>-10.6909090909091</v>
      </c>
      <c r="W37" s="79" t="s">
        <v>78</v>
      </c>
    </row>
    <row r="38" customFormat="false" ht="12.8" hidden="false" customHeight="true" outlineLevel="0" collapsed="false">
      <c r="A38" s="1" t="s">
        <v>131</v>
      </c>
      <c r="B38" s="2" t="n">
        <f aca="false">D38/D25</f>
        <v>0.462962962962963</v>
      </c>
      <c r="D38" s="110" t="n">
        <f aca="false">F38/12</f>
        <v>2500</v>
      </c>
      <c r="E38" s="59" t="s">
        <v>98</v>
      </c>
      <c r="F38" s="92" t="n">
        <f aca="false">Current!F38</f>
        <v>30000</v>
      </c>
      <c r="G38" s="20" t="s">
        <v>132</v>
      </c>
      <c r="H38" s="93" t="n">
        <f aca="false">(F38*H18)+F38</f>
        <v>29250</v>
      </c>
      <c r="J38" s="93" t="n">
        <f aca="false">(H38*J18)+H38</f>
        <v>29250</v>
      </c>
      <c r="L38" s="93" t="n">
        <f aca="false">(J38*L18)+J38</f>
        <v>29688.75</v>
      </c>
      <c r="N38" s="93" t="n">
        <f aca="false">(L38*N18)+L38</f>
        <v>30282.525</v>
      </c>
      <c r="O38" s="111" t="n">
        <f aca="false">Current!O38</f>
        <v>0</v>
      </c>
      <c r="P38" s="111"/>
      <c r="Q38" s="111"/>
      <c r="R38" s="111"/>
      <c r="S38" s="15"/>
      <c r="W38" s="28"/>
    </row>
    <row r="39" customFormat="false" ht="15" hidden="false" customHeight="true" outlineLevel="0" collapsed="false">
      <c r="A39" s="34" t="s">
        <v>134</v>
      </c>
      <c r="B39" s="112" t="n">
        <f aca="false">SUM(B28:B38)</f>
        <v>0.492438271604938</v>
      </c>
      <c r="D39" s="75" t="n">
        <f aca="false">SUM(D28:D38)</f>
        <v>2659.16666666667</v>
      </c>
      <c r="F39" s="75" t="n">
        <f aca="false">SUM(F28:F38)</f>
        <v>31910</v>
      </c>
      <c r="H39" s="75" t="n">
        <f aca="false">SUM(H28:H38)</f>
        <v>31112.25</v>
      </c>
      <c r="J39" s="75" t="n">
        <f aca="false">SUM(J28:J38)</f>
        <v>31112.25</v>
      </c>
      <c r="L39" s="75" t="n">
        <f aca="false">SUM(L28:L38)</f>
        <v>31578.93375</v>
      </c>
      <c r="N39" s="75" t="n">
        <f aca="false">SUM(N28:N38)</f>
        <v>32210.512425</v>
      </c>
      <c r="O39" s="72" t="s">
        <v>135</v>
      </c>
      <c r="P39" s="72"/>
      <c r="Q39" s="72"/>
      <c r="R39" s="72"/>
      <c r="S39" s="89" t="s">
        <v>85</v>
      </c>
      <c r="T39" s="89"/>
      <c r="V39" s="90" t="s">
        <v>22</v>
      </c>
      <c r="W39" s="91" t="n">
        <f aca="false">U37</f>
        <v>-58800</v>
      </c>
    </row>
    <row r="40" customFormat="false" ht="6" hidden="false" customHeight="true" outlineLevel="0" collapsed="false">
      <c r="M40" s="48"/>
      <c r="N40" s="48"/>
      <c r="O40" s="15"/>
      <c r="P40" s="20"/>
      <c r="Q40" s="20"/>
      <c r="R40" s="28"/>
    </row>
    <row r="41" customFormat="false" ht="12.8" hidden="false" customHeight="true" outlineLevel="0" collapsed="false">
      <c r="A41" s="97" t="s">
        <v>136</v>
      </c>
      <c r="B41" s="113" t="n">
        <f aca="false">100%-B39</f>
        <v>0.507561728395062</v>
      </c>
      <c r="C41" s="97"/>
      <c r="D41" s="150" t="n">
        <f aca="false">D25-D39</f>
        <v>2740.83333333333</v>
      </c>
      <c r="E41" s="97"/>
      <c r="F41" s="150" t="n">
        <f aca="false">F25-F39</f>
        <v>32890</v>
      </c>
      <c r="G41" s="97"/>
      <c r="H41" s="150" t="n">
        <f aca="false">H25-H39</f>
        <v>35631.75</v>
      </c>
      <c r="I41" s="97"/>
      <c r="J41" s="150" t="n">
        <f aca="false">J25-J39</f>
        <v>37300.35</v>
      </c>
      <c r="K41" s="97"/>
      <c r="L41" s="150" t="n">
        <f aca="false">L25-L39</f>
        <v>38543.98125</v>
      </c>
      <c r="M41" s="64"/>
      <c r="N41" s="150" t="n">
        <f aca="false">N25-N39</f>
        <v>39665.47545</v>
      </c>
      <c r="O41" s="77" t="s">
        <v>137</v>
      </c>
      <c r="P41" s="77"/>
      <c r="Q41" s="90" t="s">
        <v>138</v>
      </c>
      <c r="R41" s="44" t="n">
        <f aca="false">-R6</f>
        <v>-58800</v>
      </c>
      <c r="S41" s="77" t="s">
        <v>89</v>
      </c>
      <c r="T41" s="77"/>
      <c r="U41" s="43" t="n">
        <f aca="false">F51*P26</f>
        <v>10823.3385674352</v>
      </c>
      <c r="V41" s="94" t="n">
        <f aca="false">U41/Q27</f>
        <v>1.96787973953367</v>
      </c>
      <c r="W41" s="95" t="n">
        <f aca="false">(U41/(1+F11)^5)</f>
        <v>8480.36897613271</v>
      </c>
    </row>
    <row r="42" customFormat="false" ht="12.8" hidden="false" customHeight="true" outlineLevel="0" collapsed="false">
      <c r="A42" s="1" t="s">
        <v>139</v>
      </c>
      <c r="B42" s="2" t="n">
        <f aca="false">-D42/D25</f>
        <v>0.125308641975309</v>
      </c>
      <c r="D42" s="117" t="n">
        <f aca="false">F42/12</f>
        <v>-676.666666666667</v>
      </c>
      <c r="E42" s="118"/>
      <c r="F42" s="117" t="n">
        <f aca="false">ISPMT(F11,12,H12,H7)</f>
        <v>-8120</v>
      </c>
      <c r="G42" s="118"/>
      <c r="H42" s="117" t="n">
        <f aca="false">ISPMT(F11,24,H12,H7)</f>
        <v>-7840</v>
      </c>
      <c r="I42" s="118"/>
      <c r="J42" s="117" t="n">
        <f aca="false">ISPMT(F11,36,H12,H7)</f>
        <v>-7560</v>
      </c>
      <c r="K42" s="118"/>
      <c r="L42" s="117" t="n">
        <f aca="false">ISPMT(F11,48,H12,H7)</f>
        <v>-7280</v>
      </c>
      <c r="M42" s="118"/>
      <c r="N42" s="117" t="n">
        <f aca="false">ISPMT(F11,60,H12,H7)</f>
        <v>-7000</v>
      </c>
      <c r="O42" s="15" t="s">
        <v>68</v>
      </c>
      <c r="P42" s="26" t="s">
        <v>140</v>
      </c>
      <c r="Q42" s="96" t="n">
        <f aca="false">R26</f>
        <v>923.435153670116</v>
      </c>
      <c r="R42" s="44" t="n">
        <f aca="false">Q26</f>
        <v>11081.2218440414</v>
      </c>
      <c r="S42" s="77" t="s">
        <v>91</v>
      </c>
      <c r="T42" s="77"/>
      <c r="U42" s="43" t="n">
        <f aca="false">H51*P26</f>
        <v>12061.0612378897</v>
      </c>
      <c r="V42" s="94" t="n">
        <f aca="false">U42/Q27</f>
        <v>2.19292022507086</v>
      </c>
      <c r="W42" s="95" t="n">
        <f aca="false">(U42/(1+F11)^5)</f>
        <v>9450.15707526507</v>
      </c>
    </row>
    <row r="43" customFormat="false" ht="12.8" hidden="false" customHeight="true" outlineLevel="0" collapsed="false">
      <c r="A43" s="1" t="s">
        <v>141</v>
      </c>
      <c r="D43" s="75" t="n">
        <f aca="false">D42-H13</f>
        <v>225.193659993728</v>
      </c>
      <c r="E43" s="75"/>
      <c r="F43" s="75" t="n">
        <f aca="false">F42-F13</f>
        <v>2702.32391992474</v>
      </c>
      <c r="G43" s="62"/>
      <c r="H43" s="75" t="n">
        <f aca="false">H42-F13</f>
        <v>2982.32391992474</v>
      </c>
      <c r="I43" s="62"/>
      <c r="J43" s="75" t="n">
        <f aca="false">J42-F13</f>
        <v>3262.32391992474</v>
      </c>
      <c r="K43" s="62"/>
      <c r="L43" s="75" t="n">
        <f aca="false">L42-F13</f>
        <v>3542.32391992474</v>
      </c>
      <c r="M43" s="62"/>
      <c r="N43" s="75" t="n">
        <f aca="false">N42-F13</f>
        <v>3822.32391992474</v>
      </c>
      <c r="O43" s="15" t="s">
        <v>69</v>
      </c>
      <c r="P43" s="26" t="s">
        <v>140</v>
      </c>
      <c r="Q43" s="96" t="n">
        <f aca="false">(H49/R6)*P26</f>
        <v>0.214101774558527</v>
      </c>
      <c r="R43" s="44" t="n">
        <f aca="false">H49*P26</f>
        <v>12589.1843440414</v>
      </c>
      <c r="S43" s="77" t="s">
        <v>93</v>
      </c>
      <c r="T43" s="77"/>
      <c r="U43" s="43" t="n">
        <f aca="false">J51*P26</f>
        <v>12797.8479362368</v>
      </c>
      <c r="V43" s="94" t="n">
        <f aca="false">U43/Q27</f>
        <v>2.32688144295215</v>
      </c>
      <c r="W43" s="95" t="n">
        <f aca="false">(U43/(1+F11)^5)</f>
        <v>10027.4487325259</v>
      </c>
    </row>
    <row r="44" customFormat="false" ht="12.8" hidden="false" customHeight="true" outlineLevel="0" collapsed="false">
      <c r="A44" s="1" t="s">
        <v>18</v>
      </c>
      <c r="B44" s="2" t="n">
        <f aca="false">-D44/D25</f>
        <v>0.0296296296296296</v>
      </c>
      <c r="D44" s="119" t="n">
        <f aca="false">F44/12</f>
        <v>-160</v>
      </c>
      <c r="F44" s="117" t="n">
        <f aca="false">-H6*F14</f>
        <v>-1920</v>
      </c>
      <c r="H44" s="117" t="n">
        <f aca="false">-H6*F14</f>
        <v>-1920</v>
      </c>
      <c r="J44" s="117" t="n">
        <f aca="false">-H6*F14</f>
        <v>-1920</v>
      </c>
      <c r="L44" s="117" t="n">
        <f aca="false">-H6*F14</f>
        <v>-1920</v>
      </c>
      <c r="N44" s="117" t="n">
        <f aca="false">-H6*F14</f>
        <v>-1920</v>
      </c>
      <c r="O44" s="15" t="s">
        <v>70</v>
      </c>
      <c r="P44" s="26" t="s">
        <v>140</v>
      </c>
      <c r="Q44" s="96" t="n">
        <f aca="false">(J49/R6)*P26</f>
        <v>0.229709427619752</v>
      </c>
      <c r="R44" s="44" t="n">
        <f aca="false">J49*P26</f>
        <v>13506.9143440414</v>
      </c>
      <c r="S44" s="77" t="s">
        <v>96</v>
      </c>
      <c r="T44" s="77"/>
      <c r="U44" s="43" t="n">
        <f aca="false">L51*P26</f>
        <v>13336.6957003827</v>
      </c>
      <c r="V44" s="94" t="n">
        <f aca="false">U44/Q27</f>
        <v>2.42485376370594</v>
      </c>
      <c r="W44" s="95" t="n">
        <f aca="false">(U44/(1+F11)^5)</f>
        <v>10449.6500554772</v>
      </c>
    </row>
    <row r="45" customFormat="false" ht="12.8" hidden="false" customHeight="true" outlineLevel="0" collapsed="false">
      <c r="A45" s="1" t="s">
        <v>142</v>
      </c>
      <c r="D45" s="119"/>
      <c r="F45" s="120" t="n">
        <f aca="false">SUM(F44+F42)</f>
        <v>-10040</v>
      </c>
      <c r="G45" s="121"/>
      <c r="H45" s="120" t="n">
        <f aca="false">SUM(H44+H42)</f>
        <v>-9760</v>
      </c>
      <c r="I45" s="121"/>
      <c r="J45" s="120" t="n">
        <f aca="false">SUM(J44+J42)</f>
        <v>-9480</v>
      </c>
      <c r="K45" s="121"/>
      <c r="L45" s="120" t="n">
        <f aca="false">SUM(L44+L42)</f>
        <v>-9200</v>
      </c>
      <c r="M45" s="121"/>
      <c r="N45" s="120" t="n">
        <f aca="false">SUM(N44+N42)</f>
        <v>-8920</v>
      </c>
      <c r="O45" s="15" t="s">
        <v>71</v>
      </c>
      <c r="P45" s="26" t="s">
        <v>140</v>
      </c>
      <c r="Q45" s="96" t="n">
        <f aca="false">(L49/R6)*P26</f>
        <v>0.241342032849344</v>
      </c>
      <c r="R45" s="44" t="n">
        <f aca="false">L49*P26</f>
        <v>14190.9115315414</v>
      </c>
      <c r="S45" s="77" t="s">
        <v>100</v>
      </c>
      <c r="T45" s="77"/>
      <c r="U45" s="43" t="n">
        <f aca="false">N51*P26</f>
        <v>13819.1516607528</v>
      </c>
      <c r="V45" s="94" t="n">
        <f aca="false">U45/Q27</f>
        <v>2.51257302922778</v>
      </c>
      <c r="W45" s="95" t="n">
        <f aca="false">(U45/(1+F11)^5)</f>
        <v>10827.6669245959</v>
      </c>
    </row>
    <row r="46" customFormat="false" ht="12.8" hidden="false" customHeight="true" outlineLevel="0" collapsed="false">
      <c r="A46" s="1" t="s">
        <v>143</v>
      </c>
      <c r="B46" s="2" t="n">
        <v>0.15</v>
      </c>
      <c r="D46" s="122" t="s">
        <v>144</v>
      </c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5" t="s">
        <v>72</v>
      </c>
      <c r="P46" s="26" t="s">
        <v>140</v>
      </c>
      <c r="Q46" s="96" t="n">
        <f aca="false">(N49/R6)*P26</f>
        <v>0.251832199686078</v>
      </c>
      <c r="R46" s="44" t="n">
        <f aca="false">N49*P26</f>
        <v>14807.7333415414</v>
      </c>
      <c r="S46" s="77" t="s">
        <v>105</v>
      </c>
      <c r="T46" s="77"/>
      <c r="U46" s="43" t="n">
        <f aca="false">R49</f>
        <v>194522.723799624</v>
      </c>
      <c r="V46" s="94" t="n">
        <f aca="false">U46/Q27</f>
        <v>35.367767963568</v>
      </c>
      <c r="W46" s="95" t="n">
        <f aca="false">(U46/(1+F11)^5)</f>
        <v>152413.644069722</v>
      </c>
    </row>
    <row r="47" customFormat="false" ht="12.8" hidden="false" customHeight="true" outlineLevel="0" collapsed="false">
      <c r="A47" s="1" t="s">
        <v>145</v>
      </c>
      <c r="D47" s="123" t="n">
        <f aca="false">F47/12</f>
        <v>581.818181818181</v>
      </c>
      <c r="F47" s="62" t="n">
        <f aca="false">VDB(B6,B5,27.5,0,1,1)</f>
        <v>6981.81818181818</v>
      </c>
      <c r="G47" s="62"/>
      <c r="H47" s="62" t="n">
        <f aca="false">VDB(B6,B5,27.5,1,2,1)</f>
        <v>6727.93388429753</v>
      </c>
      <c r="I47" s="62"/>
      <c r="J47" s="62" t="n">
        <f aca="false">VDB(B6,B5,27.5,2,3,1)</f>
        <v>6483.28174305035</v>
      </c>
      <c r="K47" s="62"/>
      <c r="L47" s="62" t="n">
        <f aca="false">VDB(B6,B5,27.5,3,4,1)</f>
        <v>6247.52604330305</v>
      </c>
      <c r="M47" s="62"/>
      <c r="N47" s="62" t="n">
        <f aca="false">VDB(B6,B5,27.5,4,5,1)</f>
        <v>6020.34327809204</v>
      </c>
      <c r="O47" s="15" t="s">
        <v>146</v>
      </c>
      <c r="P47" s="26" t="s">
        <v>147</v>
      </c>
      <c r="Q47" s="2" t="s">
        <v>148</v>
      </c>
      <c r="R47" s="44" t="n">
        <f aca="false">(N41/0.075)*0.7</f>
        <v>370211.1042</v>
      </c>
    </row>
    <row r="48" customFormat="false" ht="12.8" hidden="false" customHeight="true" outlineLevel="0" collapsed="false">
      <c r="A48" s="1" t="s">
        <v>149</v>
      </c>
      <c r="B48" s="151"/>
      <c r="F48" s="124" t="n">
        <f aca="false">-F45+F47</f>
        <v>17021.8181818182</v>
      </c>
      <c r="G48" s="124"/>
      <c r="H48" s="124" t="n">
        <f aca="false">-H45+H47</f>
        <v>16487.9338842975</v>
      </c>
      <c r="I48" s="124"/>
      <c r="J48" s="124" t="n">
        <f aca="false">-J45+J47</f>
        <v>15963.2817430503</v>
      </c>
      <c r="K48" s="124"/>
      <c r="L48" s="124" t="n">
        <f aca="false">-L45+L47</f>
        <v>15447.526043303</v>
      </c>
      <c r="M48" s="124"/>
      <c r="N48" s="124" t="n">
        <f aca="false">-N45+N47</f>
        <v>14940.343278092</v>
      </c>
      <c r="O48" s="15"/>
      <c r="P48" s="26" t="s">
        <v>150</v>
      </c>
      <c r="Q48" s="20"/>
      <c r="R48" s="44" t="n">
        <f aca="false">-(H7-(F43+H43+J43+L43+N43)+H6)</f>
        <v>-175688.380400376</v>
      </c>
      <c r="S48" s="15" t="s">
        <v>112</v>
      </c>
      <c r="T48" s="102" t="s">
        <v>113</v>
      </c>
      <c r="U48" s="102"/>
      <c r="V48" s="103" t="n">
        <f aca="false">SUM(V41:V46)</f>
        <v>46.7928761640584</v>
      </c>
      <c r="W48" s="95" t="n">
        <f aca="false">SUM(W41:W46)</f>
        <v>201648.935833719</v>
      </c>
    </row>
    <row r="49" customFormat="false" ht="15" hidden="false" customHeight="true" outlineLevel="0" collapsed="false">
      <c r="A49" s="1" t="s">
        <v>151</v>
      </c>
      <c r="D49" s="125" t="n">
        <f aca="false">F49/12</f>
        <v>1678.97300667294</v>
      </c>
      <c r="E49" s="125"/>
      <c r="F49" s="125" t="n">
        <f aca="false">(F41+(F13+F44))</f>
        <v>20147.6760800753</v>
      </c>
      <c r="G49" s="126"/>
      <c r="H49" s="125" t="n">
        <f aca="false">(H41+(F13+H44))</f>
        <v>22889.4260800753</v>
      </c>
      <c r="I49" s="126"/>
      <c r="J49" s="125" t="n">
        <f aca="false">(J41+(F13+J44))</f>
        <v>24558.0260800753</v>
      </c>
      <c r="K49" s="126"/>
      <c r="L49" s="125" t="n">
        <f aca="false">(L41+(F13+L44))</f>
        <v>25801.6573300753</v>
      </c>
      <c r="M49" s="126"/>
      <c r="N49" s="125" t="n">
        <f aca="false">(N41+(F13+N44))</f>
        <v>26923.1515300753</v>
      </c>
      <c r="O49" s="15" t="s">
        <v>152</v>
      </c>
      <c r="P49" s="11"/>
      <c r="Q49" s="20"/>
      <c r="R49" s="44" t="n">
        <f aca="false">R47+R48</f>
        <v>194522.723799624</v>
      </c>
      <c r="S49" s="23" t="s">
        <v>119</v>
      </c>
      <c r="T49" s="102" t="s">
        <v>113</v>
      </c>
      <c r="U49" s="102"/>
      <c r="V49" s="103" t="n">
        <f aca="false">V48-V37</f>
        <v>57.4837852549675</v>
      </c>
      <c r="W49" s="95" t="n">
        <f aca="false">W48+W39</f>
        <v>142848.935833719</v>
      </c>
    </row>
    <row r="50" s="81" customFormat="true" ht="12.8" hidden="false" customHeight="true" outlineLevel="0" collapsed="false">
      <c r="A50" s="1" t="s">
        <v>153</v>
      </c>
      <c r="B50" s="2"/>
      <c r="C50" s="2"/>
      <c r="D50" s="75"/>
      <c r="E50" s="75"/>
      <c r="F50" s="117" t="n">
        <f aca="false">IF(F49&lt;F48,0,-((F49-F48)*B46))</f>
        <v>-468.878684738563</v>
      </c>
      <c r="G50" s="43"/>
      <c r="H50" s="117" t="n">
        <f aca="false">IF(H49&lt;H48,0,-((H49-H48)*B46))</f>
        <v>-960.223829366661</v>
      </c>
      <c r="I50" s="43"/>
      <c r="J50" s="43" t="n">
        <f aca="false">IF(J49&lt;J48,0,-((J49-J48)*B46))</f>
        <v>-1289.21165055374</v>
      </c>
      <c r="K50" s="43"/>
      <c r="L50" s="43" t="n">
        <f aca="false">IF(L49&lt;L48,0,-((L49-L48)*B46))</f>
        <v>-1553.11969301583</v>
      </c>
      <c r="M50" s="43"/>
      <c r="N50" s="43" t="n">
        <f aca="false">IF(N49&lt;N48,0,-((N49-N48)*B46))</f>
        <v>-1797.42123779748</v>
      </c>
      <c r="O50" s="127" t="s">
        <v>154</v>
      </c>
      <c r="P50" s="69"/>
      <c r="Q50" s="53"/>
      <c r="R50" s="128" t="n">
        <f aca="false">R42+R43+R44+R45+R46+R49</f>
        <v>260698.689204831</v>
      </c>
      <c r="S50" s="15"/>
      <c r="T50" s="2"/>
      <c r="U50" s="2"/>
      <c r="V50" s="2"/>
      <c r="W50" s="76"/>
      <c r="Y50" s="144"/>
      <c r="AA50" s="144"/>
      <c r="AC50" s="1"/>
      <c r="AD50" s="2"/>
      <c r="AE50" s="2"/>
      <c r="AI50" s="144"/>
      <c r="AK50" s="144"/>
      <c r="AM50" s="144"/>
      <c r="AO50" s="144"/>
      <c r="AQ50" s="1"/>
      <c r="AR50" s="2"/>
      <c r="AS50" s="2"/>
      <c r="AW50" s="144"/>
      <c r="AY50" s="144"/>
      <c r="BA50" s="144"/>
      <c r="BC50" s="144"/>
      <c r="BE50" s="1"/>
      <c r="BF50" s="2"/>
      <c r="BG50" s="2"/>
      <c r="BK50" s="144"/>
      <c r="BM50" s="144"/>
      <c r="BO50" s="144"/>
      <c r="BQ50" s="144"/>
      <c r="BS50" s="1"/>
      <c r="BT50" s="2"/>
      <c r="BU50" s="2"/>
      <c r="BY50" s="144"/>
      <c r="CA50" s="144"/>
      <c r="CC50" s="144"/>
      <c r="CE50" s="144"/>
      <c r="CG50" s="1"/>
      <c r="CH50" s="2"/>
      <c r="CI50" s="2"/>
      <c r="CM50" s="144"/>
      <c r="CO50" s="144"/>
      <c r="CQ50" s="144"/>
      <c r="CS50" s="144"/>
      <c r="CU50" s="1"/>
      <c r="CV50" s="2"/>
      <c r="CW50" s="2"/>
      <c r="DA50" s="144"/>
      <c r="DC50" s="144"/>
      <c r="DE50" s="144"/>
      <c r="DG50" s="144"/>
      <c r="DI50" s="1"/>
      <c r="DJ50" s="2"/>
      <c r="DK50" s="2"/>
      <c r="DO50" s="144"/>
      <c r="DQ50" s="144"/>
      <c r="DS50" s="144"/>
      <c r="DU50" s="144"/>
      <c r="DW50" s="1"/>
      <c r="DX50" s="2"/>
      <c r="DY50" s="2"/>
      <c r="EC50" s="144"/>
      <c r="EE50" s="144"/>
      <c r="EG50" s="144"/>
      <c r="EI50" s="144"/>
      <c r="EK50" s="1"/>
      <c r="EL50" s="2"/>
      <c r="EM50" s="2"/>
      <c r="EQ50" s="144"/>
      <c r="ES50" s="144"/>
      <c r="EU50" s="144"/>
      <c r="EW50" s="144"/>
      <c r="EY50" s="1"/>
      <c r="EZ50" s="2"/>
      <c r="FA50" s="2"/>
      <c r="FE50" s="144"/>
      <c r="FG50" s="144"/>
      <c r="FI50" s="144"/>
      <c r="FK50" s="144"/>
      <c r="FM50" s="1"/>
      <c r="FN50" s="2"/>
      <c r="FO50" s="2"/>
      <c r="FS50" s="144"/>
      <c r="FU50" s="144"/>
      <c r="FW50" s="144"/>
      <c r="FY50" s="144"/>
      <c r="GA50" s="1"/>
      <c r="GB50" s="2"/>
      <c r="GC50" s="2"/>
      <c r="GG50" s="144"/>
      <c r="GI50" s="144"/>
      <c r="GK50" s="144"/>
      <c r="GM50" s="144"/>
      <c r="GO50" s="1"/>
      <c r="GP50" s="2"/>
      <c r="GQ50" s="2"/>
      <c r="GU50" s="144"/>
      <c r="GW50" s="144"/>
      <c r="GY50" s="144"/>
      <c r="HA50" s="144"/>
      <c r="HC50" s="1"/>
      <c r="HD50" s="2"/>
      <c r="HE50" s="2"/>
      <c r="HI50" s="144"/>
      <c r="HK50" s="144"/>
      <c r="HM50" s="144"/>
      <c r="HO50" s="144"/>
      <c r="HQ50" s="1"/>
      <c r="HR50" s="2"/>
      <c r="HS50" s="2"/>
      <c r="HW50" s="144"/>
      <c r="HY50" s="144"/>
      <c r="IA50" s="144"/>
      <c r="IC50" s="144"/>
      <c r="IE50" s="1"/>
      <c r="IF50" s="2"/>
      <c r="IG50" s="2"/>
      <c r="IK50" s="144"/>
      <c r="IM50" s="144"/>
      <c r="IO50" s="144"/>
      <c r="IQ50" s="144"/>
      <c r="IS50" s="1"/>
      <c r="IT50" s="2"/>
      <c r="IU50" s="2"/>
      <c r="IY50" s="144"/>
      <c r="JA50" s="144"/>
      <c r="JC50" s="144"/>
      <c r="JE50" s="144"/>
      <c r="JG50" s="1"/>
      <c r="JH50" s="2"/>
      <c r="JI50" s="2"/>
      <c r="JM50" s="144"/>
      <c r="JO50" s="144"/>
      <c r="JQ50" s="144"/>
      <c r="JS50" s="144"/>
      <c r="JU50" s="1"/>
      <c r="JV50" s="2"/>
      <c r="JW50" s="2"/>
      <c r="KA50" s="144"/>
      <c r="KC50" s="144"/>
      <c r="KE50" s="144"/>
      <c r="KG50" s="144"/>
      <c r="KI50" s="1"/>
      <c r="KJ50" s="2"/>
      <c r="KK50" s="2"/>
      <c r="KO50" s="144"/>
      <c r="KQ50" s="144"/>
      <c r="KS50" s="144"/>
      <c r="KU50" s="144"/>
      <c r="KW50" s="1"/>
      <c r="KX50" s="2"/>
      <c r="KY50" s="2"/>
      <c r="LC50" s="144"/>
      <c r="LE50" s="144"/>
      <c r="LG50" s="144"/>
      <c r="LI50" s="144"/>
      <c r="LK50" s="1"/>
      <c r="LL50" s="2"/>
      <c r="LM50" s="2"/>
      <c r="LQ50" s="144"/>
      <c r="LS50" s="144"/>
      <c r="LU50" s="144"/>
      <c r="LW50" s="144"/>
      <c r="LY50" s="1"/>
      <c r="LZ50" s="2"/>
      <c r="MA50" s="2"/>
      <c r="ME50" s="144"/>
      <c r="MG50" s="144"/>
      <c r="MI50" s="144"/>
      <c r="MK50" s="144"/>
      <c r="MM50" s="1"/>
      <c r="MN50" s="2"/>
      <c r="MO50" s="2"/>
      <c r="MS50" s="144"/>
      <c r="MU50" s="144"/>
      <c r="MW50" s="144"/>
      <c r="MY50" s="144"/>
      <c r="NA50" s="1"/>
      <c r="NB50" s="2"/>
      <c r="NC50" s="2"/>
      <c r="NG50" s="144"/>
      <c r="NI50" s="144"/>
      <c r="NK50" s="144"/>
      <c r="NM50" s="144"/>
      <c r="NO50" s="1"/>
      <c r="NP50" s="2"/>
      <c r="NQ50" s="2"/>
      <c r="NU50" s="144"/>
      <c r="NW50" s="144"/>
      <c r="NY50" s="144"/>
      <c r="OA50" s="144"/>
      <c r="OC50" s="1"/>
      <c r="OD50" s="2"/>
      <c r="OE50" s="2"/>
      <c r="OI50" s="144"/>
      <c r="OK50" s="144"/>
      <c r="OM50" s="144"/>
      <c r="OO50" s="144"/>
      <c r="OQ50" s="1"/>
      <c r="OR50" s="2"/>
      <c r="OS50" s="2"/>
      <c r="OW50" s="144"/>
      <c r="OY50" s="144"/>
      <c r="PA50" s="144"/>
      <c r="PC50" s="144"/>
      <c r="PE50" s="1"/>
      <c r="PF50" s="2"/>
      <c r="PG50" s="2"/>
      <c r="PK50" s="144"/>
      <c r="PM50" s="144"/>
      <c r="PO50" s="144"/>
      <c r="PQ50" s="144"/>
      <c r="PS50" s="1"/>
      <c r="PT50" s="2"/>
      <c r="PU50" s="2"/>
      <c r="PY50" s="144"/>
      <c r="QA50" s="144"/>
      <c r="QC50" s="144"/>
      <c r="QE50" s="144"/>
      <c r="QG50" s="1"/>
      <c r="QH50" s="2"/>
      <c r="QI50" s="2"/>
      <c r="QM50" s="144"/>
      <c r="QO50" s="144"/>
      <c r="QQ50" s="144"/>
      <c r="QS50" s="144"/>
      <c r="QU50" s="1"/>
      <c r="QV50" s="2"/>
      <c r="QW50" s="2"/>
      <c r="RA50" s="144"/>
      <c r="RC50" s="144"/>
      <c r="RE50" s="144"/>
      <c r="RG50" s="144"/>
      <c r="RI50" s="1"/>
      <c r="RJ50" s="2"/>
      <c r="RK50" s="2"/>
      <c r="RO50" s="144"/>
      <c r="RQ50" s="144"/>
      <c r="RS50" s="144"/>
      <c r="RU50" s="144"/>
      <c r="RW50" s="1"/>
      <c r="RX50" s="2"/>
      <c r="RY50" s="2"/>
      <c r="SC50" s="144"/>
      <c r="SE50" s="144"/>
      <c r="SG50" s="144"/>
      <c r="SI50" s="144"/>
      <c r="SK50" s="1"/>
      <c r="SL50" s="2"/>
      <c r="SM50" s="2"/>
      <c r="SQ50" s="144"/>
      <c r="SS50" s="144"/>
      <c r="SU50" s="144"/>
      <c r="SW50" s="144"/>
      <c r="SY50" s="1"/>
      <c r="SZ50" s="2"/>
      <c r="TA50" s="2"/>
      <c r="TE50" s="144"/>
      <c r="TG50" s="144"/>
      <c r="TI50" s="144"/>
      <c r="TK50" s="144"/>
      <c r="TM50" s="1"/>
      <c r="TN50" s="2"/>
      <c r="TO50" s="2"/>
      <c r="TS50" s="144"/>
      <c r="TU50" s="144"/>
      <c r="TW50" s="144"/>
      <c r="TY50" s="144"/>
      <c r="UA50" s="1"/>
      <c r="UB50" s="2"/>
      <c r="UC50" s="2"/>
      <c r="UG50" s="144"/>
      <c r="UI50" s="144"/>
      <c r="UK50" s="144"/>
      <c r="UM50" s="144"/>
      <c r="UO50" s="1"/>
      <c r="UP50" s="2"/>
      <c r="UQ50" s="2"/>
      <c r="UU50" s="144"/>
      <c r="UW50" s="144"/>
      <c r="UY50" s="144"/>
      <c r="VA50" s="144"/>
      <c r="VC50" s="1"/>
      <c r="VD50" s="2"/>
      <c r="VE50" s="2"/>
      <c r="VI50" s="144"/>
      <c r="VK50" s="144"/>
      <c r="VM50" s="144"/>
      <c r="VO50" s="144"/>
      <c r="VQ50" s="1"/>
      <c r="VR50" s="2"/>
      <c r="VS50" s="2"/>
      <c r="VW50" s="144"/>
      <c r="VY50" s="144"/>
      <c r="WA50" s="144"/>
      <c r="WC50" s="144"/>
      <c r="WE50" s="1"/>
      <c r="WF50" s="2"/>
      <c r="WG50" s="2"/>
      <c r="WK50" s="144"/>
      <c r="WM50" s="144"/>
      <c r="WO50" s="144"/>
      <c r="WQ50" s="144"/>
      <c r="WS50" s="1"/>
      <c r="WT50" s="2"/>
      <c r="WU50" s="2"/>
      <c r="WY50" s="144"/>
      <c r="XA50" s="144"/>
      <c r="XC50" s="144"/>
      <c r="XE50" s="144"/>
      <c r="XG50" s="1"/>
      <c r="XH50" s="2"/>
      <c r="XI50" s="2"/>
      <c r="XM50" s="144"/>
      <c r="XO50" s="144"/>
      <c r="XQ50" s="144"/>
      <c r="XS50" s="144"/>
      <c r="XU50" s="1"/>
      <c r="XV50" s="2"/>
      <c r="XW50" s="2"/>
      <c r="YA50" s="144"/>
      <c r="YC50" s="144"/>
      <c r="YE50" s="144"/>
      <c r="YG50" s="144"/>
      <c r="YI50" s="1"/>
      <c r="YJ50" s="2"/>
      <c r="YK50" s="2"/>
      <c r="YO50" s="144"/>
      <c r="YQ50" s="144"/>
      <c r="YS50" s="144"/>
      <c r="YU50" s="144"/>
      <c r="YW50" s="1"/>
      <c r="YX50" s="2"/>
      <c r="YY50" s="2"/>
      <c r="ZC50" s="144"/>
      <c r="ZE50" s="144"/>
      <c r="ZG50" s="144"/>
      <c r="ZI50" s="144"/>
      <c r="ZK50" s="1"/>
      <c r="ZL50" s="2"/>
      <c r="ZM50" s="2"/>
      <c r="ZQ50" s="144"/>
      <c r="ZS50" s="144"/>
      <c r="ZU50" s="144"/>
      <c r="ZW50" s="144"/>
      <c r="ZY50" s="1"/>
      <c r="ZZ50" s="2"/>
      <c r="AAA50" s="2"/>
      <c r="AAE50" s="144"/>
      <c r="AAG50" s="144"/>
      <c r="AAI50" s="144"/>
      <c r="AAK50" s="144"/>
      <c r="AAM50" s="1"/>
      <c r="AAN50" s="2"/>
      <c r="AAO50" s="2"/>
      <c r="AAS50" s="144"/>
      <c r="AAU50" s="144"/>
      <c r="AAW50" s="144"/>
      <c r="AAY50" s="144"/>
      <c r="ABA50" s="1"/>
      <c r="ABB50" s="2"/>
      <c r="ABC50" s="2"/>
      <c r="ABG50" s="144"/>
      <c r="ABI50" s="144"/>
      <c r="ABK50" s="144"/>
      <c r="ABM50" s="144"/>
      <c r="ABO50" s="1"/>
      <c r="ABP50" s="2"/>
      <c r="ABQ50" s="2"/>
      <c r="ABU50" s="144"/>
      <c r="ABW50" s="144"/>
      <c r="ABY50" s="144"/>
      <c r="ACA50" s="144"/>
      <c r="ACC50" s="1"/>
      <c r="ACD50" s="2"/>
      <c r="ACE50" s="2"/>
      <c r="ACI50" s="144"/>
      <c r="ACK50" s="144"/>
      <c r="ACM50" s="144"/>
      <c r="ACO50" s="144"/>
      <c r="ACQ50" s="1"/>
      <c r="ACR50" s="2"/>
      <c r="ACS50" s="2"/>
      <c r="ACW50" s="144"/>
      <c r="ACY50" s="144"/>
      <c r="ADA50" s="144"/>
      <c r="ADC50" s="144"/>
      <c r="ADE50" s="1"/>
      <c r="ADF50" s="2"/>
      <c r="ADG50" s="2"/>
      <c r="ADK50" s="144"/>
      <c r="ADM50" s="144"/>
      <c r="ADO50" s="144"/>
      <c r="ADQ50" s="144"/>
      <c r="ADS50" s="1"/>
      <c r="ADT50" s="2"/>
      <c r="ADU50" s="2"/>
      <c r="ADY50" s="144"/>
      <c r="AEA50" s="144"/>
      <c r="AEC50" s="144"/>
      <c r="AEE50" s="144"/>
      <c r="AEG50" s="1"/>
      <c r="AEH50" s="2"/>
      <c r="AEI50" s="2"/>
      <c r="AEM50" s="144"/>
      <c r="AEO50" s="144"/>
      <c r="AEQ50" s="144"/>
      <c r="AES50" s="144"/>
      <c r="AEU50" s="1"/>
      <c r="AEV50" s="2"/>
      <c r="AEW50" s="2"/>
      <c r="AFA50" s="144"/>
      <c r="AFC50" s="144"/>
      <c r="AFE50" s="144"/>
      <c r="AFG50" s="144"/>
      <c r="AFI50" s="1"/>
      <c r="AFJ50" s="2"/>
      <c r="AFK50" s="2"/>
      <c r="AFO50" s="144"/>
      <c r="AFQ50" s="144"/>
      <c r="AFS50" s="144"/>
      <c r="AFU50" s="144"/>
      <c r="AFW50" s="1"/>
      <c r="AFX50" s="2"/>
      <c r="AFY50" s="2"/>
      <c r="AGC50" s="144"/>
      <c r="AGE50" s="144"/>
      <c r="AGG50" s="144"/>
      <c r="AGI50" s="144"/>
      <c r="AGK50" s="1"/>
      <c r="AGL50" s="2"/>
      <c r="AGM50" s="2"/>
      <c r="AGQ50" s="144"/>
      <c r="AGS50" s="144"/>
      <c r="AGU50" s="144"/>
      <c r="AGW50" s="144"/>
      <c r="AGY50" s="1"/>
      <c r="AGZ50" s="2"/>
      <c r="AHA50" s="2"/>
      <c r="AHE50" s="144"/>
      <c r="AHG50" s="144"/>
      <c r="AHI50" s="144"/>
      <c r="AHK50" s="144"/>
      <c r="AHM50" s="1"/>
      <c r="AHN50" s="2"/>
      <c r="AHO50" s="2"/>
      <c r="AHS50" s="144"/>
      <c r="AHU50" s="144"/>
      <c r="AHW50" s="144"/>
      <c r="AHY50" s="144"/>
      <c r="AIA50" s="1"/>
      <c r="AIB50" s="2"/>
      <c r="AIC50" s="2"/>
      <c r="AIG50" s="144"/>
      <c r="AII50" s="144"/>
      <c r="AIK50" s="144"/>
      <c r="AIM50" s="144"/>
      <c r="AIO50" s="1"/>
      <c r="AIP50" s="2"/>
      <c r="AIQ50" s="2"/>
      <c r="AIU50" s="144"/>
      <c r="AIW50" s="144"/>
      <c r="AIY50" s="144"/>
      <c r="AJA50" s="144"/>
      <c r="AJC50" s="1"/>
      <c r="AJD50" s="2"/>
      <c r="AJE50" s="2"/>
      <c r="AJI50" s="144"/>
      <c r="AJK50" s="144"/>
      <c r="AJM50" s="144"/>
      <c r="AJO50" s="144"/>
      <c r="AJQ50" s="1"/>
      <c r="AJR50" s="2"/>
      <c r="AJS50" s="2"/>
      <c r="AJW50" s="144"/>
      <c r="AJY50" s="144"/>
      <c r="AKA50" s="144"/>
      <c r="AKC50" s="144"/>
      <c r="AKE50" s="1"/>
      <c r="AKF50" s="2"/>
      <c r="AKG50" s="2"/>
      <c r="AKK50" s="144"/>
      <c r="AKM50" s="144"/>
      <c r="AKO50" s="144"/>
      <c r="AKQ50" s="144"/>
      <c r="AKS50" s="1"/>
      <c r="AKT50" s="2"/>
      <c r="AKU50" s="2"/>
      <c r="AKY50" s="144"/>
      <c r="ALA50" s="144"/>
      <c r="ALC50" s="144"/>
      <c r="ALE50" s="144"/>
      <c r="ALG50" s="1"/>
      <c r="ALH50" s="2"/>
      <c r="ALI50" s="2"/>
      <c r="ALM50" s="144"/>
      <c r="ALO50" s="144"/>
      <c r="ALQ50" s="144"/>
      <c r="ALS50" s="144"/>
      <c r="ALU50" s="1"/>
      <c r="ALV50" s="2"/>
      <c r="ALW50" s="2"/>
      <c r="AMA50" s="144"/>
      <c r="AMC50" s="144"/>
      <c r="AME50" s="144"/>
      <c r="AMG50" s="144"/>
      <c r="AMI50" s="1"/>
      <c r="AMJ50" s="2"/>
    </row>
    <row r="51" customFormat="false" ht="18.55" hidden="false" customHeight="true" outlineLevel="0" collapsed="false">
      <c r="A51" s="129" t="s">
        <v>155</v>
      </c>
      <c r="B51" s="130"/>
      <c r="C51" s="130"/>
      <c r="D51" s="131" t="n">
        <f aca="false">F51/12</f>
        <v>1639.89978294473</v>
      </c>
      <c r="E51" s="131"/>
      <c r="F51" s="131" t="n">
        <f aca="false">F49+F50</f>
        <v>19678.7973953367</v>
      </c>
      <c r="G51" s="131"/>
      <c r="H51" s="131" t="n">
        <f aca="false">H49+H50</f>
        <v>21929.2022507086</v>
      </c>
      <c r="I51" s="131"/>
      <c r="J51" s="131" t="n">
        <f aca="false">J49+J50</f>
        <v>23268.8144295215</v>
      </c>
      <c r="K51" s="131"/>
      <c r="L51" s="131" t="n">
        <f aca="false">L49+L50</f>
        <v>24248.5376370594</v>
      </c>
      <c r="M51" s="131"/>
      <c r="N51" s="131" t="n">
        <f aca="false">N49+N50</f>
        <v>25125.7302922778</v>
      </c>
      <c r="O51" s="132" t="s">
        <v>156</v>
      </c>
      <c r="P51" s="133"/>
      <c r="Q51" s="133"/>
      <c r="R51" s="134" t="n">
        <f aca="false">((-R50)/R41)</f>
        <v>4.4336511769529</v>
      </c>
      <c r="S51" s="105" t="s">
        <v>124</v>
      </c>
      <c r="T51" s="106"/>
      <c r="U51" s="106"/>
      <c r="V51" s="106"/>
      <c r="W51" s="107" t="n">
        <f aca="false">IRR(W39:W46)</f>
        <v>0.28034686527528</v>
      </c>
    </row>
    <row r="52" customFormat="false" ht="12.8" hidden="false" customHeight="true" outlineLevel="0" collapsed="false">
      <c r="A52" s="34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customFormat="false" ht="12.8" hidden="false" customHeight="true" outlineLevel="0" collapsed="false">
      <c r="F53" s="43"/>
      <c r="G53" s="43"/>
      <c r="H53" s="43"/>
      <c r="I53" s="43"/>
      <c r="J53" s="43"/>
      <c r="K53" s="43"/>
      <c r="L53" s="43"/>
      <c r="M53" s="43"/>
      <c r="N53" s="43"/>
      <c r="O53" s="1"/>
    </row>
    <row r="54" customFormat="false" ht="12.8" hidden="false" customHeight="true" outlineLevel="0" collapsed="false">
      <c r="A54" s="135"/>
      <c r="B54" s="135"/>
      <c r="C54" s="135"/>
      <c r="D54" s="135"/>
      <c r="E54" s="135"/>
      <c r="G54" s="136"/>
      <c r="I54" s="136"/>
      <c r="K54" s="136"/>
      <c r="M54" s="136"/>
      <c r="P54" s="1"/>
      <c r="Q54" s="1"/>
      <c r="R54" s="1"/>
    </row>
  </sheetData>
  <mergeCells count="40">
    <mergeCell ref="A1:N1"/>
    <mergeCell ref="A2:N2"/>
    <mergeCell ref="A3:B3"/>
    <mergeCell ref="D3:H3"/>
    <mergeCell ref="J3:N3"/>
    <mergeCell ref="O4:R4"/>
    <mergeCell ref="O5:R5"/>
    <mergeCell ref="O15:R15"/>
    <mergeCell ref="F19:N19"/>
    <mergeCell ref="O20:R20"/>
    <mergeCell ref="S20:W20"/>
    <mergeCell ref="S21:W21"/>
    <mergeCell ref="S22:W22"/>
    <mergeCell ref="S23:W23"/>
    <mergeCell ref="O29:P29"/>
    <mergeCell ref="O30:P30"/>
    <mergeCell ref="O31:R31"/>
    <mergeCell ref="O32:R32"/>
    <mergeCell ref="O33:R33"/>
    <mergeCell ref="S33:T33"/>
    <mergeCell ref="O34:R34"/>
    <mergeCell ref="S34:T34"/>
    <mergeCell ref="O35:R35"/>
    <mergeCell ref="O36:R36"/>
    <mergeCell ref="S36:W36"/>
    <mergeCell ref="O37:R37"/>
    <mergeCell ref="S37:T37"/>
    <mergeCell ref="O38:R38"/>
    <mergeCell ref="O39:R39"/>
    <mergeCell ref="S39:T39"/>
    <mergeCell ref="O41:P41"/>
    <mergeCell ref="S41:T41"/>
    <mergeCell ref="S42:T42"/>
    <mergeCell ref="S43:T43"/>
    <mergeCell ref="S44:T44"/>
    <mergeCell ref="S45:T45"/>
    <mergeCell ref="D46:N46"/>
    <mergeCell ref="S46:T46"/>
    <mergeCell ref="T48:U48"/>
    <mergeCell ref="T49:U49"/>
  </mergeCells>
  <printOptions headings="false" gridLines="false" gridLinesSet="true" horizontalCentered="true" verticalCentered="true"/>
  <pageMargins left="0.747916666666667" right="0.747916666666667" top="0.984027777777778" bottom="0.984027777777778" header="0.5" footer="0.511805555555555"/>
  <pageSetup paperSize="1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&amp;C&amp;"Arial,Bold"&amp;12 ASKING 95%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2012-04-15T15:41:19Z</dcterms:created>
  <dc:creator>Philip Caputo</dc:creator>
  <dc:description/>
  <dc:language>en-US</dc:language>
  <cp:lastModifiedBy/>
  <cp:lastPrinted>2019-12-21T13:39:01Z</cp:lastPrinted>
  <dcterms:modified xsi:type="dcterms:W3CDTF">2020-07-16T10:08:27Z</dcterms:modified>
  <cp:revision>373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