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urrent" sheetId="1" state="visible" r:id="rId1"/>
    <sheet xmlns:r="http://schemas.openxmlformats.org/officeDocument/2006/relationships" name="tetraPRO" sheetId="2" state="visible" r:id="rId2"/>
  </sheets>
  <definedNames>
    <definedName name="_xlnm.Print_Area" localSheetId="0">'Current'!$A$1:$N$54</definedName>
    <definedName name="_xlnm.Print_Area" localSheetId="1">'tetraPRO'!$A$1:$N$52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4">
    <numFmt numFmtId="164" formatCode="\$#,##0"/>
    <numFmt numFmtId="165" formatCode="_(\$* #,##0.00_);_(\$* \(#,##0.00\);_(\$* \-??_);_(@_)"/>
    <numFmt numFmtId="166" formatCode="\$#,##0_);&quot;($&quot;#,##0\)"/>
    <numFmt numFmtId="167" formatCode="[$$-409]#,##0.00;[RED]\-[$$-409]#,##0.00"/>
    <numFmt numFmtId="168" formatCode="[$$-409]#,##0;[RED]\-[$$-409]#,##0"/>
    <numFmt numFmtId="169" formatCode="\$#,##0\ ;&quot;($&quot;#,##0\)"/>
    <numFmt numFmtId="170" formatCode="0.000%"/>
    <numFmt numFmtId="171" formatCode="\$#,##0.00"/>
    <numFmt numFmtId="172" formatCode="#,##0_);\(#,##0\)"/>
    <numFmt numFmtId="173" formatCode="\$#,##0_);[RED]&quot;($&quot;#,##0\)"/>
    <numFmt numFmtId="174" formatCode="0.000"/>
    <numFmt numFmtId="175" formatCode="0.0%"/>
    <numFmt numFmtId="176" formatCode="#,##0.00_);\(#,##0.00\)"/>
    <numFmt numFmtId="177" formatCode="#,##0.00_);[RED]\-#,##0.00"/>
  </numFmts>
  <fonts count="2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12"/>
    </font>
    <font>
      <name val="Arial"/>
      <charset val="1"/>
      <family val="2"/>
      <sz val="10"/>
      <vertAlign val="superscript"/>
    </font>
    <font>
      <name val="Arial"/>
      <charset val="1"/>
      <family val="0"/>
      <sz val="10"/>
      <vertAlign val="superscript"/>
    </font>
    <font>
      <name val="Arial"/>
      <charset val="1"/>
      <family val="0"/>
      <b val="1"/>
      <sz val="10"/>
    </font>
    <font>
      <name val="Arial"/>
      <charset val="1"/>
      <family val="0"/>
      <sz val="10.5"/>
    </font>
    <font>
      <name val="Arial"/>
      <charset val="1"/>
      <family val="0"/>
      <sz val="12"/>
    </font>
    <font>
      <name val="Arial"/>
      <charset val="1"/>
      <family val="0"/>
      <sz val="11"/>
    </font>
    <font>
      <name val="Arial"/>
      <charset val="1"/>
      <family val="0"/>
      <b val="1"/>
      <sz val="13"/>
    </font>
    <font>
      <name val="Arial"/>
      <charset val="1"/>
      <family val="0"/>
      <sz val="13"/>
    </font>
    <font>
      <name val="Arial"/>
      <charset val="1"/>
      <family val="2"/>
      <sz val="10"/>
    </font>
    <font>
      <name val="Arial"/>
      <charset val="1"/>
      <family val="2"/>
      <b val="1"/>
      <sz val="10"/>
      <vertAlign val="superscript"/>
    </font>
    <font>
      <name val="Arial"/>
      <charset val="1"/>
      <family val="0"/>
      <b val="1"/>
      <sz val="12"/>
    </font>
    <font>
      <name val="Times New Roman"/>
      <charset val="1"/>
      <family val="1"/>
      <color rgb="FF000000"/>
      <sz val="10"/>
    </font>
    <font>
      <name val="Arial"/>
      <charset val="1"/>
      <family val="2"/>
      <color rgb="FF21409A"/>
      <sz val="10"/>
    </font>
    <font>
      <name val="Arial"/>
      <charset val="1"/>
      <family val="0"/>
      <color rgb="FF21409A"/>
      <sz val="10"/>
    </font>
    <font>
      <name val="Arial"/>
      <charset val="1"/>
      <family val="0"/>
      <b val="1"/>
      <sz val="15"/>
    </font>
    <font>
      <name val="Arial"/>
      <family val="2"/>
      <sz val="10"/>
    </font>
    <font>
      <name val="Arial"/>
      <charset val="1"/>
      <family val="0"/>
      <b val="1"/>
      <sz val="10"/>
      <vertAlign val="superscript"/>
    </font>
    <font>
      <name val="Arial"/>
      <family val="2"/>
      <sz val="13"/>
    </font>
  </fonts>
  <fills count="11">
    <fill>
      <patternFill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DDDDDD"/>
        <bgColor rgb="FFEBEBEB"/>
      </patternFill>
    </fill>
    <fill>
      <patternFill patternType="solid">
        <fgColor rgb="FFB2B2B2"/>
        <bgColor rgb="FFB3B3B3"/>
      </patternFill>
    </fill>
    <fill>
      <patternFill patternType="solid">
        <fgColor rgb="FFE0EFD4"/>
        <bgColor rgb="FFEBEBEB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  <fill>
      <patternFill patternType="solid">
        <fgColor rgb="FF89C765"/>
        <bgColor rgb="FFADD58A"/>
      </patternFill>
    </fill>
    <fill>
      <patternFill patternType="solid">
        <fgColor rgb="FF62A73B"/>
        <bgColor rgb="FF89C765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 style="hair"/>
      <right style="hair"/>
      <top style="hair"/>
      <bottom style="hair"/>
      <diagonal/>
    </border>
    <border>
      <left/>
      <right/>
      <top style="medium">
        <color rgb="FFEBEBEB"/>
      </top>
      <bottom style="medium">
        <color rgb="FF808080"/>
      </bottom>
      <diagonal/>
    </border>
    <border>
      <left style="hair"/>
      <right style="hair"/>
      <top style="hair"/>
      <bottom style="medium">
        <color rgb="FF808080"/>
      </bottom>
      <diagonal/>
    </border>
    <border>
      <left style="hair"/>
      <right/>
      <top/>
      <bottom/>
      <diagonal/>
    </border>
    <border>
      <left/>
      <right style="hair"/>
      <top/>
      <bottom/>
      <diagonal/>
    </border>
    <border>
      <left style="hair"/>
      <right/>
      <top style="hair"/>
      <bottom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 style="hair"/>
      <right style="hair"/>
      <top style="hair"/>
      <bottom/>
      <diagonal/>
    </border>
    <border>
      <left style="hair"/>
      <right style="hair"/>
      <top/>
      <bottom/>
      <diagonal/>
    </border>
    <border>
      <left/>
      <right style="hair"/>
      <top/>
      <bottom style="thin">
        <color rgb="FFEBEBEB"/>
      </bottom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/>
      <right/>
      <top/>
      <bottom style="medium">
        <color rgb="FF808080"/>
      </bottom>
      <diagonal/>
    </border>
    <border>
      <left/>
      <right/>
      <top/>
      <bottom style="hair"/>
      <diagonal/>
    </border>
    <border>
      <left/>
      <right/>
      <top style="medium">
        <color rgb="FF808080"/>
      </top>
      <bottom/>
      <diagonal/>
    </border>
    <border>
      <left/>
      <right/>
      <top/>
      <bottom style="thin">
        <color rgb="FFEBEBEB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 style="hair"/>
      <right style="hair"/>
      <top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/>
      <right/>
      <top style="hair"/>
      <bottom style="medium">
        <color rgb="FF808080"/>
      </bottom>
      <diagonal/>
    </border>
    <border>
      <left/>
      <right style="hair"/>
      <top style="hair"/>
      <bottom style="medium">
        <color rgb="FF808080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8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bottom"/>
    </xf>
    <xf numFmtId="0" fontId="5" fillId="0" borderId="3" applyAlignment="1" pivotButton="0" quotePrefix="0" xfId="0">
      <alignment horizontal="center" vertical="bottom"/>
    </xf>
    <xf numFmtId="0" fontId="5" fillId="0" borderId="4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4" fillId="0" borderId="5" applyAlignment="1" pivotButton="0" quotePrefix="0" xfId="0">
      <alignment horizontal="left" vertical="bottom"/>
    </xf>
    <xf numFmtId="164" fontId="4" fillId="2" borderId="6" applyAlignment="1" pivotButton="0" quotePrefix="0" xfId="17">
      <alignment horizontal="right" vertical="bottom"/>
    </xf>
    <xf numFmtId="3" fontId="6" fillId="0" borderId="0" applyAlignment="1" pivotButton="0" quotePrefix="0" xfId="17">
      <alignment horizontal="center" vertical="bottom"/>
    </xf>
    <xf numFmtId="0" fontId="4" fillId="0" borderId="7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bottom"/>
    </xf>
    <xf numFmtId="9" fontId="0" fillId="0" borderId="8" applyAlignment="1" pivotButton="0" quotePrefix="0" xfId="19">
      <alignment horizontal="general" vertical="bottom"/>
    </xf>
    <xf numFmtId="0" fontId="0" fillId="0" borderId="8" applyAlignment="1" pivotButton="0" quotePrefix="0" xfId="0">
      <alignment horizontal="general" vertical="bottom"/>
    </xf>
    <xf numFmtId="164" fontId="0" fillId="0" borderId="9" applyAlignment="1" pivotButton="0" quotePrefix="0" xfId="17">
      <alignment horizontal="general" vertical="bottom"/>
    </xf>
    <xf numFmtId="165" fontId="0" fillId="0" borderId="0" applyAlignment="1" pivotButton="0" quotePrefix="0" xfId="17">
      <alignment horizontal="general" vertical="bottom"/>
    </xf>
    <xf numFmtId="0" fontId="0" fillId="0" borderId="5" applyAlignment="1" pivotButton="0" quotePrefix="0" xfId="0">
      <alignment horizontal="general" vertical="bottom"/>
    </xf>
    <xf numFmtId="3" fontId="7" fillId="0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 wrapText="1"/>
    </xf>
    <xf numFmtId="0" fontId="8" fillId="4" borderId="10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164" fontId="0" fillId="0" borderId="6" applyAlignment="1" pivotButton="0" quotePrefix="0" xfId="17">
      <alignment horizontal="general" vertical="bottom"/>
    </xf>
    <xf numFmtId="9" fontId="0" fillId="5" borderId="0" applyAlignment="1" pivotButton="0" quotePrefix="0" xfId="19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0" fillId="0" borderId="6" applyAlignment="1" pivotButton="0" quotePrefix="0" xfId="17">
      <alignment horizontal="general" vertical="bottom"/>
    </xf>
    <xf numFmtId="4" fontId="0" fillId="0" borderId="6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center"/>
    </xf>
    <xf numFmtId="0" fontId="8" fillId="0" borderId="5" applyAlignment="1" pivotButton="0" quotePrefix="0" xfId="0">
      <alignment horizontal="general" vertical="bottom"/>
    </xf>
    <xf numFmtId="9" fontId="0" fillId="5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5" fontId="4" fillId="0" borderId="6" applyAlignment="1" pivotButton="0" quotePrefix="0" xfId="17">
      <alignment horizontal="general" vertical="bottom"/>
    </xf>
    <xf numFmtId="167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general" vertical="bottom"/>
    </xf>
    <xf numFmtId="164" fontId="0" fillId="2" borderId="6" applyAlignment="1" pivotButton="0" quotePrefix="0" xfId="17">
      <alignment horizontal="general" vertical="bottom"/>
    </xf>
    <xf numFmtId="9" fontId="0" fillId="0" borderId="0" applyAlignment="1" pivotButton="0" quotePrefix="0" xfId="19">
      <alignment horizontal="general" vertical="bottom"/>
    </xf>
    <xf numFmtId="0" fontId="0" fillId="0" borderId="0" applyAlignment="1" pivotButton="0" quotePrefix="0" xfId="0">
      <alignment horizontal="center" vertical="bottom"/>
    </xf>
    <xf numFmtId="164" fontId="0" fillId="0" borderId="12" applyAlignment="1" pivotButton="0" quotePrefix="0" xfId="17">
      <alignment horizontal="general" vertical="bottom"/>
    </xf>
    <xf numFmtId="0" fontId="0" fillId="0" borderId="6" applyAlignment="1" pivotButton="0" quotePrefix="0" xfId="0">
      <alignment horizontal="general" vertical="bottom"/>
    </xf>
    <xf numFmtId="165" fontId="0" fillId="0" borderId="6" applyAlignment="1" pivotButton="0" quotePrefix="0" xfId="17">
      <alignment horizontal="general" vertical="bottom"/>
    </xf>
    <xf numFmtId="0" fontId="8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10" fontId="0" fillId="0" borderId="6" applyAlignment="1" pivotButton="0" quotePrefix="0" xfId="19">
      <alignment horizontal="general" vertical="bottom"/>
    </xf>
    <xf numFmtId="169" fontId="0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4" fontId="0" fillId="0" borderId="6" applyAlignment="1" pivotButton="0" quotePrefix="0" xfId="19">
      <alignment horizontal="general" vertical="bottom"/>
    </xf>
    <xf numFmtId="164" fontId="0" fillId="0" borderId="6" applyAlignment="1" pivotButton="0" quotePrefix="0" xfId="0">
      <alignment horizontal="general" vertical="bottom"/>
    </xf>
    <xf numFmtId="170" fontId="0" fillId="5" borderId="0" applyAlignment="1" pivotButton="0" quotePrefix="0" xfId="19">
      <alignment horizontal="general" vertical="bottom"/>
    </xf>
    <xf numFmtId="170" fontId="0" fillId="0" borderId="6" applyAlignment="1" pivotButton="0" quotePrefix="0" xfId="19">
      <alignment horizontal="general" vertical="bottom"/>
    </xf>
    <xf numFmtId="171" fontId="0" fillId="0" borderId="6" applyAlignment="1" pivotButton="0" quotePrefix="0" xfId="0">
      <alignment horizontal="general" vertical="bottom"/>
    </xf>
    <xf numFmtId="167" fontId="9" fillId="7" borderId="0" applyAlignment="1" pivotButton="0" quotePrefix="0" xfId="0">
      <alignment horizontal="general" vertical="bottom"/>
    </xf>
    <xf numFmtId="168" fontId="9" fillId="7" borderId="6" applyAlignment="1" pivotButton="0" quotePrefix="0" xfId="0">
      <alignment horizontal="general" vertical="bottom"/>
    </xf>
    <xf numFmtId="172" fontId="0" fillId="2" borderId="6" applyAlignment="1" pivotButton="0" quotePrefix="0" xfId="17">
      <alignment horizontal="general" vertical="bottom"/>
    </xf>
    <xf numFmtId="0" fontId="0" fillId="5" borderId="0" applyAlignment="1" pivotButton="0" quotePrefix="0" xfId="0">
      <alignment horizontal="general" vertical="bottom"/>
    </xf>
    <xf numFmtId="167" fontId="10" fillId="8" borderId="0" applyAlignment="1" pivotButton="0" quotePrefix="0" xfId="0">
      <alignment horizontal="general" vertical="bottom"/>
    </xf>
    <xf numFmtId="168" fontId="11" fillId="8" borderId="6" applyAlignment="1" pivotButton="0" quotePrefix="0" xfId="0">
      <alignment horizontal="general" vertical="bottom"/>
    </xf>
    <xf numFmtId="164" fontId="0" fillId="2" borderId="12" applyAlignment="1" pivotButton="0" quotePrefix="0" xfId="17">
      <alignment horizontal="general" vertical="bottom"/>
    </xf>
    <xf numFmtId="173" fontId="0" fillId="0" borderId="0" applyAlignment="1" pivotButton="0" quotePrefix="0" xfId="0">
      <alignment horizontal="general" vertical="bottom"/>
    </xf>
    <xf numFmtId="173" fontId="0" fillId="0" borderId="6" applyAlignment="1" pivotButton="0" quotePrefix="0" xfId="0">
      <alignment horizontal="general" vertical="bottom"/>
    </xf>
    <xf numFmtId="167" fontId="10" fillId="9" borderId="0" applyAlignment="1" pivotButton="0" quotePrefix="0" xfId="0">
      <alignment horizontal="general" vertical="bottom"/>
    </xf>
    <xf numFmtId="168" fontId="10" fillId="9" borderId="6" applyAlignment="1" pivotButton="0" quotePrefix="0" xfId="0">
      <alignment horizontal="general" vertical="bottom"/>
    </xf>
    <xf numFmtId="0" fontId="4" fillId="0" borderId="13" applyAlignment="1" pivotButton="0" quotePrefix="0" xfId="0">
      <alignment horizontal="general" vertical="bottom"/>
    </xf>
    <xf numFmtId="164" fontId="0" fillId="0" borderId="14" applyAlignment="1" pivotButton="0" quotePrefix="0" xfId="17">
      <alignment horizontal="general" vertical="bottom"/>
    </xf>
    <xf numFmtId="0" fontId="0" fillId="0" borderId="15" applyAlignment="1" pivotButton="0" quotePrefix="0" xfId="0">
      <alignment horizontal="general" vertical="bottom"/>
    </xf>
    <xf numFmtId="10" fontId="0" fillId="5" borderId="0" applyAlignment="1" pivotButton="0" quotePrefix="0" xfId="0">
      <alignment horizontal="general" vertical="bottom"/>
    </xf>
    <xf numFmtId="174" fontId="0" fillId="5" borderId="6" applyAlignment="1" pivotButton="0" quotePrefix="0" xfId="0">
      <alignment horizontal="general" vertical="bottom"/>
    </xf>
    <xf numFmtId="0" fontId="7" fillId="0" borderId="15" applyAlignment="1" pivotButton="0" quotePrefix="0" xfId="0">
      <alignment horizontal="general" vertical="bottom"/>
    </xf>
    <xf numFmtId="0" fontId="0" fillId="0" borderId="13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10" fontId="4" fillId="0" borderId="14" applyAlignment="1" pivotButton="0" quotePrefix="0" xfId="19">
      <alignment horizontal="general" vertical="bottom"/>
    </xf>
    <xf numFmtId="167" fontId="12" fillId="10" borderId="0" applyAlignment="1" pivotButton="0" quotePrefix="0" xfId="0">
      <alignment horizontal="general" vertical="bottom"/>
    </xf>
    <xf numFmtId="168" fontId="13" fillId="10" borderId="6" applyAlignment="1" pivotButton="0" quotePrefix="0" xfId="0">
      <alignment horizontal="general" vertical="bottom"/>
    </xf>
    <xf numFmtId="0" fontId="0" fillId="0" borderId="13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0" fontId="14" fillId="0" borderId="14" applyAlignment="1" pivotButton="0" quotePrefix="0" xfId="0">
      <alignment horizontal="general" vertical="bottom"/>
    </xf>
    <xf numFmtId="0" fontId="8" fillId="0" borderId="11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10" fontId="0" fillId="3" borderId="0" applyAlignment="1" pivotButton="0" quotePrefix="0" xfId="19">
      <alignment horizontal="general" vertical="bottom"/>
    </xf>
    <xf numFmtId="0" fontId="0" fillId="3" borderId="0" applyAlignment="1" pivotButton="0" quotePrefix="0" xfId="0">
      <alignment horizontal="general" vertical="bottom"/>
    </xf>
    <xf numFmtId="10" fontId="0" fillId="3" borderId="0" applyAlignment="1" pivotButton="0" quotePrefix="0" xfId="0">
      <alignment horizontal="general" vertical="bottom"/>
    </xf>
    <xf numFmtId="164" fontId="0" fillId="0" borderId="0" applyAlignment="1" pivotButton="0" quotePrefix="0" xfId="17">
      <alignment horizontal="general" vertical="bottom"/>
    </xf>
    <xf numFmtId="164" fontId="0" fillId="0" borderId="0" applyAlignment="1" pivotButton="0" quotePrefix="0" xfId="0">
      <alignment horizontal="general" vertical="bottom"/>
    </xf>
    <xf numFmtId="10" fontId="0" fillId="0" borderId="6" applyAlignment="1" pivotButton="0" quotePrefix="0" xfId="0">
      <alignment horizontal="general" vertical="bottom"/>
    </xf>
    <xf numFmtId="0" fontId="4" fillId="0" borderId="15" applyAlignment="1" pivotButton="0" quotePrefix="0" xfId="0">
      <alignment horizontal="general" vertical="bottom"/>
    </xf>
    <xf numFmtId="0" fontId="15" fillId="0" borderId="15" applyAlignment="1" pivotButton="0" quotePrefix="0" xfId="0">
      <alignment horizontal="general" vertical="bottom"/>
    </xf>
    <xf numFmtId="9" fontId="0" fillId="3" borderId="15" applyAlignment="1" pivotButton="0" quotePrefix="0" xfId="19">
      <alignment horizontal="general" vertical="bottom"/>
    </xf>
    <xf numFmtId="0" fontId="0" fillId="3" borderId="15" applyAlignment="1" pivotButton="0" quotePrefix="0" xfId="0">
      <alignment horizontal="general" vertical="bottom"/>
    </xf>
    <xf numFmtId="10" fontId="0" fillId="3" borderId="15" applyAlignment="1" pivotButton="0" quotePrefix="0" xfId="19">
      <alignment horizontal="general" vertical="bottom"/>
    </xf>
    <xf numFmtId="10" fontId="0" fillId="3" borderId="15" applyAlignment="1" pivotButton="0" quotePrefix="0" xfId="0">
      <alignment horizontal="general" vertical="bottom"/>
    </xf>
    <xf numFmtId="0" fontId="4" fillId="0" borderId="17" applyAlignment="1" pivotButton="0" quotePrefix="0" xfId="0">
      <alignment horizontal="center" vertical="bottom"/>
    </xf>
    <xf numFmtId="0" fontId="0" fillId="0" borderId="16" applyAlignment="1" pivotButton="0" quotePrefix="0" xfId="0">
      <alignment horizontal="center" vertical="bottom"/>
    </xf>
    <xf numFmtId="10" fontId="0" fillId="0" borderId="14" applyAlignment="1" pivotButton="0" quotePrefix="0" xfId="0">
      <alignment horizontal="general" vertical="bottom"/>
    </xf>
    <xf numFmtId="0" fontId="4" fillId="0" borderId="15" applyAlignment="1" pivotButton="0" quotePrefix="0" xfId="0">
      <alignment horizontal="center" vertical="bottom"/>
    </xf>
    <xf numFmtId="0" fontId="16" fillId="4" borderId="10" applyAlignment="1" pivotButton="0" quotePrefix="0" xfId="0">
      <alignment horizontal="center" vertical="center"/>
    </xf>
    <xf numFmtId="0" fontId="16" fillId="3" borderId="1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bottom"/>
    </xf>
    <xf numFmtId="175" fontId="0" fillId="2" borderId="0" applyAlignment="1" pivotButton="0" quotePrefix="0" xfId="19">
      <alignment horizontal="general" vertical="bottom"/>
    </xf>
    <xf numFmtId="173" fontId="14" fillId="0" borderId="18" applyAlignment="1" pivotButton="0" quotePrefix="0" xfId="0">
      <alignment horizontal="general" vertical="bottom"/>
    </xf>
    <xf numFmtId="173" fontId="4" fillId="0" borderId="0" applyAlignment="1" pivotButton="0" quotePrefix="0" xfId="0">
      <alignment horizontal="general" vertical="bottom"/>
    </xf>
    <xf numFmtId="173" fontId="0" fillId="0" borderId="18" applyAlignment="1" pivotButton="0" quotePrefix="0" xfId="0">
      <alignment horizontal="general" vertical="bottom"/>
    </xf>
    <xf numFmtId="173" fontId="0" fillId="0" borderId="0" applyAlignment="1" pivotButton="0" quotePrefix="0" xfId="0">
      <alignment horizontal="general" vertical="bottom"/>
    </xf>
    <xf numFmtId="10" fontId="0" fillId="3" borderId="0" applyAlignment="1" pivotButton="0" quotePrefix="0" xfId="0">
      <alignment horizontal="center" vertical="bottom"/>
    </xf>
    <xf numFmtId="168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7" borderId="5" applyAlignment="1" pivotButton="0" quotePrefix="0" xfId="0">
      <alignment horizontal="general" vertical="bottom"/>
    </xf>
    <xf numFmtId="168" fontId="0" fillId="7" borderId="0" applyAlignment="1" pivotButton="0" quotePrefix="0" xfId="0">
      <alignment horizontal="center" vertical="bottom"/>
    </xf>
    <xf numFmtId="3" fontId="0" fillId="7" borderId="0" applyAlignment="1" pivotButton="0" quotePrefix="0" xfId="0">
      <alignment horizontal="center" vertical="bottom"/>
    </xf>
    <xf numFmtId="0" fontId="0" fillId="7" borderId="6" applyAlignment="1" pivotButton="0" quotePrefix="0" xfId="0">
      <alignment horizontal="general" vertical="bottom"/>
    </xf>
    <xf numFmtId="0" fontId="8" fillId="0" borderId="5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173" fontId="0" fillId="0" borderId="6" applyAlignment="1" pivotButton="0" quotePrefix="0" xfId="0">
      <alignment horizontal="center" vertical="bottom"/>
    </xf>
    <xf numFmtId="166" fontId="14" fillId="0" borderId="18" applyAlignment="1" pivotButton="0" quotePrefix="0" xfId="17">
      <alignment horizontal="general" vertical="bottom"/>
    </xf>
    <xf numFmtId="166" fontId="15" fillId="0" borderId="0" applyAlignment="1" pivotButton="0" quotePrefix="0" xfId="17">
      <alignment horizontal="general" vertical="bottom"/>
    </xf>
    <xf numFmtId="164" fontId="0" fillId="2" borderId="18" applyAlignment="1" pivotButton="0" quotePrefix="0" xfId="0">
      <alignment horizontal="general" vertical="bottom"/>
    </xf>
    <xf numFmtId="164" fontId="0" fillId="0" borderId="18" applyAlignment="1" pivotButton="0" quotePrefix="0" xfId="0">
      <alignment horizontal="general" vertical="bottom"/>
    </xf>
    <xf numFmtId="167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center" vertical="bottom"/>
    </xf>
    <xf numFmtId="0" fontId="4" fillId="0" borderId="19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175" fontId="0" fillId="0" borderId="0" applyAlignment="1" pivotButton="0" quotePrefix="0" xfId="19">
      <alignment horizontal="general" vertical="bottom"/>
    </xf>
    <xf numFmtId="164" fontId="0" fillId="2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3" fontId="0" fillId="0" borderId="0" applyAlignment="1" pivotButton="0" quotePrefix="0" xfId="0">
      <alignment horizontal="center" vertical="bottom"/>
    </xf>
    <xf numFmtId="0" fontId="0" fillId="0" borderId="2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bottom"/>
    </xf>
    <xf numFmtId="0" fontId="12" fillId="3" borderId="13" applyAlignment="1" pivotButton="0" quotePrefix="0" xfId="0">
      <alignment horizontal="general" vertical="bottom"/>
    </xf>
    <xf numFmtId="0" fontId="12" fillId="3" borderId="16" applyAlignment="1" pivotButton="0" quotePrefix="0" xfId="0">
      <alignment horizontal="general" vertical="bottom"/>
    </xf>
    <xf numFmtId="10" fontId="12" fillId="3" borderId="14" applyAlignment="1" pivotButton="0" quotePrefix="0" xfId="0">
      <alignment horizontal="center" vertical="bottom"/>
    </xf>
    <xf numFmtId="0" fontId="12" fillId="4" borderId="10" applyAlignment="1" pivotButton="0" quotePrefix="0" xfId="0">
      <alignment horizontal="center" vertical="center"/>
    </xf>
    <xf numFmtId="168" fontId="0" fillId="6" borderId="11" applyAlignment="1" pivotButton="0" quotePrefix="0" xfId="0">
      <alignment horizontal="center" vertical="center"/>
    </xf>
    <xf numFmtId="175" fontId="0" fillId="0" borderId="18" applyAlignment="1" pivotButton="0" quotePrefix="0" xfId="19">
      <alignment horizontal="general" vertical="bottom"/>
    </xf>
    <xf numFmtId="164" fontId="14" fillId="0" borderId="18" applyAlignment="1" pivotButton="0" quotePrefix="0" xfId="0">
      <alignment horizontal="general" vertical="bottom"/>
    </xf>
    <xf numFmtId="0" fontId="8" fillId="6" borderId="20" applyAlignment="1" pivotButton="0" quotePrefix="0" xfId="0">
      <alignment horizontal="center" vertical="center"/>
    </xf>
    <xf numFmtId="175" fontId="4" fillId="0" borderId="0" applyAlignment="1" pivotButton="0" quotePrefix="0" xfId="0">
      <alignment horizontal="general" vertical="bottom"/>
    </xf>
    <xf numFmtId="175" fontId="4" fillId="0" borderId="19" applyAlignment="1" pivotButton="0" quotePrefix="0" xfId="0">
      <alignment horizontal="general" vertical="bottom"/>
    </xf>
    <xf numFmtId="164" fontId="5" fillId="0" borderId="19" applyAlignment="1" pivotButton="0" quotePrefix="0" xfId="0">
      <alignment horizontal="general" vertical="bottom"/>
    </xf>
    <xf numFmtId="0" fontId="5" fillId="0" borderId="19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173" fontId="14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center" vertical="bottom"/>
    </xf>
    <xf numFmtId="173" fontId="17" fillId="0" borderId="18" applyAlignment="1" pivotButton="0" quotePrefix="0" xfId="0">
      <alignment horizontal="general" vertical="bottom"/>
    </xf>
    <xf numFmtId="173" fontId="18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171" fontId="1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16" applyAlignment="1" pivotButton="0" quotePrefix="0" xfId="0">
      <alignment horizontal="general" vertical="bottom"/>
    </xf>
    <xf numFmtId="173" fontId="5" fillId="0" borderId="0" applyAlignment="1" pivotButton="0" quotePrefix="0" xfId="0">
      <alignment horizontal="general" vertical="bottom"/>
    </xf>
    <xf numFmtId="173" fontId="16" fillId="0" borderId="0" applyAlignment="1" pivotButton="0" quotePrefix="0" xfId="0">
      <alignment horizontal="general" vertical="bottom"/>
    </xf>
    <xf numFmtId="173" fontId="0" fillId="0" borderId="0" applyAlignment="1" pivotButton="0" quotePrefix="0" xfId="0">
      <alignment horizontal="general" vertical="bottom"/>
    </xf>
    <xf numFmtId="0" fontId="8" fillId="0" borderId="13" applyAlignment="1" pivotButton="0" quotePrefix="0" xfId="0">
      <alignment horizontal="general" vertical="bottom"/>
    </xf>
    <xf numFmtId="0" fontId="0" fillId="0" borderId="16" applyAlignment="1" pivotButton="0" quotePrefix="0" xfId="0">
      <alignment horizontal="center" vertical="bottom"/>
    </xf>
    <xf numFmtId="173" fontId="8" fillId="0" borderId="14" applyAlignment="1" pivotButton="0" quotePrefix="0" xfId="0">
      <alignment horizontal="general" vertical="bottom"/>
    </xf>
    <xf numFmtId="0" fontId="5" fillId="0" borderId="19" applyAlignment="1" pivotButton="0" quotePrefix="0" xfId="0">
      <alignment horizontal="center" vertical="bottom"/>
    </xf>
    <xf numFmtId="0" fontId="10" fillId="0" borderId="19" applyAlignment="1" pivotButton="0" quotePrefix="0" xfId="0">
      <alignment horizontal="general" vertical="bottom"/>
    </xf>
    <xf numFmtId="173" fontId="5" fillId="0" borderId="19" applyAlignment="1" pivotButton="0" quotePrefix="0" xfId="0">
      <alignment horizontal="general" vertical="bottom"/>
    </xf>
    <xf numFmtId="0" fontId="12" fillId="4" borderId="21" applyAlignment="1" pivotButton="0" quotePrefix="0" xfId="0">
      <alignment horizontal="general" vertical="bottom"/>
    </xf>
    <xf numFmtId="0" fontId="20" fillId="4" borderId="22" applyAlignment="1" pivotButton="0" quotePrefix="0" xfId="0">
      <alignment horizontal="general" vertical="bottom"/>
    </xf>
    <xf numFmtId="10" fontId="20" fillId="4" borderId="23" applyAlignment="1" pivotButton="0" quotePrefix="0" xfId="0">
      <alignment horizontal="general" vertical="bottom"/>
    </xf>
    <xf numFmtId="0" fontId="4" fillId="0" borderId="24" applyAlignment="1" pivotButton="0" quotePrefix="0" xfId="0">
      <alignment horizontal="general" vertical="bottom"/>
    </xf>
    <xf numFmtId="10" fontId="4" fillId="0" borderId="24" applyAlignment="1" pivotButton="0" quotePrefix="0" xfId="19">
      <alignment horizontal="general" vertical="bottom"/>
    </xf>
    <xf numFmtId="10" fontId="4" fillId="0" borderId="24" applyAlignment="1" pivotButton="0" quotePrefix="0" xfId="0">
      <alignment horizontal="general" vertical="bottom"/>
    </xf>
    <xf numFmtId="9" fontId="0" fillId="5" borderId="18" applyAlignment="1" pivotButton="0" quotePrefix="0" xfId="19">
      <alignment horizontal="general" vertical="bottom"/>
    </xf>
    <xf numFmtId="166" fontId="0" fillId="0" borderId="12" applyAlignment="1" pivotButton="0" quotePrefix="0" xfId="17">
      <alignment horizontal="general" vertical="bottom"/>
    </xf>
    <xf numFmtId="10" fontId="0" fillId="5" borderId="10" applyAlignment="1" pivotButton="0" quotePrefix="0" xfId="0">
      <alignment horizontal="general" vertical="bottom"/>
    </xf>
    <xf numFmtId="174" fontId="0" fillId="5" borderId="10" applyAlignment="1" pivotButton="0" quotePrefix="0" xfId="0">
      <alignment horizontal="general" vertical="bottom"/>
    </xf>
    <xf numFmtId="0" fontId="0" fillId="0" borderId="20" applyAlignment="1" pivotButton="0" quotePrefix="0" xfId="0">
      <alignment horizontal="general" vertical="bottom"/>
    </xf>
    <xf numFmtId="0" fontId="14" fillId="0" borderId="20" applyAlignment="1" pivotButton="0" quotePrefix="0" xfId="0">
      <alignment horizontal="general" vertical="bottom"/>
    </xf>
    <xf numFmtId="0" fontId="8" fillId="0" borderId="5" applyAlignment="1" pivotButton="0" quotePrefix="0" xfId="0">
      <alignment horizontal="center" vertical="bottom"/>
    </xf>
    <xf numFmtId="176" fontId="0" fillId="0" borderId="2" applyAlignment="1" pivotButton="0" quotePrefix="0" xfId="0">
      <alignment horizontal="center" vertical="bottom"/>
    </xf>
    <xf numFmtId="173" fontId="4" fillId="0" borderId="5" applyAlignment="1" pivotButton="0" quotePrefix="0" xfId="0">
      <alignment horizontal="center" vertical="center"/>
    </xf>
    <xf numFmtId="173" fontId="8" fillId="0" borderId="0" applyAlignment="1" pivotButton="0" quotePrefix="0" xfId="0">
      <alignment horizontal="general" vertical="bottom"/>
    </xf>
    <xf numFmtId="173" fontId="4" fillId="0" borderId="0" applyAlignment="1" pivotButton="0" quotePrefix="0" xfId="0">
      <alignment horizontal="general" vertical="bottom"/>
    </xf>
    <xf numFmtId="177" fontId="8" fillId="0" borderId="6" applyAlignment="1" pivotButton="0" quotePrefix="0" xfId="0">
      <alignment horizontal="center" vertical="bottom"/>
    </xf>
    <xf numFmtId="0" fontId="12" fillId="4" borderId="21" applyAlignment="1" pivotButton="0" quotePrefix="0" xfId="0">
      <alignment horizontal="center" vertical="center"/>
    </xf>
    <xf numFmtId="0" fontId="13" fillId="4" borderId="22" applyAlignment="1" pivotButton="0" quotePrefix="0" xfId="0">
      <alignment horizontal="general" vertical="bottom"/>
    </xf>
    <xf numFmtId="10" fontId="12" fillId="4" borderId="23" applyAlignment="1" pivotButton="0" quotePrefix="0" xfId="0">
      <alignment horizontal="general" vertical="bottom"/>
    </xf>
    <xf numFmtId="3" fontId="0" fillId="6" borderId="11" applyAlignment="1" pivotButton="0" quotePrefix="0" xfId="0">
      <alignment horizontal="center" vertical="center"/>
    </xf>
    <xf numFmtId="164" fontId="4" fillId="0" borderId="19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bottom"/>
    </xf>
    <xf numFmtId="0" fontId="0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bottom"/>
    </xf>
    <xf numFmtId="0" fontId="0" fillId="0" borderId="23" pivotButton="0" quotePrefix="0" xfId="0"/>
    <xf numFmtId="0" fontId="5" fillId="0" borderId="3" applyAlignment="1" pivotButton="0" quotePrefix="0" xfId="0">
      <alignment horizontal="center" vertical="bottom"/>
    </xf>
    <xf numFmtId="0" fontId="0" fillId="0" borderId="22" pivotButton="0" quotePrefix="0" xfId="0"/>
    <xf numFmtId="0" fontId="5" fillId="0" borderId="4" applyAlignment="1" pivotButton="0" quotePrefix="0" xfId="0">
      <alignment horizontal="center" vertical="bottom"/>
    </xf>
    <xf numFmtId="0" fontId="0" fillId="0" borderId="25" pivotButton="0" quotePrefix="0" xfId="0"/>
    <xf numFmtId="0" fontId="0" fillId="0" borderId="26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5" applyAlignment="1" pivotButton="0" quotePrefix="0" xfId="0">
      <alignment horizontal="left" vertical="bottom"/>
    </xf>
    <xf numFmtId="164" fontId="4" fillId="2" borderId="6" applyAlignment="1" pivotButton="0" quotePrefix="0" xfId="17">
      <alignment horizontal="right" vertical="bottom"/>
    </xf>
    <xf numFmtId="3" fontId="6" fillId="0" borderId="0" applyAlignment="1" pivotButton="0" quotePrefix="0" xfId="17">
      <alignment horizontal="center" vertical="bottom"/>
    </xf>
    <xf numFmtId="0" fontId="4" fillId="0" borderId="7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bottom"/>
    </xf>
    <xf numFmtId="9" fontId="0" fillId="0" borderId="8" applyAlignment="1" pivotButton="0" quotePrefix="0" xfId="19">
      <alignment horizontal="general" vertical="bottom"/>
    </xf>
    <xf numFmtId="0" fontId="0" fillId="0" borderId="8" applyAlignment="1" pivotButton="0" quotePrefix="0" xfId="0">
      <alignment horizontal="general" vertical="bottom"/>
    </xf>
    <xf numFmtId="164" fontId="0" fillId="0" borderId="9" applyAlignment="1" pivotButton="0" quotePrefix="0" xfId="17">
      <alignment horizontal="general" vertical="bottom"/>
    </xf>
    <xf numFmtId="0" fontId="0" fillId="0" borderId="5" applyAlignment="1" pivotButton="0" quotePrefix="0" xfId="0">
      <alignment horizontal="general" vertical="bottom"/>
    </xf>
    <xf numFmtId="3" fontId="7" fillId="0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 wrapText="1"/>
    </xf>
    <xf numFmtId="0" fontId="8" fillId="4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4" fillId="0" borderId="5" applyAlignment="1" pivotButton="0" quotePrefix="0" xfId="0">
      <alignment horizontal="general" vertical="bottom"/>
    </xf>
    <xf numFmtId="164" fontId="0" fillId="0" borderId="6" applyAlignment="1" pivotButton="0" quotePrefix="0" xfId="17">
      <alignment horizontal="general" vertical="bottom"/>
    </xf>
    <xf numFmtId="9" fontId="0" fillId="5" borderId="0" applyAlignment="1" pivotButton="0" quotePrefix="0" xfId="19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0" fillId="0" borderId="6" applyAlignment="1" pivotButton="0" quotePrefix="0" xfId="17">
      <alignment horizontal="general" vertical="bottom"/>
    </xf>
    <xf numFmtId="4" fontId="0" fillId="0" borderId="6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center"/>
    </xf>
    <xf numFmtId="0" fontId="0" fillId="0" borderId="6" pivotButton="0" quotePrefix="0" xfId="0"/>
    <xf numFmtId="0" fontId="8" fillId="0" borderId="5" applyAlignment="1" pivotButton="0" quotePrefix="0" xfId="0">
      <alignment horizontal="general" vertical="bottom"/>
    </xf>
    <xf numFmtId="9" fontId="0" fillId="5" borderId="0" applyAlignment="1" pivotButton="0" quotePrefix="0" xfId="0">
      <alignment horizontal="general" vertical="bottom"/>
    </xf>
    <xf numFmtId="167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general" vertical="bottom"/>
    </xf>
    <xf numFmtId="164" fontId="0" fillId="2" borderId="6" applyAlignment="1" pivotButton="0" quotePrefix="0" xfId="17">
      <alignment horizontal="general" vertical="bottom"/>
    </xf>
    <xf numFmtId="9" fontId="0" fillId="0" borderId="0" applyAlignment="1" pivotButton="0" quotePrefix="0" xfId="19">
      <alignment horizontal="general" vertical="bottom"/>
    </xf>
    <xf numFmtId="164" fontId="0" fillId="0" borderId="12" applyAlignment="1" pivotButton="0" quotePrefix="0" xfId="17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10" fontId="0" fillId="0" borderId="6" applyAlignment="1" pivotButton="0" quotePrefix="0" xfId="19">
      <alignment horizontal="general" vertical="bottom"/>
    </xf>
    <xf numFmtId="169" fontId="0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4" fontId="0" fillId="0" borderId="6" applyAlignment="1" pivotButton="0" quotePrefix="0" xfId="19">
      <alignment horizontal="general" vertical="bottom"/>
    </xf>
    <xf numFmtId="164" fontId="0" fillId="0" borderId="6" applyAlignment="1" pivotButton="0" quotePrefix="0" xfId="0">
      <alignment horizontal="general" vertical="bottom"/>
    </xf>
    <xf numFmtId="170" fontId="0" fillId="5" borderId="0" applyAlignment="1" pivotButton="0" quotePrefix="0" xfId="19">
      <alignment horizontal="general" vertical="bottom"/>
    </xf>
    <xf numFmtId="170" fontId="0" fillId="0" borderId="6" applyAlignment="1" pivotButton="0" quotePrefix="0" xfId="19">
      <alignment horizontal="general" vertical="bottom"/>
    </xf>
    <xf numFmtId="171" fontId="0" fillId="0" borderId="6" applyAlignment="1" pivotButton="0" quotePrefix="0" xfId="0">
      <alignment horizontal="general" vertical="bottom"/>
    </xf>
    <xf numFmtId="167" fontId="9" fillId="7" borderId="0" applyAlignment="1" pivotButton="0" quotePrefix="0" xfId="0">
      <alignment horizontal="general" vertical="bottom"/>
    </xf>
    <xf numFmtId="168" fontId="9" fillId="7" borderId="6" applyAlignment="1" pivotButton="0" quotePrefix="0" xfId="0">
      <alignment horizontal="general" vertical="bottom"/>
    </xf>
    <xf numFmtId="172" fontId="0" fillId="2" borderId="6" applyAlignment="1" pivotButton="0" quotePrefix="0" xfId="17">
      <alignment horizontal="general" vertical="bottom"/>
    </xf>
    <xf numFmtId="0" fontId="0" fillId="5" borderId="0" applyAlignment="1" pivotButton="0" quotePrefix="0" xfId="0">
      <alignment horizontal="general" vertical="bottom"/>
    </xf>
    <xf numFmtId="167" fontId="10" fillId="8" borderId="0" applyAlignment="1" pivotButton="0" quotePrefix="0" xfId="0">
      <alignment horizontal="general" vertical="bottom"/>
    </xf>
    <xf numFmtId="168" fontId="11" fillId="8" borderId="6" applyAlignment="1" pivotButton="0" quotePrefix="0" xfId="0">
      <alignment horizontal="general" vertical="bottom"/>
    </xf>
    <xf numFmtId="164" fontId="0" fillId="2" borderId="12" applyAlignment="1" pivotButton="0" quotePrefix="0" xfId="17">
      <alignment horizontal="general" vertical="bottom"/>
    </xf>
    <xf numFmtId="173" fontId="0" fillId="0" borderId="0" applyAlignment="1" pivotButton="0" quotePrefix="0" xfId="0">
      <alignment horizontal="general" vertical="bottom"/>
    </xf>
    <xf numFmtId="173" fontId="0" fillId="0" borderId="6" applyAlignment="1" pivotButton="0" quotePrefix="0" xfId="0">
      <alignment horizontal="general" vertical="bottom"/>
    </xf>
    <xf numFmtId="167" fontId="10" fillId="9" borderId="0" applyAlignment="1" pivotButton="0" quotePrefix="0" xfId="0">
      <alignment horizontal="general" vertical="bottom"/>
    </xf>
    <xf numFmtId="168" fontId="10" fillId="9" borderId="6" applyAlignment="1" pivotButton="0" quotePrefix="0" xfId="0">
      <alignment horizontal="general" vertical="bottom"/>
    </xf>
    <xf numFmtId="0" fontId="4" fillId="0" borderId="13" applyAlignment="1" pivotButton="0" quotePrefix="0" xfId="0">
      <alignment horizontal="general" vertical="bottom"/>
    </xf>
    <xf numFmtId="164" fontId="0" fillId="0" borderId="14" applyAlignment="1" pivotButton="0" quotePrefix="0" xfId="17">
      <alignment horizontal="general" vertical="bottom"/>
    </xf>
    <xf numFmtId="0" fontId="0" fillId="0" borderId="15" applyAlignment="1" pivotButton="0" quotePrefix="0" xfId="0">
      <alignment horizontal="general" vertical="bottom"/>
    </xf>
    <xf numFmtId="10" fontId="0" fillId="5" borderId="0" applyAlignment="1" pivotButton="0" quotePrefix="0" xfId="0">
      <alignment horizontal="general" vertical="bottom"/>
    </xf>
    <xf numFmtId="174" fontId="0" fillId="5" borderId="6" applyAlignment="1" pivotButton="0" quotePrefix="0" xfId="0">
      <alignment horizontal="general" vertical="bottom"/>
    </xf>
    <xf numFmtId="0" fontId="7" fillId="0" borderId="15" applyAlignment="1" pivotButton="0" quotePrefix="0" xfId="0">
      <alignment horizontal="general" vertical="bottom"/>
    </xf>
    <xf numFmtId="0" fontId="0" fillId="0" borderId="13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10" fontId="4" fillId="0" borderId="14" applyAlignment="1" pivotButton="0" quotePrefix="0" xfId="19">
      <alignment horizontal="general" vertical="bottom"/>
    </xf>
    <xf numFmtId="167" fontId="12" fillId="10" borderId="0" applyAlignment="1" pivotButton="0" quotePrefix="0" xfId="0">
      <alignment horizontal="general" vertical="bottom"/>
    </xf>
    <xf numFmtId="168" fontId="13" fillId="10" borderId="6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14" fillId="0" borderId="14" applyAlignment="1" pivotButton="0" quotePrefix="0" xfId="0">
      <alignment horizontal="general" vertical="bottom"/>
    </xf>
    <xf numFmtId="0" fontId="8" fillId="0" borderId="11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10" fontId="0" fillId="3" borderId="0" applyAlignment="1" pivotButton="0" quotePrefix="0" xfId="19">
      <alignment horizontal="general" vertical="bottom"/>
    </xf>
    <xf numFmtId="0" fontId="0" fillId="3" borderId="0" applyAlignment="1" pivotButton="0" quotePrefix="0" xfId="0">
      <alignment horizontal="general" vertical="bottom"/>
    </xf>
    <xf numFmtId="10" fontId="0" fillId="3" borderId="0" applyAlignment="1" pivotButton="0" quotePrefix="0" xfId="0">
      <alignment horizontal="general" vertical="bottom"/>
    </xf>
    <xf numFmtId="164" fontId="0" fillId="0" borderId="0" applyAlignment="1" pivotButton="0" quotePrefix="0" xfId="17">
      <alignment horizontal="general" vertical="bottom"/>
    </xf>
    <xf numFmtId="164" fontId="0" fillId="0" borderId="0" applyAlignment="1" pivotButton="0" quotePrefix="0" xfId="0">
      <alignment horizontal="general" vertical="bottom"/>
    </xf>
    <xf numFmtId="10" fontId="0" fillId="0" borderId="6" applyAlignment="1" pivotButton="0" quotePrefix="0" xfId="0">
      <alignment horizontal="general" vertical="bottom"/>
    </xf>
    <xf numFmtId="0" fontId="4" fillId="0" borderId="15" applyAlignment="1" pivotButton="0" quotePrefix="0" xfId="0">
      <alignment horizontal="general" vertical="bottom"/>
    </xf>
    <xf numFmtId="0" fontId="15" fillId="0" borderId="15" applyAlignment="1" pivotButton="0" quotePrefix="0" xfId="0">
      <alignment horizontal="general" vertical="bottom"/>
    </xf>
    <xf numFmtId="9" fontId="0" fillId="3" borderId="15" applyAlignment="1" pivotButton="0" quotePrefix="0" xfId="19">
      <alignment horizontal="general" vertical="bottom"/>
    </xf>
    <xf numFmtId="0" fontId="0" fillId="3" borderId="15" applyAlignment="1" pivotButton="0" quotePrefix="0" xfId="0">
      <alignment horizontal="general" vertical="bottom"/>
    </xf>
    <xf numFmtId="10" fontId="0" fillId="3" borderId="15" applyAlignment="1" pivotButton="0" quotePrefix="0" xfId="19">
      <alignment horizontal="general" vertical="bottom"/>
    </xf>
    <xf numFmtId="10" fontId="0" fillId="3" borderId="15" applyAlignment="1" pivotButton="0" quotePrefix="0" xfId="0">
      <alignment horizontal="general" vertical="bottom"/>
    </xf>
    <xf numFmtId="0" fontId="4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0" fillId="0" borderId="16" applyAlignment="1" pivotButton="0" quotePrefix="0" xfId="0">
      <alignment horizontal="center" vertical="bottom"/>
    </xf>
    <xf numFmtId="10" fontId="0" fillId="0" borderId="14" applyAlignment="1" pivotButton="0" quotePrefix="0" xfId="0">
      <alignment horizontal="general" vertical="bottom"/>
    </xf>
    <xf numFmtId="0" fontId="4" fillId="0" borderId="15" applyAlignment="1" pivotButton="0" quotePrefix="0" xfId="0">
      <alignment horizontal="center" vertical="bottom"/>
    </xf>
    <xf numFmtId="0" fontId="16" fillId="4" borderId="10" applyAlignment="1" pivotButton="0" quotePrefix="0" xfId="0">
      <alignment horizontal="center" vertical="center"/>
    </xf>
    <xf numFmtId="0" fontId="16" fillId="3" borderId="1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bottom"/>
    </xf>
    <xf numFmtId="175" fontId="0" fillId="2" borderId="0" applyAlignment="1" pivotButton="0" quotePrefix="0" xfId="19">
      <alignment horizontal="general" vertical="bottom"/>
    </xf>
    <xf numFmtId="173" fontId="14" fillId="0" borderId="18" applyAlignment="1" pivotButton="0" quotePrefix="0" xfId="0">
      <alignment horizontal="general" vertical="bottom"/>
    </xf>
    <xf numFmtId="173" fontId="4" fillId="0" borderId="0" applyAlignment="1" pivotButton="0" quotePrefix="0" xfId="0">
      <alignment horizontal="general" vertical="bottom"/>
    </xf>
    <xf numFmtId="173" fontId="0" fillId="0" borderId="18" applyAlignment="1" pivotButton="0" quotePrefix="0" xfId="0">
      <alignment horizontal="general" vertical="bottom"/>
    </xf>
    <xf numFmtId="10" fontId="0" fillId="3" borderId="0" applyAlignment="1" pivotButton="0" quotePrefix="0" xfId="0">
      <alignment horizontal="center" vertical="bottom"/>
    </xf>
    <xf numFmtId="168" fontId="0" fillId="0" borderId="0" applyAlignment="1" pivotButton="0" quotePrefix="0" xfId="0">
      <alignment horizontal="center" vertical="bottom"/>
    </xf>
    <xf numFmtId="0" fontId="0" fillId="7" borderId="5" applyAlignment="1" pivotButton="0" quotePrefix="0" xfId="0">
      <alignment horizontal="general" vertical="bottom"/>
    </xf>
    <xf numFmtId="168" fontId="0" fillId="7" borderId="0" applyAlignment="1" pivotButton="0" quotePrefix="0" xfId="0">
      <alignment horizontal="center" vertical="bottom"/>
    </xf>
    <xf numFmtId="3" fontId="0" fillId="7" borderId="0" applyAlignment="1" pivotButton="0" quotePrefix="0" xfId="0">
      <alignment horizontal="center" vertical="bottom"/>
    </xf>
    <xf numFmtId="0" fontId="0" fillId="7" borderId="6" applyAlignment="1" pivotButton="0" quotePrefix="0" xfId="0">
      <alignment horizontal="general" vertical="bottom"/>
    </xf>
    <xf numFmtId="0" fontId="8" fillId="0" borderId="5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173" fontId="0" fillId="0" borderId="6" applyAlignment="1" pivotButton="0" quotePrefix="0" xfId="0">
      <alignment horizontal="center" vertical="bottom"/>
    </xf>
    <xf numFmtId="166" fontId="14" fillId="0" borderId="18" applyAlignment="1" pivotButton="0" quotePrefix="0" xfId="17">
      <alignment horizontal="general" vertical="bottom"/>
    </xf>
    <xf numFmtId="166" fontId="15" fillId="0" borderId="0" applyAlignment="1" pivotButton="0" quotePrefix="0" xfId="17">
      <alignment horizontal="general" vertical="bottom"/>
    </xf>
    <xf numFmtId="164" fontId="0" fillId="2" borderId="18" applyAlignment="1" pivotButton="0" quotePrefix="0" xfId="0">
      <alignment horizontal="general" vertical="bottom"/>
    </xf>
    <xf numFmtId="164" fontId="0" fillId="0" borderId="18" applyAlignment="1" pivotButton="0" quotePrefix="0" xfId="0">
      <alignment horizontal="general" vertical="bottom"/>
    </xf>
    <xf numFmtId="167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center" vertical="bottom"/>
    </xf>
    <xf numFmtId="10" fontId="0" fillId="0" borderId="0" applyAlignment="1" pivotButton="0" quotePrefix="0" xfId="0">
      <alignment horizontal="center" vertical="bottom"/>
    </xf>
    <xf numFmtId="0" fontId="4" fillId="0" borderId="19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175" fontId="0" fillId="0" borderId="0" applyAlignment="1" pivotButton="0" quotePrefix="0" xfId="19">
      <alignment horizontal="general" vertical="bottom"/>
    </xf>
    <xf numFmtId="164" fontId="0" fillId="2" borderId="0" applyAlignment="1" pivotButton="0" quotePrefix="0" xfId="0">
      <alignment horizontal="general" vertical="bottom"/>
    </xf>
    <xf numFmtId="3" fontId="0" fillId="0" borderId="0" applyAlignment="1" pivotButton="0" quotePrefix="0" xfId="0">
      <alignment horizontal="center" vertical="bottom"/>
    </xf>
    <xf numFmtId="0" fontId="0" fillId="0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4" pivotButton="0" quotePrefix="0" xfId="0"/>
    <xf numFmtId="0" fontId="8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12" fillId="3" borderId="13" applyAlignment="1" pivotButton="0" quotePrefix="0" xfId="0">
      <alignment horizontal="general" vertical="bottom"/>
    </xf>
    <xf numFmtId="0" fontId="12" fillId="3" borderId="16" applyAlignment="1" pivotButton="0" quotePrefix="0" xfId="0">
      <alignment horizontal="general" vertical="bottom"/>
    </xf>
    <xf numFmtId="10" fontId="12" fillId="3" borderId="14" applyAlignment="1" pivotButton="0" quotePrefix="0" xfId="0">
      <alignment horizontal="center" vertical="bottom"/>
    </xf>
    <xf numFmtId="0" fontId="12" fillId="4" borderId="10" applyAlignment="1" pivotButton="0" quotePrefix="0" xfId="0">
      <alignment horizontal="center" vertical="center"/>
    </xf>
    <xf numFmtId="168" fontId="0" fillId="6" borderId="11" applyAlignment="1" pivotButton="0" quotePrefix="0" xfId="0">
      <alignment horizontal="center" vertical="center"/>
    </xf>
    <xf numFmtId="175" fontId="0" fillId="0" borderId="18" applyAlignment="1" pivotButton="0" quotePrefix="0" xfId="19">
      <alignment horizontal="general" vertical="bottom"/>
    </xf>
    <xf numFmtId="164" fontId="14" fillId="0" borderId="18" applyAlignment="1" pivotButton="0" quotePrefix="0" xfId="0">
      <alignment horizontal="general" vertical="bottom"/>
    </xf>
    <xf numFmtId="0" fontId="8" fillId="6" borderId="20" applyAlignment="1" pivotButton="0" quotePrefix="0" xfId="0">
      <alignment horizontal="center" vertical="center"/>
    </xf>
    <xf numFmtId="175" fontId="4" fillId="0" borderId="0" applyAlignment="1" pivotButton="0" quotePrefix="0" xfId="0">
      <alignment horizontal="general" vertical="bottom"/>
    </xf>
    <xf numFmtId="175" fontId="4" fillId="0" borderId="19" applyAlignment="1" pivotButton="0" quotePrefix="0" xfId="0">
      <alignment horizontal="general" vertical="bottom"/>
    </xf>
    <xf numFmtId="164" fontId="5" fillId="0" borderId="19" applyAlignment="1" pivotButton="0" quotePrefix="0" xfId="0">
      <alignment horizontal="general" vertical="bottom"/>
    </xf>
    <xf numFmtId="0" fontId="5" fillId="0" borderId="19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173" fontId="14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173" fontId="17" fillId="0" borderId="18" applyAlignment="1" pivotButton="0" quotePrefix="0" xfId="0">
      <alignment horizontal="general" vertical="bottom"/>
    </xf>
    <xf numFmtId="173" fontId="18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171" fontId="14" fillId="0" borderId="0" applyAlignment="1" pivotButton="0" quotePrefix="0" xfId="0">
      <alignment horizontal="general" vertical="bottom"/>
    </xf>
    <xf numFmtId="164" fontId="0" fillId="0" borderId="16" applyAlignment="1" pivotButton="0" quotePrefix="0" xfId="0">
      <alignment horizontal="general" vertical="bottom"/>
    </xf>
    <xf numFmtId="173" fontId="5" fillId="0" borderId="0" applyAlignment="1" pivotButton="0" quotePrefix="0" xfId="0">
      <alignment horizontal="general" vertical="bottom"/>
    </xf>
    <xf numFmtId="173" fontId="16" fillId="0" borderId="0" applyAlignment="1" pivotButton="0" quotePrefix="0" xfId="0">
      <alignment horizontal="general" vertical="bottom"/>
    </xf>
    <xf numFmtId="0" fontId="8" fillId="0" borderId="13" applyAlignment="1" pivotButton="0" quotePrefix="0" xfId="0">
      <alignment horizontal="general" vertical="bottom"/>
    </xf>
    <xf numFmtId="173" fontId="8" fillId="0" borderId="14" applyAlignment="1" pivotButton="0" quotePrefix="0" xfId="0">
      <alignment horizontal="general" vertical="bottom"/>
    </xf>
    <xf numFmtId="0" fontId="5" fillId="0" borderId="19" applyAlignment="1" pivotButton="0" quotePrefix="0" xfId="0">
      <alignment horizontal="center" vertical="bottom"/>
    </xf>
    <xf numFmtId="0" fontId="10" fillId="0" borderId="19" applyAlignment="1" pivotButton="0" quotePrefix="0" xfId="0">
      <alignment horizontal="general" vertical="bottom"/>
    </xf>
    <xf numFmtId="173" fontId="5" fillId="0" borderId="19" applyAlignment="1" pivotButton="0" quotePrefix="0" xfId="0">
      <alignment horizontal="general" vertical="bottom"/>
    </xf>
    <xf numFmtId="0" fontId="12" fillId="4" borderId="21" applyAlignment="1" pivotButton="0" quotePrefix="0" xfId="0">
      <alignment horizontal="general" vertical="bottom"/>
    </xf>
    <xf numFmtId="0" fontId="20" fillId="4" borderId="22" applyAlignment="1" pivotButton="0" quotePrefix="0" xfId="0">
      <alignment horizontal="general" vertical="bottom"/>
    </xf>
    <xf numFmtId="10" fontId="20" fillId="4" borderId="23" applyAlignment="1" pivotButton="0" quotePrefix="0" xfId="0">
      <alignment horizontal="general" vertical="bottom"/>
    </xf>
    <xf numFmtId="0" fontId="4" fillId="0" borderId="24" applyAlignment="1" pivotButton="0" quotePrefix="0" xfId="0">
      <alignment horizontal="general" vertical="bottom"/>
    </xf>
    <xf numFmtId="10" fontId="4" fillId="0" borderId="24" applyAlignment="1" pivotButton="0" quotePrefix="0" xfId="19">
      <alignment horizontal="general" vertical="bottom"/>
    </xf>
    <xf numFmtId="10" fontId="4" fillId="0" borderId="24" applyAlignment="1" pivotButton="0" quotePrefix="0" xfId="0">
      <alignment horizontal="general" vertical="bottom"/>
    </xf>
    <xf numFmtId="9" fontId="0" fillId="5" borderId="18" applyAlignment="1" pivotButton="0" quotePrefix="0" xfId="19">
      <alignment horizontal="general" vertical="bottom"/>
    </xf>
    <xf numFmtId="166" fontId="0" fillId="0" borderId="12" applyAlignment="1" pivotButton="0" quotePrefix="0" xfId="17">
      <alignment horizontal="general" vertical="bottom"/>
    </xf>
    <xf numFmtId="10" fontId="0" fillId="5" borderId="10" applyAlignment="1" pivotButton="0" quotePrefix="0" xfId="0">
      <alignment horizontal="general" vertical="bottom"/>
    </xf>
    <xf numFmtId="174" fontId="0" fillId="5" borderId="10" applyAlignment="1" pivotButton="0" quotePrefix="0" xfId="0">
      <alignment horizontal="general" vertical="bottom"/>
    </xf>
    <xf numFmtId="0" fontId="0" fillId="0" borderId="20" applyAlignment="1" pivotButton="0" quotePrefix="0" xfId="0">
      <alignment horizontal="general" vertical="bottom"/>
    </xf>
    <xf numFmtId="0" fontId="14" fillId="0" borderId="20" applyAlignment="1" pivotButton="0" quotePrefix="0" xfId="0">
      <alignment horizontal="general" vertical="bottom"/>
    </xf>
    <xf numFmtId="0" fontId="8" fillId="0" borderId="5" applyAlignment="1" pivotButton="0" quotePrefix="0" xfId="0">
      <alignment horizontal="center" vertical="bottom"/>
    </xf>
    <xf numFmtId="176" fontId="0" fillId="0" borderId="2" applyAlignment="1" pivotButton="0" quotePrefix="0" xfId="0">
      <alignment horizontal="center" vertical="bottom"/>
    </xf>
    <xf numFmtId="173" fontId="4" fillId="0" borderId="5" applyAlignment="1" pivotButton="0" quotePrefix="0" xfId="0">
      <alignment horizontal="center" vertical="center"/>
    </xf>
    <xf numFmtId="173" fontId="8" fillId="0" borderId="0" applyAlignment="1" pivotButton="0" quotePrefix="0" xfId="0">
      <alignment horizontal="general" vertical="bottom"/>
    </xf>
    <xf numFmtId="177" fontId="8" fillId="0" borderId="6" applyAlignment="1" pivotButton="0" quotePrefix="0" xfId="0">
      <alignment horizontal="center" vertical="bottom"/>
    </xf>
    <xf numFmtId="0" fontId="12" fillId="4" borderId="21" applyAlignment="1" pivotButton="0" quotePrefix="0" xfId="0">
      <alignment horizontal="center" vertical="center"/>
    </xf>
    <xf numFmtId="0" fontId="13" fillId="4" borderId="22" applyAlignment="1" pivotButton="0" quotePrefix="0" xfId="0">
      <alignment horizontal="general" vertical="bottom"/>
    </xf>
    <xf numFmtId="10" fontId="12" fillId="4" borderId="23" applyAlignment="1" pivotButton="0" quotePrefix="0" xfId="0">
      <alignment horizontal="general" vertical="bottom"/>
    </xf>
    <xf numFmtId="3" fontId="0" fillId="6" borderId="11" applyAlignment="1" pivotButton="0" quotePrefix="0" xfId="0">
      <alignment horizontal="center" vertical="center"/>
    </xf>
    <xf numFmtId="164" fontId="4" fillId="0" borderId="19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54"/>
  <sheetViews>
    <sheetView showFormulas="0" showGridLines="1" showRowColHeaders="1" showZeros="1" rightToLeft="0" tabSelected="1" showOutlineSymbols="1" defaultGridColor="1" view="normal" topLeftCell="A1" colorId="64" zoomScale="84" zoomScaleNormal="84" zoomScalePageLayoutView="100" workbookViewId="0">
      <selection pane="topLeft" activeCell="A3" activeCellId="0" sqref="A3"/>
    </sheetView>
  </sheetViews>
  <sheetFormatPr baseColWidth="8" defaultRowHeight="12.75" zeroHeight="0" outlineLevelRow="0"/>
  <cols>
    <col width="32.9" customWidth="1" style="198" min="1" max="1"/>
    <col width="14.49" customWidth="1" style="199" min="2" max="2"/>
    <col width="2.57" customWidth="1" style="199" min="3" max="3"/>
    <col width="14.78" customWidth="1" style="198" min="4" max="4"/>
    <col width="2.07" customWidth="1" style="198" min="5" max="5"/>
    <col width="13.49" customWidth="1" style="199" min="6" max="6"/>
    <col width="2.07" customWidth="1" style="199" min="7" max="7"/>
    <col width="13.78" customWidth="1" style="199" min="8" max="8"/>
    <col width="1.92" customWidth="1" style="199" min="9" max="9"/>
    <col width="15.08" customWidth="1" style="199" min="10" max="10"/>
    <col width="1.92" customWidth="1" style="199" min="11" max="11"/>
    <col width="12.06" customWidth="1" style="199" min="12" max="12"/>
    <col width="2.38" customWidth="1" style="199" min="13" max="13"/>
    <col width="14.62" customWidth="1" style="199" min="14" max="14"/>
    <col width="14.68" customWidth="1" style="199" min="15" max="15"/>
    <col width="15.48" customWidth="1" style="199" min="16" max="16"/>
    <col width="10.92" customWidth="1" style="199" min="17" max="17"/>
    <col width="14.08" customWidth="1" style="199" min="18" max="18"/>
    <col width="8.699999999999999" customWidth="1" style="199" min="19" max="20"/>
    <col width="11.24" customWidth="1" style="199" min="21" max="21"/>
    <col width="8.699999999999999" customWidth="1" style="199" min="22" max="22"/>
    <col width="11.72" customWidth="1" style="199" min="23" max="23"/>
    <col width="8.699999999999999" customWidth="1" style="199" min="24" max="1025"/>
  </cols>
  <sheetData>
    <row r="1" ht="17" customHeight="1" s="200">
      <c r="A1" s="201" t="inlineStr">
        <is>
          <t>Property Analysis Worksheet - The Value Play Income Analyzer</t>
        </is>
      </c>
      <c r="B1" s="202" t="n"/>
      <c r="C1" s="202" t="n"/>
      <c r="D1" s="202" t="n"/>
      <c r="E1" s="202" t="n"/>
      <c r="F1" s="202" t="n"/>
      <c r="G1" s="202" t="n"/>
      <c r="H1" s="202" t="n"/>
      <c r="I1" s="202" t="n"/>
      <c r="J1" s="202" t="n"/>
      <c r="K1" s="202" t="n"/>
      <c r="L1" s="202" t="n"/>
      <c r="M1" s="202" t="n"/>
      <c r="N1" s="202" t="n"/>
    </row>
    <row r="2" ht="15" customHeight="1" s="200">
      <c r="A2" s="203" t="inlineStr">
        <is>
          <t>https://www.crexi.com/properties/317972/minnesota-241-w-lake-ave</t>
        </is>
      </c>
      <c r="B2" s="202" t="n"/>
      <c r="C2" s="202" t="n"/>
      <c r="D2" s="202" t="n"/>
      <c r="E2" s="202" t="n"/>
      <c r="F2" s="202" t="n"/>
      <c r="G2" s="202" t="n"/>
      <c r="H2" s="202" t="n"/>
      <c r="I2" s="202" t="n"/>
      <c r="J2" s="202" t="n"/>
      <c r="K2" s="202" t="n"/>
      <c r="L2" s="202" t="n"/>
      <c r="M2" s="202" t="n"/>
      <c r="N2" s="202" t="n"/>
    </row>
    <row r="3" ht="15" customHeight="1" s="200">
      <c r="A3" s="204" t="inlineStr">
        <is>
          <t>Cost and Revenue Assumptions</t>
        </is>
      </c>
      <c r="B3" s="205" t="n"/>
      <c r="C3" s="206" t="n"/>
      <c r="D3" s="204" t="inlineStr">
        <is>
          <t>Financing Assumptions</t>
        </is>
      </c>
      <c r="E3" s="207" t="n"/>
      <c r="F3" s="207" t="n"/>
      <c r="G3" s="207" t="n"/>
      <c r="H3" s="205" t="n"/>
      <c r="I3" s="206" t="n"/>
      <c r="J3" s="208" t="inlineStr">
        <is>
          <t>Key Ratios</t>
        </is>
      </c>
      <c r="K3" s="209" t="n"/>
      <c r="L3" s="209" t="n"/>
      <c r="M3" s="209" t="n"/>
      <c r="N3" s="210" t="n"/>
      <c r="S3" s="211" t="inlineStr">
        <is>
          <t>Projected</t>
        </is>
      </c>
    </row>
    <row r="4" ht="12.8" customHeight="1" s="200">
      <c r="A4" s="212" t="inlineStr">
        <is>
          <t>Ask</t>
        </is>
      </c>
      <c r="B4" s="213" t="n">
        <v>235000</v>
      </c>
      <c r="C4" s="214" t="inlineStr">
        <is>
          <t>1</t>
        </is>
      </c>
      <c r="D4" s="215" t="inlineStr">
        <is>
          <t>Total Purchase</t>
        </is>
      </c>
      <c r="E4" s="216" t="n"/>
      <c r="F4" s="217" t="n">
        <v>1</v>
      </c>
      <c r="G4" s="218" t="n"/>
      <c r="H4" s="219">
        <f>B4-B7</f>
        <v/>
      </c>
      <c r="I4" s="16" t="n"/>
      <c r="J4" s="220" t="inlineStr">
        <is>
          <t>Total Square Feet</t>
        </is>
      </c>
      <c r="M4" s="221" t="inlineStr">
        <is>
          <t>2</t>
        </is>
      </c>
      <c r="N4" s="222" t="n">
        <v>10000</v>
      </c>
      <c r="O4" s="223" t="inlineStr">
        <is>
          <t xml:space="preserve">OFFER : </t>
        </is>
      </c>
      <c r="P4" s="224" t="n"/>
      <c r="Q4" s="224" t="n"/>
      <c r="R4" s="225" t="n"/>
    </row>
    <row r="5" ht="12.8" customHeight="1" s="200">
      <c r="A5" s="226" t="inlineStr">
        <is>
          <t>Land</t>
        </is>
      </c>
      <c r="B5" s="227">
        <f>B4*0.2</f>
        <v/>
      </c>
      <c r="C5" s="16" t="n"/>
      <c r="D5" s="226" t="inlineStr">
        <is>
          <t>Owner's Equity</t>
        </is>
      </c>
      <c r="F5" s="228" t="n">
        <v>0.3</v>
      </c>
      <c r="G5" s="229" t="inlineStr">
        <is>
          <t>8</t>
        </is>
      </c>
      <c r="H5" s="230">
        <f>H4*F5</f>
        <v/>
      </c>
      <c r="I5" s="16" t="n"/>
      <c r="J5" s="220" t="inlineStr">
        <is>
          <t>Avg Sq Ft/Unit</t>
        </is>
      </c>
      <c r="N5" s="231">
        <f>N4/B12</f>
        <v/>
      </c>
      <c r="O5" s="232" t="inlineStr">
        <is>
          <t>Limited Partnership LP</t>
        </is>
      </c>
      <c r="R5" s="233" t="n"/>
    </row>
    <row r="6" ht="12.8" customHeight="1" s="200">
      <c r="A6" s="226" t="inlineStr">
        <is>
          <t>Building</t>
        </is>
      </c>
      <c r="B6" s="227">
        <f>B4*0.8</f>
        <v/>
      </c>
      <c r="C6" s="16" t="n"/>
      <c r="D6" s="234" t="inlineStr">
        <is>
          <t>Seller Financing</t>
        </is>
      </c>
      <c r="E6" s="199" t="n"/>
      <c r="F6" s="235" t="n">
        <v>0</v>
      </c>
      <c r="G6" s="229" t="inlineStr">
        <is>
          <t>9</t>
        </is>
      </c>
      <c r="H6" s="230">
        <f>F6*H4</f>
        <v/>
      </c>
      <c r="I6" s="16" t="n"/>
      <c r="J6" s="220" t="inlineStr">
        <is>
          <t>Avg Rent/Sq Ft</t>
        </is>
      </c>
      <c r="N6" s="31">
        <f>B14/N4</f>
        <v/>
      </c>
      <c r="O6" s="220" t="inlineStr">
        <is>
          <t>Investment:</t>
        </is>
      </c>
      <c r="P6" s="236">
        <f>(H5+((H4*0.035)+(H4*0.01)))/Q27</f>
        <v/>
      </c>
      <c r="Q6" s="237" t="inlineStr">
        <is>
          <t>/ Unit</t>
        </is>
      </c>
      <c r="R6" s="238">
        <f>P6*Q27</f>
        <v/>
      </c>
    </row>
    <row r="7" ht="12.8" customHeight="1" s="200">
      <c r="A7" s="226" t="inlineStr">
        <is>
          <t>Necessary Improvements</t>
        </is>
      </c>
      <c r="B7" s="239" t="n">
        <v>0</v>
      </c>
      <c r="C7" s="16" t="n"/>
      <c r="D7" s="226" t="inlineStr">
        <is>
          <t>Financing</t>
        </is>
      </c>
      <c r="F7" s="240">
        <f>F4-(F5+F6)</f>
        <v/>
      </c>
      <c r="H7" s="230">
        <f>H4-(H5+H6)</f>
        <v/>
      </c>
      <c r="J7" s="220" t="inlineStr">
        <is>
          <t>Avg Cost/Sq Ft</t>
        </is>
      </c>
      <c r="N7" s="31">
        <f>B10/N4</f>
        <v/>
      </c>
      <c r="O7" s="220" t="inlineStr">
        <is>
          <t>Closing:</t>
        </is>
      </c>
      <c r="P7" s="229" t="n"/>
      <c r="Q7" s="237" t="n"/>
      <c r="R7" s="238">
        <f>H4*0.035</f>
        <v/>
      </c>
    </row>
    <row r="8" ht="12.8" customHeight="1" s="200">
      <c r="A8" s="226" t="inlineStr">
        <is>
          <t>Closing Cost</t>
        </is>
      </c>
      <c r="B8" s="241">
        <f>((B5+B6)*0.035)</f>
        <v/>
      </c>
      <c r="C8" s="16" t="n"/>
      <c r="D8" s="226" t="n"/>
      <c r="H8" s="242" t="n"/>
      <c r="J8" s="220" t="inlineStr">
        <is>
          <t>Avg Unit Cost</t>
        </is>
      </c>
      <c r="N8" s="40">
        <f>H4/B12</f>
        <v/>
      </c>
      <c r="O8" s="220" t="inlineStr">
        <is>
          <t>Acquisition Fee:</t>
        </is>
      </c>
      <c r="P8" s="229" t="n"/>
      <c r="Q8" s="237" t="n"/>
      <c r="R8" s="238">
        <f>H4*0.01</f>
        <v/>
      </c>
    </row>
    <row r="9" ht="12.8" customHeight="1" s="200">
      <c r="A9" s="243" t="inlineStr">
        <is>
          <t>Acquisition Fee</t>
        </is>
      </c>
      <c r="B9" s="244">
        <f>B4*0.001</f>
        <v/>
      </c>
      <c r="C9" s="16" t="n"/>
      <c r="D9" s="220" t="n"/>
      <c r="E9" s="199" t="n"/>
      <c r="H9" s="242" t="n"/>
      <c r="J9" s="220" t="inlineStr">
        <is>
          <t>Cap Rate</t>
        </is>
      </c>
      <c r="L9" s="245" t="n"/>
      <c r="M9" s="245" t="n"/>
      <c r="N9" s="246">
        <f>F41/B4</f>
        <v/>
      </c>
      <c r="O9" s="220" t="inlineStr">
        <is>
          <t>Down Payment:</t>
        </is>
      </c>
      <c r="P9" s="229" t="n"/>
      <c r="Q9" s="237" t="n"/>
      <c r="R9" s="247">
        <f>R6-R7-R8</f>
        <v/>
      </c>
    </row>
    <row r="10" ht="12.8" customHeight="1" s="200">
      <c r="A10" s="248" t="inlineStr">
        <is>
          <t>Total</t>
        </is>
      </c>
      <c r="B10" s="227">
        <f>SUM(B5:B9)-B7</f>
        <v/>
      </c>
      <c r="D10" s="226" t="n"/>
      <c r="F10" s="249" t="inlineStr">
        <is>
          <t>Annual</t>
        </is>
      </c>
      <c r="G10" s="249" t="n"/>
      <c r="H10" s="250" t="inlineStr">
        <is>
          <t>Monthly</t>
        </is>
      </c>
      <c r="I10" s="249" t="n"/>
      <c r="J10" s="220" t="inlineStr">
        <is>
          <t>Gross Rent Mult.</t>
        </is>
      </c>
      <c r="L10" s="245" t="n"/>
      <c r="M10" s="245" t="n"/>
      <c r="N10" s="251">
        <f>H4/F25</f>
        <v/>
      </c>
      <c r="O10" s="220" t="n"/>
      <c r="P10" s="229" t="n"/>
      <c r="Q10" s="229" t="n"/>
      <c r="R10" s="242" t="n"/>
    </row>
    <row r="11" ht="13.2" customHeight="1" s="200">
      <c r="A11" s="226" t="n"/>
      <c r="B11" s="252" t="n"/>
      <c r="D11" s="226" t="inlineStr">
        <is>
          <t>Interest Rate</t>
        </is>
      </c>
      <c r="F11" s="253" t="n">
        <v>0.05</v>
      </c>
      <c r="G11" s="229" t="inlineStr">
        <is>
          <t>10</t>
        </is>
      </c>
      <c r="H11" s="254">
        <f>F11/12</f>
        <v/>
      </c>
      <c r="J11" s="220" t="inlineStr">
        <is>
          <t>Expense/Unit</t>
        </is>
      </c>
      <c r="L11" s="16" t="n"/>
      <c r="M11" s="16" t="n"/>
      <c r="N11" s="255">
        <f>F39/B12</f>
        <v/>
      </c>
      <c r="O11" s="220" t="inlineStr">
        <is>
          <t>5 years</t>
        </is>
      </c>
      <c r="P11" s="256">
        <f>((N41/0.075)-(H7-(F43+H43+J43+L43+N43)))/N4</f>
        <v/>
      </c>
      <c r="Q11" s="237" t="n"/>
      <c r="R11" s="257">
        <f>P11*N4</f>
        <v/>
      </c>
    </row>
    <row r="12" ht="15" customHeight="1" s="200">
      <c r="A12" s="226" t="inlineStr">
        <is>
          <t>Number of Units</t>
        </is>
      </c>
      <c r="B12" s="258" t="n">
        <v>12</v>
      </c>
      <c r="C12" s="229" t="inlineStr">
        <is>
          <t>3</t>
        </is>
      </c>
      <c r="D12" s="226" t="inlineStr">
        <is>
          <t>Amort Period</t>
        </is>
      </c>
      <c r="F12" s="259" t="n">
        <v>30</v>
      </c>
      <c r="G12" s="229" t="inlineStr">
        <is>
          <t>11</t>
        </is>
      </c>
      <c r="H12" s="242">
        <f>12*F12</f>
        <v/>
      </c>
      <c r="J12" s="220" t="inlineStr">
        <is>
          <t>Expense/Sq Ft</t>
        </is>
      </c>
      <c r="L12" s="16" t="n"/>
      <c r="M12" s="16" t="n"/>
      <c r="N12" s="255">
        <f>F39/N4</f>
        <v/>
      </c>
      <c r="O12" s="220" t="inlineStr">
        <is>
          <t>10 years</t>
        </is>
      </c>
      <c r="P12" s="260">
        <f>((N41/0.075)+((N41/0.075)*0.015*5)-(H7*0.81))/N4</f>
        <v/>
      </c>
      <c r="Q12" s="237" t="n"/>
      <c r="R12" s="261">
        <f>P12*N4</f>
        <v/>
      </c>
    </row>
    <row r="13" ht="15" customHeight="1" s="200">
      <c r="A13" s="226" t="inlineStr">
        <is>
          <t>Average Monthly Rent</t>
        </is>
      </c>
      <c r="B13" s="262" t="n">
        <v>525</v>
      </c>
      <c r="C13" s="229" t="inlineStr">
        <is>
          <t>4</t>
        </is>
      </c>
      <c r="D13" s="226" t="inlineStr">
        <is>
          <t>Payment</t>
        </is>
      </c>
      <c r="F13" s="263">
        <f>H13*12</f>
        <v/>
      </c>
      <c r="H13" s="264">
        <f>-(H7*(H11*((1+H11)^H12)))/(((1+H11)^H12)-1)</f>
        <v/>
      </c>
      <c r="J13" s="220" t="n"/>
      <c r="N13" s="242" t="n"/>
      <c r="O13" s="220" t="inlineStr">
        <is>
          <t>20 years</t>
        </is>
      </c>
      <c r="P13" s="265">
        <f>(((N41/0.075)+(N41/0.075)*0.015*15)-(H7*0.51))/N4</f>
        <v/>
      </c>
      <c r="Q13" s="237" t="n"/>
      <c r="R13" s="266">
        <f>P13*N4</f>
        <v/>
      </c>
    </row>
    <row r="14" ht="16.15" customHeight="1" s="200">
      <c r="A14" s="267" t="inlineStr">
        <is>
          <t>Gross Monthly Revenues</t>
        </is>
      </c>
      <c r="B14" s="268">
        <f>B13*B12</f>
        <v/>
      </c>
      <c r="C14" s="269" t="n"/>
      <c r="D14" s="226" t="inlineStr">
        <is>
          <t>Seller Financing</t>
        </is>
      </c>
      <c r="F14" s="270" t="n">
        <v>0.08</v>
      </c>
      <c r="G14" s="229" t="inlineStr">
        <is>
          <t>12</t>
        </is>
      </c>
      <c r="H14" s="271" t="n">
        <v>60</v>
      </c>
      <c r="I14" s="272" t="inlineStr">
        <is>
          <t>13</t>
        </is>
      </c>
      <c r="J14" s="273" t="inlineStr">
        <is>
          <t>Cash on Cash</t>
        </is>
      </c>
      <c r="K14" s="274" t="n"/>
      <c r="L14" s="274" t="n"/>
      <c r="M14" s="274" t="n"/>
      <c r="N14" s="275">
        <f>(F49/R6)</f>
        <v/>
      </c>
      <c r="O14" s="220" t="inlineStr">
        <is>
          <t>30 years</t>
        </is>
      </c>
      <c r="P14" s="276">
        <f>((N41/0.075)+(N41/0.075)*0.015*25)/N4</f>
        <v/>
      </c>
      <c r="Q14" s="237" t="inlineStr">
        <is>
          <t>/ Unit</t>
        </is>
      </c>
      <c r="R14" s="277">
        <f>P14*N4</f>
        <v/>
      </c>
    </row>
    <row r="15" ht="12.8" customHeight="1" s="200">
      <c r="D15" s="273" t="n"/>
      <c r="E15" s="278" t="n"/>
      <c r="F15" s="274" t="inlineStr">
        <is>
          <t>Interest ONLY</t>
        </is>
      </c>
      <c r="G15" s="274" t="n"/>
      <c r="H15" s="279" t="inlineStr">
        <is>
          <t>Balloon in 5Yr</t>
        </is>
      </c>
      <c r="O15" s="280" t="inlineStr">
        <is>
          <t>*30 Yrs debt reduction + Appreciation @ 3% / annum</t>
        </is>
      </c>
      <c r="R15" s="233" t="n"/>
    </row>
    <row r="16" ht="12.8" customHeight="1" s="200">
      <c r="A16" s="198" t="inlineStr">
        <is>
          <t>Rental Increase Projections</t>
        </is>
      </c>
      <c r="E16" s="281" t="inlineStr">
        <is>
          <t>14</t>
        </is>
      </c>
      <c r="F16" s="282" t="n">
        <v>0</v>
      </c>
      <c r="G16" s="283" t="n"/>
      <c r="H16" s="282" t="n">
        <v>0.03</v>
      </c>
      <c r="I16" s="284" t="n"/>
      <c r="J16" s="282" t="n">
        <v>0.025</v>
      </c>
      <c r="K16" s="282" t="n"/>
      <c r="L16" s="282" t="n">
        <v>0.025</v>
      </c>
      <c r="M16" s="282" t="n"/>
      <c r="N16" s="282" t="n">
        <v>0.025</v>
      </c>
      <c r="O16" s="220" t="n"/>
      <c r="P16" s="229" t="n"/>
      <c r="Q16" s="237" t="n"/>
      <c r="R16" s="242" t="n"/>
    </row>
    <row r="17" ht="12.8" customHeight="1" s="200">
      <c r="A17" s="198" t="inlineStr">
        <is>
          <t>Average Monthly Rent</t>
        </is>
      </c>
      <c r="F17" s="285">
        <f>(B13*F16)+B13</f>
        <v/>
      </c>
      <c r="H17" s="285">
        <f>(F17*H16)+F17</f>
        <v/>
      </c>
      <c r="I17" s="286" t="n"/>
      <c r="J17" s="285">
        <f>(H17*J16)+H17</f>
        <v/>
      </c>
      <c r="K17" s="285" t="n"/>
      <c r="L17" s="285">
        <f>(J17*L16)+J17</f>
        <v/>
      </c>
      <c r="M17" s="285" t="n"/>
      <c r="N17" s="285">
        <f>(L17*N16)+L17</f>
        <v/>
      </c>
      <c r="O17" s="220" t="inlineStr">
        <is>
          <t>ROI:</t>
        </is>
      </c>
      <c r="P17" s="229" t="n"/>
      <c r="Q17" s="237" t="n"/>
      <c r="R17" s="287">
        <f>R14/R6</f>
        <v/>
      </c>
    </row>
    <row r="18" ht="12.8" customHeight="1" s="200">
      <c r="A18" s="288" t="inlineStr">
        <is>
          <t>Operating Expense Projections</t>
        </is>
      </c>
      <c r="B18" s="269" t="n"/>
      <c r="C18" s="269" t="n"/>
      <c r="D18" s="288" t="n"/>
      <c r="E18" s="289" t="inlineStr">
        <is>
          <t>15</t>
        </is>
      </c>
      <c r="F18" s="290" t="n">
        <v>0</v>
      </c>
      <c r="G18" s="291" t="n"/>
      <c r="H18" s="292" t="n">
        <v>-0.025</v>
      </c>
      <c r="I18" s="293" t="n"/>
      <c r="J18" s="292" t="n">
        <v>0</v>
      </c>
      <c r="K18" s="292" t="n"/>
      <c r="L18" s="292" t="n">
        <v>0.015</v>
      </c>
      <c r="M18" s="292" t="n"/>
      <c r="N18" s="292" t="n">
        <v>0.02</v>
      </c>
      <c r="O18" s="220" t="inlineStr">
        <is>
          <t>/year:</t>
        </is>
      </c>
      <c r="P18" s="229" t="n"/>
      <c r="Q18" s="237" t="n"/>
      <c r="R18" s="287">
        <f>R17/30</f>
        <v/>
      </c>
    </row>
    <row r="19" ht="12.75" customHeight="1" s="200">
      <c r="F19" s="294" t="inlineStr">
        <is>
          <t>Projected</t>
        </is>
      </c>
      <c r="G19" s="295" t="n"/>
      <c r="H19" s="295" t="n"/>
      <c r="I19" s="295" t="n"/>
      <c r="J19" s="295" t="n"/>
      <c r="K19" s="295" t="n"/>
      <c r="L19" s="295" t="n"/>
      <c r="M19" s="295" t="n"/>
      <c r="N19" s="295" t="n"/>
      <c r="O19" s="273" t="inlineStr">
        <is>
          <t>/Month:</t>
        </is>
      </c>
      <c r="P19" s="274" t="n"/>
      <c r="Q19" s="296" t="n"/>
      <c r="R19" s="297">
        <f>R17/360</f>
        <v/>
      </c>
    </row>
    <row r="20" ht="15" customHeight="1" s="200">
      <c r="A20" s="288" t="inlineStr">
        <is>
          <t>Operating Revenues</t>
        </is>
      </c>
      <c r="B20" s="269" t="n"/>
      <c r="C20" s="269" t="n"/>
      <c r="D20" s="298" t="inlineStr">
        <is>
          <t>Actual Monthly</t>
        </is>
      </c>
      <c r="E20" s="288" t="n"/>
      <c r="F20" s="298" t="inlineStr">
        <is>
          <t>Year 1</t>
        </is>
      </c>
      <c r="G20" s="298" t="n"/>
      <c r="H20" s="298" t="inlineStr">
        <is>
          <t>Year 2</t>
        </is>
      </c>
      <c r="I20" s="298" t="n"/>
      <c r="J20" s="298" t="inlineStr">
        <is>
          <t>Year 3</t>
        </is>
      </c>
      <c r="K20" s="298" t="n"/>
      <c r="L20" s="298" t="inlineStr">
        <is>
          <t>Year 4</t>
        </is>
      </c>
      <c r="M20" s="298" t="n"/>
      <c r="N20" s="298" t="inlineStr">
        <is>
          <t>Year 5</t>
        </is>
      </c>
      <c r="O20" s="299" t="inlineStr">
        <is>
          <t>Deal</t>
        </is>
      </c>
      <c r="P20" s="224" t="n"/>
      <c r="Q20" s="224" t="n"/>
      <c r="R20" s="225" t="n"/>
      <c r="S20" s="300" t="inlineStr">
        <is>
          <t>IRR</t>
        </is>
      </c>
      <c r="T20" s="224" t="n"/>
      <c r="U20" s="224" t="n"/>
      <c r="V20" s="224" t="n"/>
      <c r="W20" s="225" t="n"/>
    </row>
    <row r="21" ht="12.8" customHeight="1" s="200">
      <c r="A21" s="198" t="inlineStr">
        <is>
          <t>Gross Scheduled Income</t>
        </is>
      </c>
      <c r="D21" s="301">
        <f>B14</f>
        <v/>
      </c>
      <c r="E21" s="302" t="n"/>
      <c r="F21" s="286">
        <f>((12*D21)*F16)+(12*D21)</f>
        <v/>
      </c>
      <c r="H21" s="286">
        <f>(F21*H16)+F21</f>
        <v/>
      </c>
      <c r="J21" s="286">
        <f>(H21*J16)+H21</f>
        <v/>
      </c>
      <c r="L21" s="286">
        <f>(J21*L16)+J21</f>
        <v/>
      </c>
      <c r="N21" s="286">
        <f>(L21*N16)+L21</f>
        <v/>
      </c>
      <c r="O21" s="220" t="n"/>
      <c r="P21" s="237" t="inlineStr">
        <is>
          <t>% Deal</t>
        </is>
      </c>
      <c r="Q21" s="237" t="n"/>
      <c r="R21" s="303" t="n"/>
      <c r="S21" s="304" t="inlineStr">
        <is>
          <t>Initial Outlay:</t>
        </is>
      </c>
      <c r="U21" s="263">
        <f>R41</f>
        <v/>
      </c>
      <c r="V21" s="305">
        <f>-P6</f>
        <v/>
      </c>
      <c r="W21" s="306" t="inlineStr">
        <is>
          <t>PV</t>
        </is>
      </c>
    </row>
    <row r="22" ht="12.8" customHeight="1" s="200">
      <c r="A22" s="198" t="inlineStr">
        <is>
          <t>Vacancy Rate</t>
        </is>
      </c>
      <c r="B22" s="307" t="n">
        <v>0.1</v>
      </c>
      <c r="C22" s="229" t="inlineStr">
        <is>
          <t>5</t>
        </is>
      </c>
      <c r="D22" s="308">
        <f>-(D21*B22)</f>
        <v/>
      </c>
      <c r="E22" s="309" t="n"/>
      <c r="F22" s="310">
        <f>12*D22</f>
        <v/>
      </c>
      <c r="G22" s="263" t="n"/>
      <c r="H22" s="310">
        <f>(F22*H16)+F22</f>
        <v/>
      </c>
      <c r="I22" s="263" t="n"/>
      <c r="J22" s="310">
        <f>(H22*J16)+H22</f>
        <v/>
      </c>
      <c r="K22" s="263" t="n"/>
      <c r="L22" s="310">
        <f>(J22*L16)+J22</f>
        <v/>
      </c>
      <c r="M22" s="263" t="n"/>
      <c r="N22" s="310">
        <f>(L22*N16)+L22</f>
        <v/>
      </c>
      <c r="O22" s="220" t="inlineStr">
        <is>
          <t>Opportunity:</t>
        </is>
      </c>
      <c r="P22" s="311" t="n">
        <v>0.45</v>
      </c>
      <c r="Q22" s="312">
        <f>P22*F49</f>
        <v/>
      </c>
      <c r="R22" s="238">
        <f>Q22/12</f>
        <v/>
      </c>
      <c r="S22" s="220" t="n"/>
      <c r="W22" s="242" t="n"/>
    </row>
    <row r="23" ht="12.8" customHeight="1" s="200">
      <c r="A23" s="198" t="inlineStr">
        <is>
          <t>Net Rental Income</t>
        </is>
      </c>
      <c r="D23" s="301">
        <f>D21+D22</f>
        <v/>
      </c>
      <c r="E23" s="302" t="n"/>
      <c r="F23" s="286">
        <f>SUM(F21:F22)</f>
        <v/>
      </c>
      <c r="H23" s="286">
        <f>(F23*H16)+F23</f>
        <v/>
      </c>
      <c r="J23" s="286">
        <f>(H23*J16)+H23</f>
        <v/>
      </c>
      <c r="K23" s="199" t="n"/>
      <c r="L23" s="286">
        <f>(J23*L16)+J23</f>
        <v/>
      </c>
      <c r="M23" s="199" t="n"/>
      <c r="N23" s="286">
        <f>(L23*N16)+L23</f>
        <v/>
      </c>
      <c r="O23" s="313" t="inlineStr">
        <is>
          <t>Creating:       →</t>
        </is>
      </c>
      <c r="P23" s="314">
        <f>P6*Q23</f>
        <v/>
      </c>
      <c r="Q23" s="315">
        <f>N4-Q27</f>
        <v/>
      </c>
      <c r="R23" s="316" t="inlineStr">
        <is>
          <t xml:space="preserve">Units </t>
        </is>
      </c>
      <c r="S23" s="317" t="inlineStr">
        <is>
          <t>After Tax</t>
        </is>
      </c>
      <c r="V23" s="318" t="inlineStr">
        <is>
          <t>/ Unit</t>
        </is>
      </c>
      <c r="W23" s="319">
        <f>U21</f>
        <v/>
      </c>
    </row>
    <row r="24" ht="12.8" customHeight="1" s="200">
      <c r="A24" s="198" t="inlineStr">
        <is>
          <t>Other Income</t>
        </is>
      </c>
      <c r="D24" s="320">
        <f>F24/12</f>
        <v/>
      </c>
      <c r="E24" s="321" t="inlineStr">
        <is>
          <t>6</t>
        </is>
      </c>
      <c r="F24" s="322" t="n">
        <v>1500</v>
      </c>
      <c r="H24" s="323">
        <f>(F24*H16)+F24</f>
        <v/>
      </c>
      <c r="J24" s="323">
        <f>(H24*J16)+H24</f>
        <v/>
      </c>
      <c r="K24" s="199" t="n"/>
      <c r="L24" s="323">
        <f>(J24*L16)+J24</f>
        <v/>
      </c>
      <c r="M24" s="199" t="n"/>
      <c r="N24" s="323">
        <f>(L24*N16)+L24</f>
        <v/>
      </c>
      <c r="O24" s="220" t="inlineStr">
        <is>
          <t>Expectation:</t>
        </is>
      </c>
      <c r="P24" s="312">
        <f>Q23*P14</f>
        <v/>
      </c>
      <c r="R24" s="287">
        <f>N14-R28</f>
        <v/>
      </c>
      <c r="S24" s="304" t="inlineStr">
        <is>
          <t>Cash flow 1:</t>
        </is>
      </c>
      <c r="U24" s="263">
        <f>F51*P26</f>
        <v/>
      </c>
      <c r="V24" s="324">
        <f>U24/Q27</f>
        <v/>
      </c>
      <c r="W24" s="325">
        <f>(U24/(1+F11)^5)</f>
        <v/>
      </c>
    </row>
    <row r="25" ht="12.8" customHeight="1" s="200">
      <c r="A25" s="249" t="inlineStr">
        <is>
          <t>Gross Income</t>
        </is>
      </c>
      <c r="B25" s="240" t="n">
        <v>1</v>
      </c>
      <c r="D25" s="302">
        <f>SUM(D23:D24)</f>
        <v/>
      </c>
      <c r="E25" s="302" t="n"/>
      <c r="F25" s="302">
        <f>SUM(F23:F24)</f>
        <v/>
      </c>
      <c r="G25" s="198" t="n"/>
      <c r="H25" s="302">
        <f>(F25*H16)+F25</f>
        <v/>
      </c>
      <c r="I25" s="198" t="n"/>
      <c r="J25" s="302">
        <f>(H25*J16)+H25</f>
        <v/>
      </c>
      <c r="K25" s="198" t="n"/>
      <c r="L25" s="302">
        <f>(J25*L16)+J25</f>
        <v/>
      </c>
      <c r="M25" s="198" t="n"/>
      <c r="N25" s="302">
        <f>(L25*N16)+L25</f>
        <v/>
      </c>
      <c r="O25" s="220" t="n"/>
      <c r="P25" s="237" t="n"/>
      <c r="Q25" s="237" t="n"/>
      <c r="R25" s="238" t="n"/>
      <c r="S25" s="304" t="inlineStr">
        <is>
          <t>Cash flow 2:</t>
        </is>
      </c>
      <c r="U25" s="263">
        <f>H51*P26</f>
        <v/>
      </c>
      <c r="V25" s="324">
        <f>U25/Q27</f>
        <v/>
      </c>
      <c r="W25" s="325">
        <f>(U25/(1+F11)^5)</f>
        <v/>
      </c>
    </row>
    <row r="26" ht="12.8" customHeight="1" s="200">
      <c r="M26" s="269" t="n"/>
      <c r="N26" s="269" t="n"/>
      <c r="O26" s="220" t="inlineStr">
        <is>
          <t>Investors:</t>
        </is>
      </c>
      <c r="P26" s="326">
        <f>1-P22</f>
        <v/>
      </c>
      <c r="Q26" s="312">
        <f>P26*F49</f>
        <v/>
      </c>
      <c r="R26" s="238">
        <f>Q26/12</f>
        <v/>
      </c>
      <c r="S26" s="304" t="inlineStr">
        <is>
          <t>Cash flow 3:</t>
        </is>
      </c>
      <c r="U26" s="263">
        <f>J51*P26</f>
        <v/>
      </c>
      <c r="V26" s="324">
        <f>U26/Q27</f>
        <v/>
      </c>
      <c r="W26" s="325">
        <f>(U26/(1+F11)^5)</f>
        <v/>
      </c>
    </row>
    <row r="27" ht="12.8" customHeight="1" s="200">
      <c r="A27" s="327" t="inlineStr">
        <is>
          <t>Operating Expenses</t>
        </is>
      </c>
      <c r="B27" s="328" t="n"/>
      <c r="C27" s="328" t="n"/>
      <c r="D27" s="327" t="n"/>
      <c r="E27" s="327" t="n"/>
      <c r="F27" s="328" t="n"/>
      <c r="G27" s="328" t="n"/>
      <c r="H27" s="328" t="n"/>
      <c r="I27" s="328" t="n"/>
      <c r="J27" s="328" t="n"/>
      <c r="K27" s="328" t="n"/>
      <c r="L27" s="328" t="n"/>
      <c r="M27" s="269" t="n"/>
      <c r="N27" s="269" t="n"/>
      <c r="O27" s="313" t="inlineStr">
        <is>
          <t>Contributing:  →</t>
        </is>
      </c>
      <c r="P27" s="314">
        <f>Q27*P6</f>
        <v/>
      </c>
      <c r="Q27" s="315">
        <f>ROUNDUP(N4*P26,0)</f>
        <v/>
      </c>
      <c r="R27" s="316" t="inlineStr">
        <is>
          <t xml:space="preserve">Units </t>
        </is>
      </c>
      <c r="S27" s="304" t="inlineStr">
        <is>
          <t>Cash flow 4:</t>
        </is>
      </c>
      <c r="U27" s="263">
        <f>L51*P26</f>
        <v/>
      </c>
      <c r="V27" s="324">
        <f>U27/Q27</f>
        <v/>
      </c>
      <c r="W27" s="325">
        <f>(U27/(1+F11)^5)</f>
        <v/>
      </c>
    </row>
    <row r="28" ht="12.8" customHeight="1" s="200">
      <c r="A28" s="198" t="inlineStr">
        <is>
          <t>Repairs and Maintenance</t>
        </is>
      </c>
      <c r="B28" s="329">
        <f>D28/D25</f>
        <v/>
      </c>
      <c r="D28" s="301">
        <f>F28/12</f>
        <v/>
      </c>
      <c r="E28" s="281" t="inlineStr">
        <is>
          <t>7</t>
        </is>
      </c>
      <c r="F28" s="330" t="n">
        <v>60</v>
      </c>
      <c r="G28" s="229" t="inlineStr">
        <is>
          <t>a</t>
        </is>
      </c>
      <c r="H28" s="286">
        <f>(F28*H18)+F28</f>
        <v/>
      </c>
      <c r="J28" s="286">
        <f>(H28*J18)+H28</f>
        <v/>
      </c>
      <c r="L28" s="286">
        <f>(J28*L18)+J28</f>
        <v/>
      </c>
      <c r="N28" s="286">
        <f>(L28*N18)+L28</f>
        <v/>
      </c>
      <c r="O28" s="220">
        <f>O24</f>
        <v/>
      </c>
      <c r="P28" s="312">
        <f>P14*Q27</f>
        <v/>
      </c>
      <c r="Q28" s="237" t="n"/>
      <c r="R28" s="287">
        <f>Q26/R6</f>
        <v/>
      </c>
      <c r="S28" s="304" t="inlineStr">
        <is>
          <t>Cash flow 5:</t>
        </is>
      </c>
      <c r="U28" s="263">
        <f>N51*P26</f>
        <v/>
      </c>
      <c r="V28" s="324">
        <f>U28/Q27</f>
        <v/>
      </c>
      <c r="W28" s="325">
        <f>(U28/(1+F11)^5)</f>
        <v/>
      </c>
    </row>
    <row r="29" ht="12.8" customHeight="1" s="200">
      <c r="A29" s="198" t="inlineStr">
        <is>
          <t>Property Management Fee</t>
        </is>
      </c>
      <c r="B29" s="329">
        <f>D29/D25</f>
        <v/>
      </c>
      <c r="D29" s="301">
        <f>F29/12</f>
        <v/>
      </c>
      <c r="E29" s="281" t="inlineStr">
        <is>
          <t>7</t>
        </is>
      </c>
      <c r="F29" s="330" t="n">
        <v>0</v>
      </c>
      <c r="G29" s="229" t="inlineStr">
        <is>
          <t>b</t>
        </is>
      </c>
      <c r="H29" s="286">
        <f>(F29*H18)+F29</f>
        <v/>
      </c>
      <c r="J29" s="286">
        <f>(H29*J18)+H29</f>
        <v/>
      </c>
      <c r="L29" s="286">
        <f>(J29*L18)+J29</f>
        <v/>
      </c>
      <c r="N29" s="286">
        <f>(L29*N18)+L29</f>
        <v/>
      </c>
      <c r="O29" s="304" t="inlineStr">
        <is>
          <t>Min Investment:</t>
        </is>
      </c>
      <c r="Q29" s="312">
        <f>H5/35</f>
        <v/>
      </c>
      <c r="R29" s="242" t="inlineStr">
        <is>
          <t>/ Investor</t>
        </is>
      </c>
      <c r="S29" s="304" t="inlineStr">
        <is>
          <t>Cash out:</t>
        </is>
      </c>
      <c r="U29" s="263">
        <f>R49</f>
        <v/>
      </c>
      <c r="V29" s="324">
        <f>U29/Q27</f>
        <v/>
      </c>
      <c r="W29" s="325">
        <f>(U29/(1+F11)^5)</f>
        <v/>
      </c>
    </row>
    <row r="30" ht="12.8" customHeight="1" s="200">
      <c r="A30" s="198" t="inlineStr">
        <is>
          <t>Taxes</t>
        </is>
      </c>
      <c r="B30" s="329">
        <f>D30/D25</f>
        <v/>
      </c>
      <c r="D30" s="301">
        <f>F30/12</f>
        <v/>
      </c>
      <c r="E30" s="281" t="inlineStr">
        <is>
          <t>7</t>
        </is>
      </c>
      <c r="F30" s="330" t="n">
        <v>0</v>
      </c>
      <c r="G30" s="229" t="inlineStr">
        <is>
          <t>c</t>
        </is>
      </c>
      <c r="H30" s="286">
        <f>(F30*H18)+F30</f>
        <v/>
      </c>
      <c r="J30" s="286">
        <f>(H30*J18)+H30</f>
        <v/>
      </c>
      <c r="L30" s="286">
        <f>(J30*L18)+J30</f>
        <v/>
      </c>
      <c r="N30" s="286">
        <f>(L30*N18)+L30</f>
        <v/>
      </c>
      <c r="O30" s="304" t="inlineStr">
        <is>
          <t>Min Investment:</t>
        </is>
      </c>
      <c r="Q30" s="331">
        <f>ROUND(Q29/P6,0)</f>
        <v/>
      </c>
      <c r="R30" s="242" t="inlineStr">
        <is>
          <t>Units/Investor</t>
        </is>
      </c>
      <c r="S30" s="220" t="n"/>
      <c r="W30" s="242" t="n"/>
    </row>
    <row r="31" ht="12.8" customHeight="1" s="200">
      <c r="A31" s="198" t="inlineStr">
        <is>
          <t>Insurance</t>
        </is>
      </c>
      <c r="B31" s="329">
        <f>D31/D25</f>
        <v/>
      </c>
      <c r="D31" s="301">
        <f>F31/12</f>
        <v/>
      </c>
      <c r="E31" s="281" t="inlineStr">
        <is>
          <t>7</t>
        </is>
      </c>
      <c r="F31" s="330" t="n">
        <v>0</v>
      </c>
      <c r="G31" s="229" t="inlineStr">
        <is>
          <t>d</t>
        </is>
      </c>
      <c r="H31" s="286">
        <f>(F31*H18)+F31</f>
        <v/>
      </c>
      <c r="J31" s="286">
        <f>(H31*J18)+H31</f>
        <v/>
      </c>
      <c r="L31" s="286">
        <f>(J31*L18)+J31</f>
        <v/>
      </c>
      <c r="N31" s="286">
        <f>(L31*N18)+L31</f>
        <v/>
      </c>
      <c r="O31" s="332" t="inlineStr">
        <is>
          <t>*to meet all min requirements of SEC*</t>
        </is>
      </c>
      <c r="P31" s="333" t="n"/>
      <c r="Q31" s="333" t="n"/>
      <c r="R31" s="334" t="n"/>
      <c r="S31" s="220" t="inlineStr">
        <is>
          <t>Total PV:</t>
        </is>
      </c>
      <c r="T31" s="335" t="inlineStr">
        <is>
          <t>~~~~~~~~~~~~~~~~~&gt;</t>
        </is>
      </c>
      <c r="V31" s="336">
        <f>SUM(V24:V29)</f>
        <v/>
      </c>
      <c r="W31" s="325">
        <f>SUM(W24:W29)</f>
        <v/>
      </c>
    </row>
    <row r="32" ht="15" customHeight="1" s="200">
      <c r="A32" s="198" t="inlineStr">
        <is>
          <t>Salaries and Wages</t>
        </is>
      </c>
      <c r="B32" s="329">
        <f>D32/D25</f>
        <v/>
      </c>
      <c r="D32" s="301">
        <f>F32/12</f>
        <v/>
      </c>
      <c r="E32" s="281" t="inlineStr">
        <is>
          <t>7</t>
        </is>
      </c>
      <c r="F32" s="330" t="n">
        <v>0</v>
      </c>
      <c r="G32" s="229" t="inlineStr">
        <is>
          <t>e</t>
        </is>
      </c>
      <c r="H32" s="286">
        <f>(F32*H18)+F32</f>
        <v/>
      </c>
      <c r="J32" s="286">
        <f>(H32*J18)+H32</f>
        <v/>
      </c>
      <c r="L32" s="286">
        <f>(J32*L18)+J32</f>
        <v/>
      </c>
      <c r="N32" s="286">
        <f>(L32*N18)+L32</f>
        <v/>
      </c>
      <c r="O32" s="299" t="inlineStr">
        <is>
          <t>Opportunity</t>
        </is>
      </c>
      <c r="P32" s="224" t="n"/>
      <c r="Q32" s="224" t="n"/>
      <c r="R32" s="225" t="n"/>
      <c r="S32" s="220" t="n"/>
      <c r="V32" s="229" t="n"/>
      <c r="W32" s="319" t="n"/>
    </row>
    <row r="33" ht="12.8" customHeight="1" s="200">
      <c r="A33" s="198" t="inlineStr">
        <is>
          <t>Utilities</t>
        </is>
      </c>
      <c r="B33" s="329">
        <f>D33/D25</f>
        <v/>
      </c>
      <c r="D33" s="301">
        <f>F33/12</f>
        <v/>
      </c>
      <c r="E33" s="281" t="inlineStr">
        <is>
          <t>7</t>
        </is>
      </c>
      <c r="F33" s="330" t="n">
        <v>0</v>
      </c>
      <c r="G33" s="229" t="inlineStr">
        <is>
          <t>f</t>
        </is>
      </c>
      <c r="H33" s="286">
        <f>(F33*H18)+F33</f>
        <v/>
      </c>
      <c r="J33" s="286">
        <f>(H33*J18)+H33</f>
        <v/>
      </c>
      <c r="L33" s="286">
        <f>(J33*L18)+J33</f>
        <v/>
      </c>
      <c r="N33" s="286">
        <f>(L33*N18)+L33</f>
        <v/>
      </c>
      <c r="O33" s="337" t="n"/>
      <c r="R33" s="233" t="n"/>
      <c r="S33" s="234" t="inlineStr">
        <is>
          <t>NPV:</t>
        </is>
      </c>
      <c r="T33" s="335" t="inlineStr">
        <is>
          <t>~~~~~~~~~~~~~~~~~&gt;</t>
        </is>
      </c>
      <c r="V33" s="336">
        <f>V31+V21</f>
        <v/>
      </c>
      <c r="W33" s="325">
        <f>W31+W23</f>
        <v/>
      </c>
    </row>
    <row r="34" ht="12.8" customHeight="1" s="200">
      <c r="A34" s="198" t="inlineStr">
        <is>
          <t>Gen &amp; Admin</t>
        </is>
      </c>
      <c r="B34" s="329">
        <f>D34/D25</f>
        <v/>
      </c>
      <c r="D34" s="301">
        <f>F34/12</f>
        <v/>
      </c>
      <c r="E34" s="281" t="inlineStr">
        <is>
          <t>7</t>
        </is>
      </c>
      <c r="F34" s="330" t="n">
        <v>0</v>
      </c>
      <c r="G34" s="229" t="inlineStr">
        <is>
          <t>g</t>
        </is>
      </c>
      <c r="H34" s="286">
        <f>(F34*H18)+F34</f>
        <v/>
      </c>
      <c r="J34" s="286">
        <f>(H34*J18)+H34</f>
        <v/>
      </c>
      <c r="L34" s="286">
        <f>(J34*L18)+J34</f>
        <v/>
      </c>
      <c r="N34" s="286">
        <f>(L34*N18)+L34</f>
        <v/>
      </c>
      <c r="O34" s="337" t="n"/>
      <c r="R34" s="233" t="n"/>
      <c r="S34" s="220" t="n"/>
      <c r="W34" s="303" t="n"/>
    </row>
    <row r="35" ht="16.15" customHeight="1" s="200">
      <c r="A35" s="198" t="inlineStr">
        <is>
          <t>Professional Fees</t>
        </is>
      </c>
      <c r="B35" s="329">
        <f>D35/D25</f>
        <v/>
      </c>
      <c r="D35" s="301">
        <f>F35/12</f>
        <v/>
      </c>
      <c r="E35" s="281" t="inlineStr">
        <is>
          <t>7</t>
        </is>
      </c>
      <c r="F35" s="330" t="n">
        <v>0</v>
      </c>
      <c r="G35" s="229" t="inlineStr">
        <is>
          <t>h</t>
        </is>
      </c>
      <c r="H35" s="286">
        <f>(F35*H18)+F35</f>
        <v/>
      </c>
      <c r="J35" s="286">
        <f>(H35*J18)+H35</f>
        <v/>
      </c>
      <c r="L35" s="286">
        <f>(J35*L18)+J35</f>
        <v/>
      </c>
      <c r="N35" s="286">
        <f>(L35*N18)+L35</f>
        <v/>
      </c>
      <c r="O35" s="337" t="n"/>
      <c r="R35" s="233" t="n"/>
      <c r="S35" s="338" t="inlineStr">
        <is>
          <t>IRR:</t>
        </is>
      </c>
      <c r="T35" s="339" t="n"/>
      <c r="U35" s="339" t="n"/>
      <c r="V35" s="339" t="n"/>
      <c r="W35" s="340">
        <f>IRR(W23:W29)</f>
        <v/>
      </c>
    </row>
    <row r="36" ht="16.15" customHeight="1" s="200">
      <c r="A36" s="198" t="inlineStr">
        <is>
          <t>Advertising</t>
        </is>
      </c>
      <c r="B36" s="329">
        <f>D36/D25</f>
        <v/>
      </c>
      <c r="D36" s="301">
        <f>F36/12</f>
        <v/>
      </c>
      <c r="E36" s="281" t="inlineStr">
        <is>
          <t>7</t>
        </is>
      </c>
      <c r="F36" s="330" t="n">
        <v>0</v>
      </c>
      <c r="G36" s="229" t="inlineStr">
        <is>
          <t>I</t>
        </is>
      </c>
      <c r="H36" s="286">
        <f>(F36*H18)+F36</f>
        <v/>
      </c>
      <c r="J36" s="286">
        <f>(H36*J18)+H36</f>
        <v/>
      </c>
      <c r="L36" s="286">
        <f>(J36*L18)+J36</f>
        <v/>
      </c>
      <c r="N36" s="286">
        <f>(L36*N18)+L36</f>
        <v/>
      </c>
      <c r="O36" s="337" t="n"/>
      <c r="R36" s="233" t="n"/>
      <c r="S36" s="341" t="inlineStr">
        <is>
          <t>Notes*</t>
        </is>
      </c>
      <c r="T36" s="224" t="n"/>
      <c r="U36" s="224" t="n"/>
      <c r="V36" s="224" t="n"/>
      <c r="W36" s="225" t="n"/>
    </row>
    <row r="37" ht="12.8" customHeight="1" s="200">
      <c r="A37" s="198" t="inlineStr">
        <is>
          <t>Capital Reserve</t>
        </is>
      </c>
      <c r="B37" s="329">
        <f>D37/D25</f>
        <v/>
      </c>
      <c r="D37" s="301">
        <f>F37/12</f>
        <v/>
      </c>
      <c r="E37" s="281" t="inlineStr">
        <is>
          <t>7</t>
        </is>
      </c>
      <c r="F37" s="330" t="n">
        <v>1850</v>
      </c>
      <c r="G37" s="229" t="inlineStr">
        <is>
          <t>j</t>
        </is>
      </c>
      <c r="H37" s="286">
        <f>(F37*H18)+F37</f>
        <v/>
      </c>
      <c r="J37" s="286">
        <f>(H37*J18)+H37</f>
        <v/>
      </c>
      <c r="L37" s="286">
        <f>(J37*L18)+J37</f>
        <v/>
      </c>
      <c r="N37" s="286">
        <f>(L37*N18)+L37</f>
        <v/>
      </c>
      <c r="O37" s="342" t="n"/>
      <c r="R37" s="233" t="n"/>
      <c r="S37" s="232" t="inlineStr">
        <is>
          <t xml:space="preserve">*Cashout refi profit goes entirely to </t>
        </is>
      </c>
      <c r="W37" s="233" t="n"/>
    </row>
    <row r="38" ht="12.8" customHeight="1" s="200">
      <c r="A38" s="198" t="inlineStr">
        <is>
          <t>Other</t>
        </is>
      </c>
      <c r="B38" s="343">
        <f>D38/D25</f>
        <v/>
      </c>
      <c r="D38" s="344">
        <f>F38/12</f>
        <v/>
      </c>
      <c r="E38" s="281" t="inlineStr">
        <is>
          <t>7</t>
        </is>
      </c>
      <c r="F38" s="322" t="n">
        <v>30000</v>
      </c>
      <c r="G38" s="229" t="inlineStr">
        <is>
          <t>k</t>
        </is>
      </c>
      <c r="H38" s="323">
        <f>(F38*H18)+F38</f>
        <v/>
      </c>
      <c r="J38" s="323">
        <f>(H38*J18)+H38</f>
        <v/>
      </c>
      <c r="L38" s="323">
        <f>(J38*L18)+J38</f>
        <v/>
      </c>
      <c r="N38" s="323">
        <f>(L38*N18)+L38</f>
        <v/>
      </c>
      <c r="O38" s="345" t="n"/>
      <c r="P38" s="333" t="n"/>
      <c r="Q38" s="333" t="n"/>
      <c r="R38" s="334" t="n"/>
      <c r="S38" s="332" t="inlineStr">
        <is>
          <t>repay investors initial contributions</t>
        </is>
      </c>
      <c r="T38" s="333" t="n"/>
      <c r="U38" s="333" t="n"/>
      <c r="V38" s="333" t="n"/>
      <c r="W38" s="334" t="n"/>
    </row>
    <row r="39" ht="15" customHeight="1" s="200">
      <c r="A39" s="249" t="inlineStr">
        <is>
          <t>Total Operating Expenses</t>
        </is>
      </c>
      <c r="B39" s="346">
        <f>SUM(B28:B38)</f>
        <v/>
      </c>
      <c r="D39" s="302">
        <f>SUM(D28:D38)</f>
        <v/>
      </c>
      <c r="F39" s="302">
        <f>SUM(F28:F38)</f>
        <v/>
      </c>
      <c r="H39" s="302">
        <f>SUM(H28:H38)</f>
        <v/>
      </c>
      <c r="J39" s="302">
        <f>SUM(J28:J38)</f>
        <v/>
      </c>
      <c r="L39" s="302">
        <f>SUM(L28:L38)</f>
        <v/>
      </c>
      <c r="N39" s="302">
        <f>SUM(N28:N38)</f>
        <v/>
      </c>
      <c r="O39" s="299" t="inlineStr">
        <is>
          <t>5 Year Performance</t>
        </is>
      </c>
      <c r="P39" s="224" t="n"/>
      <c r="Q39" s="224" t="n"/>
      <c r="R39" s="225" t="n"/>
    </row>
    <row r="40" ht="6" customHeight="1" s="200">
      <c r="M40" s="269" t="n"/>
      <c r="N40" s="269" t="n"/>
      <c r="O40" s="220" t="n"/>
      <c r="P40" s="229" t="n"/>
      <c r="Q40" s="229" t="n"/>
      <c r="R40" s="242" t="n"/>
    </row>
    <row r="41" ht="15" customHeight="1" s="200">
      <c r="A41" s="327" t="inlineStr">
        <is>
          <t>Net Operating Income</t>
        </is>
      </c>
      <c r="B41" s="347">
        <f>100%-B39</f>
        <v/>
      </c>
      <c r="C41" s="327" t="n"/>
      <c r="D41" s="348">
        <f>D25-D39</f>
        <v/>
      </c>
      <c r="E41" s="349" t="n"/>
      <c r="F41" s="348">
        <f>F25-F39</f>
        <v/>
      </c>
      <c r="G41" s="349" t="n"/>
      <c r="H41" s="348">
        <f>H25-H39</f>
        <v/>
      </c>
      <c r="I41" s="349" t="n"/>
      <c r="J41" s="348">
        <f>J25-J39</f>
        <v/>
      </c>
      <c r="K41" s="349" t="n"/>
      <c r="L41" s="348">
        <f>L25-L39</f>
        <v/>
      </c>
      <c r="M41" s="350" t="n"/>
      <c r="N41" s="348">
        <f>N25-N39</f>
        <v/>
      </c>
      <c r="O41" s="304" t="inlineStr">
        <is>
          <t>Initial Investment:</t>
        </is>
      </c>
      <c r="Q41" s="318" t="inlineStr">
        <is>
          <t>CoC</t>
        </is>
      </c>
      <c r="R41" s="264">
        <f>-R6</f>
        <v/>
      </c>
    </row>
    <row r="42" ht="12.8" customHeight="1" s="200">
      <c r="A42" s="198" t="inlineStr">
        <is>
          <t>Interest on Loan</t>
        </is>
      </c>
      <c r="B42" s="329">
        <f>-D42/D25</f>
        <v/>
      </c>
      <c r="D42" s="351">
        <f>F42/12</f>
        <v/>
      </c>
      <c r="E42" s="352" t="n"/>
      <c r="F42" s="351">
        <f>ISPMT(F11,12,H12,H7)</f>
        <v/>
      </c>
      <c r="G42" s="352" t="n"/>
      <c r="H42" s="351">
        <f>ISPMT(F11,24,H12,H7)</f>
        <v/>
      </c>
      <c r="I42" s="352" t="n"/>
      <c r="J42" s="351">
        <f>ISPMT(F11,36,H12,H7)</f>
        <v/>
      </c>
      <c r="K42" s="352" t="n"/>
      <c r="L42" s="351">
        <f>ISPMT(F11,48,H12,H7)</f>
        <v/>
      </c>
      <c r="M42" s="352" t="n"/>
      <c r="N42" s="351">
        <f>ISPMT(F11,60,H12,H7)</f>
        <v/>
      </c>
      <c r="O42" s="220" t="inlineStr">
        <is>
          <t>Year 1</t>
        </is>
      </c>
      <c r="P42" s="237" t="inlineStr">
        <is>
          <t>+ cash flow</t>
        </is>
      </c>
      <c r="Q42" s="326">
        <f>R26</f>
        <v/>
      </c>
      <c r="R42" s="264">
        <f>Q26</f>
        <v/>
      </c>
    </row>
    <row r="43" ht="12.8" customHeight="1" s="200">
      <c r="A43" s="198" t="inlineStr">
        <is>
          <t>Principle Paid</t>
        </is>
      </c>
      <c r="D43" s="302">
        <f>D42-H13</f>
        <v/>
      </c>
      <c r="E43" s="302" t="n"/>
      <c r="F43" s="302">
        <f>F42-F13</f>
        <v/>
      </c>
      <c r="G43" s="286" t="n"/>
      <c r="H43" s="302">
        <f>H42-F13</f>
        <v/>
      </c>
      <c r="I43" s="286" t="n"/>
      <c r="J43" s="302">
        <f>J42-F13</f>
        <v/>
      </c>
      <c r="K43" s="286" t="n"/>
      <c r="L43" s="302">
        <f>L42-F13</f>
        <v/>
      </c>
      <c r="M43" s="286" t="n"/>
      <c r="N43" s="302">
        <f>N42-F13</f>
        <v/>
      </c>
      <c r="O43" s="220" t="inlineStr">
        <is>
          <t>Year 2</t>
        </is>
      </c>
      <c r="P43" s="237" t="inlineStr">
        <is>
          <t>+ cash flow</t>
        </is>
      </c>
      <c r="Q43" s="326">
        <f>(H49/R6)*P26</f>
        <v/>
      </c>
      <c r="R43" s="264">
        <f>H49*P26</f>
        <v/>
      </c>
    </row>
    <row r="44" ht="12.8" customHeight="1" s="200">
      <c r="A44" s="198" t="inlineStr">
        <is>
          <t>Seller Financing</t>
        </is>
      </c>
      <c r="B44" s="343">
        <f>-D44/D25</f>
        <v/>
      </c>
      <c r="D44" s="353">
        <f>F44/12</f>
        <v/>
      </c>
      <c r="F44" s="351">
        <f>-H6*F14</f>
        <v/>
      </c>
      <c r="H44" s="351">
        <f>-H6*F14</f>
        <v/>
      </c>
      <c r="J44" s="351">
        <f>-H6*F14</f>
        <v/>
      </c>
      <c r="L44" s="351">
        <f>-H6*F14</f>
        <v/>
      </c>
      <c r="N44" s="351">
        <f>-H6*F14</f>
        <v/>
      </c>
      <c r="O44" s="220" t="inlineStr">
        <is>
          <t>Year 3</t>
        </is>
      </c>
      <c r="P44" s="237" t="inlineStr">
        <is>
          <t>+ cash flow</t>
        </is>
      </c>
      <c r="Q44" s="326">
        <f>(J49/R6)*P26</f>
        <v/>
      </c>
      <c r="R44" s="264">
        <f>J49*P26</f>
        <v/>
      </c>
    </row>
    <row r="45" ht="12.8" customHeight="1" s="200">
      <c r="A45" s="198" t="inlineStr">
        <is>
          <t>Total Cost of Interest</t>
        </is>
      </c>
      <c r="B45" s="343" t="n"/>
      <c r="D45" s="353" t="n"/>
      <c r="F45" s="354">
        <f>SUM(F44+F42)</f>
        <v/>
      </c>
      <c r="G45" s="355" t="n"/>
      <c r="H45" s="354">
        <f>SUM(H44+H42)</f>
        <v/>
      </c>
      <c r="I45" s="355" t="n"/>
      <c r="J45" s="354">
        <f>SUM(J44+J42)</f>
        <v/>
      </c>
      <c r="K45" s="355" t="n"/>
      <c r="L45" s="354">
        <f>SUM(L44+L42)</f>
        <v/>
      </c>
      <c r="M45" s="355" t="n"/>
      <c r="N45" s="354">
        <f>SUM(N44+N42)</f>
        <v/>
      </c>
      <c r="O45" s="220" t="inlineStr">
        <is>
          <t>Year 4</t>
        </is>
      </c>
      <c r="P45" s="237" t="inlineStr">
        <is>
          <t>+ cash flow</t>
        </is>
      </c>
      <c r="Q45" s="326">
        <f>(L49/R6)*P26</f>
        <v/>
      </c>
      <c r="R45" s="264">
        <f>L49*P26</f>
        <v/>
      </c>
    </row>
    <row r="46" ht="12.8" customHeight="1" s="200">
      <c r="A46" s="198" t="inlineStr">
        <is>
          <t>Income Tax Rate</t>
        </is>
      </c>
      <c r="B46" s="240" t="n">
        <v>0.15</v>
      </c>
      <c r="D46" s="356" t="inlineStr">
        <is>
          <t>~~~~~~~~~~~~~~~~~~~~~~~~~~~~~~~~~~~~~~~~~~~~~~~~~~~~~~~~~~~~~~~~~~~~~~~~~~~~~~~~~~~~~~~~~~~</t>
        </is>
      </c>
      <c r="O46" s="220" t="inlineStr">
        <is>
          <t>Year 5</t>
        </is>
      </c>
      <c r="P46" s="237" t="inlineStr">
        <is>
          <t>+ cash flow</t>
        </is>
      </c>
      <c r="Q46" s="326">
        <f>(N49/R6)*P26</f>
        <v/>
      </c>
      <c r="R46" s="264">
        <f>N49*P26</f>
        <v/>
      </c>
    </row>
    <row r="47" ht="12.8" customHeight="1" s="200">
      <c r="A47" s="198" t="inlineStr">
        <is>
          <t>Depreciation Expenses(Building)</t>
        </is>
      </c>
      <c r="D47" s="357">
        <f>F47/12</f>
        <v/>
      </c>
      <c r="F47" s="286">
        <f>VDB(B6,B5,27.5,0,1,1)</f>
        <v/>
      </c>
      <c r="G47" s="286" t="n"/>
      <c r="H47" s="286">
        <f>VDB(B6,B5,27.5,1,2,1)</f>
        <v/>
      </c>
      <c r="I47" s="286" t="n"/>
      <c r="J47" s="286">
        <f>VDB(B6,B5,27.5,2,3,1)</f>
        <v/>
      </c>
      <c r="K47" s="286" t="n"/>
      <c r="L47" s="286">
        <f>VDB(B6,B5,27.5,3,4,1)</f>
        <v/>
      </c>
      <c r="M47" s="286" t="n"/>
      <c r="N47" s="286">
        <f>VDB(B6,B5,27.5,4,5,1)</f>
        <v/>
      </c>
      <c r="O47" s="220" t="inlineStr">
        <is>
          <t>Year 6</t>
        </is>
      </c>
      <c r="P47" s="237" t="inlineStr">
        <is>
          <t>+ Refinance*</t>
        </is>
      </c>
      <c r="Q47" s="199" t="inlineStr">
        <is>
          <t>7.5 cap rate</t>
        </is>
      </c>
      <c r="R47" s="264">
        <f>(N41/0.075)*0.7</f>
        <v/>
      </c>
    </row>
    <row r="48" ht="12.8" customHeight="1" s="200">
      <c r="A48" s="198" t="inlineStr">
        <is>
          <t>Total Taxable Deductions</t>
        </is>
      </c>
      <c r="F48" s="358">
        <f>-F45+F47</f>
        <v/>
      </c>
      <c r="G48" s="358" t="n"/>
      <c r="H48" s="358">
        <f>-H45+H47</f>
        <v/>
      </c>
      <c r="I48" s="358" t="n"/>
      <c r="J48" s="358">
        <f>-J45+J47</f>
        <v/>
      </c>
      <c r="K48" s="358" t="n"/>
      <c r="L48" s="358">
        <f>-L45+L47</f>
        <v/>
      </c>
      <c r="M48" s="358" t="n"/>
      <c r="N48" s="358">
        <f>-N45+N47</f>
        <v/>
      </c>
      <c r="O48" s="220" t="n"/>
      <c r="P48" s="237" t="inlineStr">
        <is>
          <t>- Repay Debts</t>
        </is>
      </c>
      <c r="Q48" s="229" t="n"/>
      <c r="R48" s="264">
        <f>-(H7-(F43+H43+J43+L43+N43)+H6)</f>
        <v/>
      </c>
    </row>
    <row r="49" ht="15" customHeight="1" s="200">
      <c r="A49" s="198" t="inlineStr">
        <is>
          <t>Net Income before Taxes</t>
        </is>
      </c>
      <c r="D49" s="359">
        <f>F49/12</f>
        <v/>
      </c>
      <c r="E49" s="359" t="n"/>
      <c r="F49" s="359">
        <f>(F41+(F13+F44))</f>
        <v/>
      </c>
      <c r="G49" s="360" t="n"/>
      <c r="H49" s="359">
        <f>(H41+(F13+H44))</f>
        <v/>
      </c>
      <c r="I49" s="360" t="n"/>
      <c r="J49" s="359">
        <f>(J41+(F13+J44))</f>
        <v/>
      </c>
      <c r="K49" s="360" t="n"/>
      <c r="L49" s="359">
        <f>(L41+(F13+L44))</f>
        <v/>
      </c>
      <c r="M49" s="360" t="n"/>
      <c r="N49" s="359">
        <f>(N41+(F13+N44))</f>
        <v/>
      </c>
      <c r="O49" s="220" t="inlineStr">
        <is>
          <t>Profits</t>
        </is>
      </c>
      <c r="P49" s="237" t="n"/>
      <c r="Q49" s="229" t="n"/>
      <c r="R49" s="264">
        <f>(R47+R48)</f>
        <v/>
      </c>
    </row>
    <row r="50" ht="12.8" customHeight="1" s="200">
      <c r="A50" s="198" t="inlineStr">
        <is>
          <t>Expected Taxes</t>
        </is>
      </c>
      <c r="B50" s="240" t="n"/>
      <c r="D50" s="302" t="n"/>
      <c r="E50" s="302" t="n"/>
      <c r="F50" s="351">
        <f>IF(F49&lt;F48,0,-((F49-F48)*B46))</f>
        <v/>
      </c>
      <c r="G50" s="263" t="n"/>
      <c r="H50" s="351">
        <f>IF(H49&lt;H48,0,-((H49-H48)*B46))</f>
        <v/>
      </c>
      <c r="I50" s="263" t="n"/>
      <c r="J50" s="263">
        <f>IF(J49&lt;J48,0,-((J49-J48)*B46))</f>
        <v/>
      </c>
      <c r="K50" s="263" t="n"/>
      <c r="L50" s="263">
        <f>IF(L49&lt;L48,0,-((L49-L48)*B46))</f>
        <v/>
      </c>
      <c r="M50" s="263" t="n"/>
      <c r="N50" s="263">
        <f>IF(N49&lt;N48,0,-((N49-N48)*B46))</f>
        <v/>
      </c>
      <c r="O50" s="361" t="inlineStr">
        <is>
          <t>Ca$h+Profits</t>
        </is>
      </c>
      <c r="P50" s="296" t="n"/>
      <c r="Q50" s="274" t="n"/>
      <c r="R50" s="362">
        <f>R42+R43+R44+R45+R46+R49</f>
        <v/>
      </c>
    </row>
    <row r="51" ht="18.55" customHeight="1" s="200">
      <c r="A51" s="363" t="inlineStr">
        <is>
          <t>Net Income after Taxes</t>
        </is>
      </c>
      <c r="B51" s="364" t="n"/>
      <c r="C51" s="364" t="n"/>
      <c r="D51" s="365">
        <f>F51/12</f>
        <v/>
      </c>
      <c r="E51" s="365" t="n"/>
      <c r="F51" s="365">
        <f>F49+F50</f>
        <v/>
      </c>
      <c r="G51" s="365" t="n"/>
      <c r="H51" s="365">
        <f>H49+H50</f>
        <v/>
      </c>
      <c r="I51" s="365" t="n"/>
      <c r="J51" s="365">
        <f>J49+J50</f>
        <v/>
      </c>
      <c r="K51" s="365" t="n"/>
      <c r="L51" s="365">
        <f>L49+L50</f>
        <v/>
      </c>
      <c r="M51" s="365" t="n"/>
      <c r="N51" s="365">
        <f>N49+N50</f>
        <v/>
      </c>
      <c r="O51" s="366" t="inlineStr">
        <is>
          <t>Percentage:</t>
        </is>
      </c>
      <c r="P51" s="367" t="n"/>
      <c r="Q51" s="367" t="n"/>
      <c r="R51" s="368">
        <f>((-R50)/R41)</f>
        <v/>
      </c>
    </row>
    <row r="52" ht="12.8" customHeight="1" s="200">
      <c r="A52" s="199" t="n"/>
      <c r="D52" s="199" t="n"/>
      <c r="E52" s="199" t="n"/>
    </row>
    <row r="53" ht="14.65" customHeight="1" s="200">
      <c r="F53" s="263" t="n"/>
      <c r="G53" s="263" t="n"/>
      <c r="H53" s="263" t="n"/>
      <c r="I53" s="263" t="n"/>
      <c r="J53" s="263" t="n"/>
      <c r="K53" s="263" t="n"/>
      <c r="L53" s="263" t="n"/>
      <c r="M53" s="263" t="n"/>
      <c r="N53" s="263" t="n"/>
    </row>
    <row r="54" ht="14.65" customFormat="1" customHeight="1" s="198">
      <c r="A54" s="369" t="n"/>
      <c r="B54" s="369" t="n"/>
      <c r="C54" s="369" t="n"/>
      <c r="D54" s="369" t="n"/>
      <c r="E54" s="369" t="n"/>
      <c r="F54" s="370" t="n"/>
      <c r="G54" s="371" t="n"/>
      <c r="H54" s="370" t="n"/>
      <c r="I54" s="371" t="n"/>
      <c r="J54" s="370" t="n"/>
      <c r="K54" s="371" t="n"/>
      <c r="L54" s="370" t="n"/>
      <c r="M54" s="371" t="n"/>
      <c r="N54" s="370" t="n"/>
    </row>
    <row r="58" ht="12.8" customHeight="1" s="200"/>
  </sheetData>
  <mergeCells count="38">
    <mergeCell ref="A1:N1"/>
    <mergeCell ref="A2:N2"/>
    <mergeCell ref="A3:B3"/>
    <mergeCell ref="D3:H3"/>
    <mergeCell ref="J3:N3"/>
    <mergeCell ref="S3:Z3"/>
    <mergeCell ref="O4:R4"/>
    <mergeCell ref="O5:R5"/>
    <mergeCell ref="O15:R15"/>
    <mergeCell ref="F19:N19"/>
    <mergeCell ref="O20:R20"/>
    <mergeCell ref="S20:W20"/>
    <mergeCell ref="S21:T21"/>
    <mergeCell ref="S23:T23"/>
    <mergeCell ref="S24:T24"/>
    <mergeCell ref="S25:T25"/>
    <mergeCell ref="S26:T26"/>
    <mergeCell ref="S27:T27"/>
    <mergeCell ref="S28:T28"/>
    <mergeCell ref="O29:P29"/>
    <mergeCell ref="S29:T29"/>
    <mergeCell ref="O30:P30"/>
    <mergeCell ref="O31:R31"/>
    <mergeCell ref="T31:U31"/>
    <mergeCell ref="O32:R32"/>
    <mergeCell ref="O33:R33"/>
    <mergeCell ref="T33:U33"/>
    <mergeCell ref="O34:R34"/>
    <mergeCell ref="O35:R35"/>
    <mergeCell ref="O36:R36"/>
    <mergeCell ref="S36:W36"/>
    <mergeCell ref="O37:R37"/>
    <mergeCell ref="S37:W37"/>
    <mergeCell ref="O38:R38"/>
    <mergeCell ref="S38:W38"/>
    <mergeCell ref="O39:R39"/>
    <mergeCell ref="O41:P41"/>
    <mergeCell ref="D46:N46"/>
  </mergeCells>
  <printOptions horizontalCentered="1" verticalCentered="1" headings="0" gridLines="0" gridLinesSet="1"/>
  <pageMargins left="0.747916666666667" right="0.747916666666667" top="0.661111111111111" bottom="0.09791666666666669" header="0.177083333333333" footer="0.511805555555555"/>
  <pageSetup orientation="landscape" paperSize="1" scale="72" fitToHeight="1" fitToWidth="1" firstPageNumber="0" useFirstPageNumber="0" pageOrder="downThenOver" blackAndWhite="0" draft="0" horizontalDpi="300" verticalDpi="300" copies="1"/>
  <headerFooter differentOddEven="0" differentFirst="0">
    <oddHeader>&amp;C&amp;"Arial,Bold"&amp;12 ASKING ANALYSIS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MJ54"/>
  <sheetViews>
    <sheetView showFormulas="0" showGridLines="1" showRowColHeaders="1" showZeros="1" rightToLeft="0" tabSelected="0" showOutlineSymbols="1" defaultGridColor="1" view="normal" topLeftCell="A1" colorId="64" zoomScale="84" zoomScaleNormal="84" zoomScalePageLayoutView="100" workbookViewId="0">
      <pane xSplit="0" ySplit="19" topLeftCell="A20" activePane="bottomLeft" state="frozen"/>
      <selection pane="topLeft" activeCell="A1" activeCellId="0" sqref="A1"/>
      <selection pane="bottomLeft" activeCell="F7" activeCellId="0" sqref="F7"/>
    </sheetView>
  </sheetViews>
  <sheetFormatPr baseColWidth="8" defaultRowHeight="12.8" zeroHeight="0" outlineLevelRow="0"/>
  <cols>
    <col width="32.9" customWidth="1" style="198" min="1" max="1"/>
    <col width="14.49" customWidth="1" style="199" min="2" max="2"/>
    <col width="2.57" customWidth="1" style="199" min="3" max="3"/>
    <col width="14.78" customWidth="1" style="198" min="4" max="4"/>
    <col width="2.07" customWidth="1" style="198" min="5" max="5"/>
    <col width="13.49" customWidth="1" style="199" min="6" max="6"/>
    <col width="2.07" customWidth="1" style="199" min="7" max="7"/>
    <col width="13.78" customWidth="1" style="199" min="8" max="8"/>
    <col width="1.92" customWidth="1" style="199" min="9" max="9"/>
    <col width="15.08" customWidth="1" style="199" min="10" max="10"/>
    <col width="1.92" customWidth="1" style="199" min="11" max="11"/>
    <col width="12.06" customWidth="1" style="199" min="12" max="12"/>
    <col width="2.38" customWidth="1" style="199" min="13" max="13"/>
    <col width="14.62" customWidth="1" style="199" min="14" max="14"/>
    <col width="14.68" customWidth="1" style="199" min="15" max="15"/>
    <col width="15.48" customWidth="1" style="199" min="16" max="16"/>
    <col width="10.92" customWidth="1" style="199" min="17" max="17"/>
    <col width="12.48" customWidth="1" style="199" min="18" max="18"/>
    <col width="8.699999999999999" customWidth="1" style="199" min="19" max="20"/>
    <col width="10.73" customWidth="1" style="199" min="21" max="21"/>
    <col width="8.699999999999999" customWidth="1" style="199" min="22" max="22"/>
    <col width="10.92" customWidth="1" style="199" min="23" max="23"/>
    <col width="8.699999999999999" customWidth="1" style="199" min="24" max="1025"/>
  </cols>
  <sheetData>
    <row r="1" ht="17" customHeight="1" s="200">
      <c r="A1" s="201" t="inlineStr">
        <is>
          <t>Property Analysis Worksheet - The Value Play Income Analyzer</t>
        </is>
      </c>
      <c r="B1" s="202" t="n"/>
      <c r="C1" s="202" t="n"/>
      <c r="D1" s="202" t="n"/>
      <c r="E1" s="202" t="n"/>
      <c r="F1" s="202" t="n"/>
      <c r="G1" s="202" t="n"/>
      <c r="H1" s="202" t="n"/>
      <c r="I1" s="202" t="n"/>
      <c r="J1" s="202" t="n"/>
      <c r="K1" s="202" t="n"/>
      <c r="L1" s="202" t="n"/>
      <c r="M1" s="202" t="n"/>
      <c r="N1" s="202" t="n"/>
    </row>
    <row r="2" ht="17" customHeight="1" s="200">
      <c r="A2" s="203" t="n"/>
      <c r="B2" s="202" t="n"/>
      <c r="C2" s="202" t="n"/>
      <c r="D2" s="202" t="n"/>
      <c r="E2" s="202" t="n"/>
      <c r="F2" s="202" t="n"/>
      <c r="G2" s="202" t="n"/>
      <c r="H2" s="202" t="n"/>
      <c r="I2" s="202" t="n"/>
      <c r="J2" s="202" t="n"/>
      <c r="K2" s="202" t="n"/>
      <c r="L2" s="202" t="n"/>
      <c r="M2" s="202" t="n"/>
      <c r="N2" s="202" t="n"/>
    </row>
    <row r="3" ht="17" customHeight="1" s="200">
      <c r="A3" s="208" t="inlineStr">
        <is>
          <t>Cost and Revenue Assumptions</t>
        </is>
      </c>
      <c r="B3" s="210" t="n"/>
      <c r="C3" s="206" t="n"/>
      <c r="D3" s="208" t="inlineStr">
        <is>
          <t>Financing Assumptions</t>
        </is>
      </c>
      <c r="E3" s="209" t="n"/>
      <c r="F3" s="209" t="n"/>
      <c r="G3" s="209" t="n"/>
      <c r="H3" s="210" t="n"/>
      <c r="I3" s="206" t="n"/>
      <c r="J3" s="208" t="inlineStr">
        <is>
          <t>Key Ratios</t>
        </is>
      </c>
      <c r="K3" s="209" t="n"/>
      <c r="L3" s="209" t="n"/>
      <c r="M3" s="209" t="n"/>
      <c r="N3" s="210" t="n"/>
    </row>
    <row r="4" ht="12.8" customHeight="1" s="200">
      <c r="A4" s="212" t="inlineStr">
        <is>
          <t>Ask</t>
        </is>
      </c>
      <c r="B4" s="213">
        <f>Current!B4</f>
        <v/>
      </c>
      <c r="C4" s="214" t="inlineStr">
        <is>
          <t>1</t>
        </is>
      </c>
      <c r="D4" s="226" t="inlineStr">
        <is>
          <t>Total Purchase</t>
        </is>
      </c>
      <c r="F4" s="240" t="n">
        <v>1</v>
      </c>
      <c r="H4" s="227">
        <f>B4-B7</f>
        <v/>
      </c>
      <c r="I4" s="16" t="n"/>
      <c r="J4" s="220" t="inlineStr">
        <is>
          <t>Total Square Feet</t>
        </is>
      </c>
      <c r="M4" s="221" t="inlineStr">
        <is>
          <t>2</t>
        </is>
      </c>
      <c r="N4" s="222">
        <f>Current!N4</f>
        <v/>
      </c>
      <c r="O4" s="223" t="inlineStr">
        <is>
          <t xml:space="preserve">OFFER : </t>
        </is>
      </c>
      <c r="P4" s="224" t="n"/>
      <c r="Q4" s="224" t="n"/>
      <c r="R4" s="225" t="n"/>
    </row>
    <row r="5" ht="12.8" customHeight="1" s="200">
      <c r="A5" s="226" t="inlineStr">
        <is>
          <t>Land</t>
        </is>
      </c>
      <c r="B5" s="227">
        <f>B4*0.2</f>
        <v/>
      </c>
      <c r="C5" s="16" t="n"/>
      <c r="D5" s="226" t="inlineStr">
        <is>
          <t>Owner's Equity</t>
        </is>
      </c>
      <c r="F5" s="372" t="n">
        <v>0.2</v>
      </c>
      <c r="G5" s="229" t="inlineStr">
        <is>
          <t>8</t>
        </is>
      </c>
      <c r="H5" s="373">
        <f>H4*F5</f>
        <v/>
      </c>
      <c r="I5" s="16" t="n"/>
      <c r="J5" s="220" t="inlineStr">
        <is>
          <t>Avg Sq Ft/Unit</t>
        </is>
      </c>
      <c r="N5" s="231">
        <f>N4/B12</f>
        <v/>
      </c>
      <c r="O5" s="232" t="inlineStr">
        <is>
          <t>Limited Partnership LP</t>
        </is>
      </c>
      <c r="R5" s="233" t="n"/>
    </row>
    <row r="6" ht="12.8" customHeight="1" s="200">
      <c r="A6" s="226" t="inlineStr">
        <is>
          <t>Building</t>
        </is>
      </c>
      <c r="B6" s="227">
        <f>B4*0.8</f>
        <v/>
      </c>
      <c r="C6" s="16" t="n"/>
      <c r="D6" s="234" t="inlineStr">
        <is>
          <t>Seller Financing</t>
        </is>
      </c>
      <c r="E6" s="199" t="n"/>
      <c r="F6" s="235" t="n">
        <v>0.1</v>
      </c>
      <c r="G6" s="229" t="inlineStr">
        <is>
          <t>9</t>
        </is>
      </c>
      <c r="H6" s="373">
        <f>F6*H4</f>
        <v/>
      </c>
      <c r="I6" s="16" t="n"/>
      <c r="J6" s="220" t="inlineStr">
        <is>
          <t>Avg Rent/Sq Ft</t>
        </is>
      </c>
      <c r="N6" s="31">
        <f>B14/N4</f>
        <v/>
      </c>
      <c r="O6" s="220" t="inlineStr">
        <is>
          <t>Investment:</t>
        </is>
      </c>
      <c r="P6" s="236">
        <f>(H5+((H4*0.035)+(H4*0.01)))/Q27</f>
        <v/>
      </c>
      <c r="Q6" s="237" t="inlineStr">
        <is>
          <t>/ Unit</t>
        </is>
      </c>
      <c r="R6" s="238">
        <f>P6*Q27</f>
        <v/>
      </c>
    </row>
    <row r="7" ht="12.8" customHeight="1" s="200">
      <c r="A7" s="226" t="inlineStr">
        <is>
          <t>Necessary Improvements</t>
        </is>
      </c>
      <c r="B7" s="239">
        <f>Current!B7</f>
        <v/>
      </c>
      <c r="C7" s="16" t="n"/>
      <c r="D7" s="226" t="inlineStr">
        <is>
          <t>Financing</t>
        </is>
      </c>
      <c r="F7" s="240">
        <f>F4-(F5+F6)</f>
        <v/>
      </c>
      <c r="H7" s="230">
        <f>H4-(H5+H6)</f>
        <v/>
      </c>
      <c r="J7" s="220" t="inlineStr">
        <is>
          <t>Avg Cost/Sq Ft</t>
        </is>
      </c>
      <c r="N7" s="31">
        <f>B10/N4</f>
        <v/>
      </c>
      <c r="O7" s="220" t="inlineStr">
        <is>
          <t>Closing:</t>
        </is>
      </c>
      <c r="P7" s="229" t="n"/>
      <c r="Q7" s="237" t="n"/>
      <c r="R7" s="238">
        <f>H4*0.035</f>
        <v/>
      </c>
    </row>
    <row r="8" ht="12.8" customHeight="1" s="200">
      <c r="A8" s="226" t="inlineStr">
        <is>
          <t>Closing Cost</t>
        </is>
      </c>
      <c r="B8" s="241">
        <f>((B5+B6)*0.035)</f>
        <v/>
      </c>
      <c r="C8" s="16" t="n"/>
      <c r="D8" s="226" t="n"/>
      <c r="H8" s="242" t="n"/>
      <c r="J8" s="220" t="inlineStr">
        <is>
          <t>Avg Unit Cost</t>
        </is>
      </c>
      <c r="N8" s="40">
        <f>H4/B12</f>
        <v/>
      </c>
      <c r="O8" s="220" t="inlineStr">
        <is>
          <t>Acquisition Fee:</t>
        </is>
      </c>
      <c r="P8" s="229" t="n"/>
      <c r="Q8" s="237" t="n"/>
      <c r="R8" s="238">
        <f>H4*0.01</f>
        <v/>
      </c>
    </row>
    <row r="9" ht="12.8" customHeight="1" s="200">
      <c r="A9" s="243" t="inlineStr">
        <is>
          <t>Acquisition Fee</t>
        </is>
      </c>
      <c r="B9" s="244">
        <f>B4*0.001</f>
        <v/>
      </c>
      <c r="C9" s="16" t="n"/>
      <c r="D9" s="199" t="n"/>
      <c r="E9" s="199" t="n"/>
      <c r="J9" s="220" t="inlineStr">
        <is>
          <t>Cap Rate</t>
        </is>
      </c>
      <c r="L9" s="245" t="n"/>
      <c r="M9" s="245" t="n"/>
      <c r="N9" s="246">
        <f>F41/B4</f>
        <v/>
      </c>
      <c r="O9" s="220" t="inlineStr">
        <is>
          <t>Down Payment:</t>
        </is>
      </c>
      <c r="P9" s="229" t="n"/>
      <c r="Q9" s="237" t="n"/>
      <c r="R9" s="247">
        <f>R6-R7-R8</f>
        <v/>
      </c>
    </row>
    <row r="10" ht="12.8" customHeight="1" s="200">
      <c r="A10" s="248" t="inlineStr">
        <is>
          <t>Total</t>
        </is>
      </c>
      <c r="B10" s="227">
        <f>SUM(B5:B9)-B7</f>
        <v/>
      </c>
      <c r="D10" s="226" t="n"/>
      <c r="F10" s="249" t="inlineStr">
        <is>
          <t>Annual</t>
        </is>
      </c>
      <c r="G10" s="249" t="n"/>
      <c r="H10" s="250" t="inlineStr">
        <is>
          <t>Monthly</t>
        </is>
      </c>
      <c r="I10" s="249" t="n"/>
      <c r="J10" s="220" t="inlineStr">
        <is>
          <t>Gross Rent Mult.</t>
        </is>
      </c>
      <c r="L10" s="245" t="n"/>
      <c r="M10" s="245" t="n"/>
      <c r="N10" s="251">
        <f>H4/F25</f>
        <v/>
      </c>
      <c r="O10" s="220" t="n"/>
      <c r="P10" s="229" t="n"/>
      <c r="Q10" s="229" t="n"/>
      <c r="R10" s="242" t="n"/>
    </row>
    <row r="11" ht="13.2" customHeight="1" s="200">
      <c r="A11" s="226" t="n"/>
      <c r="B11" s="252" t="n"/>
      <c r="D11" s="226" t="inlineStr">
        <is>
          <t>Interest Rate</t>
        </is>
      </c>
      <c r="F11" s="253" t="n">
        <v>0.05</v>
      </c>
      <c r="G11" s="229" t="inlineStr">
        <is>
          <t>10</t>
        </is>
      </c>
      <c r="H11" s="254">
        <f>F11/12</f>
        <v/>
      </c>
      <c r="J11" s="220" t="inlineStr">
        <is>
          <t>Expense/Unit</t>
        </is>
      </c>
      <c r="L11" s="16" t="n"/>
      <c r="M11" s="16" t="n"/>
      <c r="N11" s="255">
        <f>F39/B12</f>
        <v/>
      </c>
      <c r="O11" s="220" t="inlineStr">
        <is>
          <t>5 years</t>
        </is>
      </c>
      <c r="P11" s="256">
        <f>((N41/0.075)-(H7-(F43+H43+J43+L43+N43)))/N4</f>
        <v/>
      </c>
      <c r="Q11" s="237" t="n"/>
      <c r="R11" s="257">
        <f>P11*N4</f>
        <v/>
      </c>
    </row>
    <row r="12" ht="15" customHeight="1" s="200">
      <c r="A12" s="226" t="inlineStr">
        <is>
          <t>Number of Units</t>
        </is>
      </c>
      <c r="B12" s="258">
        <f>Current!B12</f>
        <v/>
      </c>
      <c r="C12" s="229" t="inlineStr">
        <is>
          <t>3</t>
        </is>
      </c>
      <c r="D12" s="226" t="inlineStr">
        <is>
          <t>Amort Period</t>
        </is>
      </c>
      <c r="F12" s="259" t="n">
        <v>30</v>
      </c>
      <c r="G12" s="229" t="inlineStr">
        <is>
          <t>11</t>
        </is>
      </c>
      <c r="H12" s="242">
        <f>12*F12</f>
        <v/>
      </c>
      <c r="J12" s="220" t="inlineStr">
        <is>
          <t>Expense/Sq Ft</t>
        </is>
      </c>
      <c r="L12" s="16" t="n"/>
      <c r="M12" s="16" t="n"/>
      <c r="N12" s="255">
        <f>F39/N4</f>
        <v/>
      </c>
      <c r="O12" s="220" t="inlineStr">
        <is>
          <t>10 years</t>
        </is>
      </c>
      <c r="P12" s="260">
        <f>((N41/0.075)+((N41/0.075)*0.015*5)-(H7*0.81))/N4</f>
        <v/>
      </c>
      <c r="Q12" s="237" t="n"/>
      <c r="R12" s="261">
        <f>P12*N4</f>
        <v/>
      </c>
    </row>
    <row r="13" ht="15" customHeight="1" s="200">
      <c r="A13" s="226" t="inlineStr">
        <is>
          <t>Average Monthly Rent</t>
        </is>
      </c>
      <c r="B13" s="262">
        <f>Current!B13</f>
        <v/>
      </c>
      <c r="C13" s="229" t="inlineStr">
        <is>
          <t>4</t>
        </is>
      </c>
      <c r="D13" s="226" t="inlineStr">
        <is>
          <t>Payment</t>
        </is>
      </c>
      <c r="F13" s="263">
        <f>H13*12</f>
        <v/>
      </c>
      <c r="H13" s="264">
        <f>-(H7*(H11*((1+H11)^H12)))/(((1+H11)^H12)-1)</f>
        <v/>
      </c>
      <c r="J13" s="220" t="n"/>
      <c r="N13" s="242" t="n"/>
      <c r="O13" s="220" t="inlineStr">
        <is>
          <t>20 years</t>
        </is>
      </c>
      <c r="P13" s="265">
        <f>(((N41/0.075)+(N41/0.075)*0.015*15)-(H7*0.51))/N4</f>
        <v/>
      </c>
      <c r="Q13" s="237" t="n"/>
      <c r="R13" s="266">
        <f>P13*N4</f>
        <v/>
      </c>
    </row>
    <row r="14" ht="16.15" customHeight="1" s="200">
      <c r="A14" s="267" t="inlineStr">
        <is>
          <t>Gross Monthly Revenues</t>
        </is>
      </c>
      <c r="B14" s="268">
        <f>B13*B12</f>
        <v/>
      </c>
      <c r="C14" s="269" t="n"/>
      <c r="D14" s="226" t="inlineStr">
        <is>
          <t>Seller Financing</t>
        </is>
      </c>
      <c r="F14" s="374" t="n">
        <v>0.08</v>
      </c>
      <c r="G14" s="229" t="inlineStr">
        <is>
          <t>12</t>
        </is>
      </c>
      <c r="H14" s="375" t="n">
        <v>60</v>
      </c>
      <c r="I14" s="272" t="inlineStr">
        <is>
          <t>13</t>
        </is>
      </c>
      <c r="J14" s="273" t="inlineStr">
        <is>
          <t>Cash on Cash</t>
        </is>
      </c>
      <c r="K14" s="274" t="n"/>
      <c r="L14" s="274" t="n"/>
      <c r="M14" s="274" t="n"/>
      <c r="N14" s="275">
        <f>(F49/R6)</f>
        <v/>
      </c>
      <c r="O14" s="220" t="inlineStr">
        <is>
          <t>30 years</t>
        </is>
      </c>
      <c r="P14" s="276">
        <f>((N41/0.075)+(N41/0.075)*0.015*25)/N4</f>
        <v/>
      </c>
      <c r="Q14" s="237" t="inlineStr">
        <is>
          <t>/ Unit</t>
        </is>
      </c>
      <c r="R14" s="277">
        <f>P14*N4</f>
        <v/>
      </c>
    </row>
    <row r="15" ht="12.8" customHeight="1" s="200">
      <c r="D15" s="199" t="n"/>
      <c r="F15" s="376" t="inlineStr">
        <is>
          <t>Interest ONLY</t>
        </is>
      </c>
      <c r="H15" s="377" t="inlineStr">
        <is>
          <t>Balloon in 5Yr</t>
        </is>
      </c>
      <c r="O15" s="280" t="inlineStr">
        <is>
          <t>*30 Yrs debt reduction + Appreciation @ 3% / annum</t>
        </is>
      </c>
      <c r="R15" s="233" t="n"/>
    </row>
    <row r="16" ht="12.8" customHeight="1" s="200">
      <c r="A16" s="198" t="inlineStr">
        <is>
          <t>Rental Increase Projections</t>
        </is>
      </c>
      <c r="E16" s="281" t="inlineStr">
        <is>
          <t>14</t>
        </is>
      </c>
      <c r="F16" s="282" t="n">
        <v>0</v>
      </c>
      <c r="G16" s="283" t="n"/>
      <c r="H16" s="282" t="n">
        <v>0.03</v>
      </c>
      <c r="I16" s="284" t="n"/>
      <c r="J16" s="282" t="n">
        <v>0.025</v>
      </c>
      <c r="K16" s="282" t="n"/>
      <c r="L16" s="282" t="n">
        <v>0.025</v>
      </c>
      <c r="M16" s="282" t="n"/>
      <c r="N16" s="282" t="n">
        <v>0.025</v>
      </c>
      <c r="O16" s="220" t="n"/>
      <c r="P16" s="229" t="n"/>
      <c r="Q16" s="237" t="n"/>
      <c r="R16" s="242" t="n"/>
    </row>
    <row r="17" ht="12.8" customHeight="1" s="200">
      <c r="A17" s="198" t="inlineStr">
        <is>
          <t>Average Monthly Rent</t>
        </is>
      </c>
      <c r="F17" s="285">
        <f>(B13*F16)+B13</f>
        <v/>
      </c>
      <c r="H17" s="285">
        <f>(F17*H16)+F17</f>
        <v/>
      </c>
      <c r="I17" s="286" t="n"/>
      <c r="J17" s="285">
        <f>(H17*J16)+H17</f>
        <v/>
      </c>
      <c r="K17" s="285" t="n"/>
      <c r="L17" s="285">
        <f>(J17*L16)+J17</f>
        <v/>
      </c>
      <c r="M17" s="285" t="n"/>
      <c r="N17" s="285">
        <f>(L17*N16)+L17</f>
        <v/>
      </c>
      <c r="O17" s="220" t="inlineStr">
        <is>
          <t>ROI:</t>
        </is>
      </c>
      <c r="P17" s="229" t="n"/>
      <c r="Q17" s="237" t="n"/>
      <c r="R17" s="287">
        <f>R14/R6</f>
        <v/>
      </c>
    </row>
    <row r="18" ht="12.8" customHeight="1" s="200">
      <c r="A18" s="288" t="inlineStr">
        <is>
          <t>Operating Expense Projections</t>
        </is>
      </c>
      <c r="B18" s="269" t="n"/>
      <c r="C18" s="269" t="n"/>
      <c r="D18" s="288" t="n"/>
      <c r="E18" s="289" t="inlineStr">
        <is>
          <t>15</t>
        </is>
      </c>
      <c r="F18" s="290" t="n">
        <v>0</v>
      </c>
      <c r="G18" s="291" t="n"/>
      <c r="H18" s="292" t="n">
        <v>-0.025</v>
      </c>
      <c r="I18" s="293" t="n"/>
      <c r="J18" s="292" t="n">
        <v>0</v>
      </c>
      <c r="K18" s="292" t="n"/>
      <c r="L18" s="292" t="n">
        <v>0.015</v>
      </c>
      <c r="M18" s="292" t="n"/>
      <c r="N18" s="292" t="n">
        <v>0.02</v>
      </c>
      <c r="O18" s="220" t="inlineStr">
        <is>
          <t>/year:</t>
        </is>
      </c>
      <c r="P18" s="229" t="n"/>
      <c r="Q18" s="237" t="n"/>
      <c r="R18" s="287">
        <f>R17/30</f>
        <v/>
      </c>
    </row>
    <row r="19" ht="12.75" customHeight="1" s="200">
      <c r="F19" s="294" t="inlineStr">
        <is>
          <t>Projected</t>
        </is>
      </c>
      <c r="G19" s="295" t="n"/>
      <c r="H19" s="295" t="n"/>
      <c r="I19" s="295" t="n"/>
      <c r="J19" s="295" t="n"/>
      <c r="K19" s="295" t="n"/>
      <c r="L19" s="295" t="n"/>
      <c r="M19" s="295" t="n"/>
      <c r="N19" s="295" t="n"/>
      <c r="O19" s="273" t="inlineStr">
        <is>
          <t>/Month:</t>
        </is>
      </c>
      <c r="P19" s="274" t="n"/>
      <c r="Q19" s="296" t="n"/>
      <c r="R19" s="297">
        <f>R17/360</f>
        <v/>
      </c>
    </row>
    <row r="20" ht="16.15" customHeight="1" s="200">
      <c r="A20" s="288" t="inlineStr">
        <is>
          <t>Operating Revenues</t>
        </is>
      </c>
      <c r="B20" s="269" t="n"/>
      <c r="C20" s="269" t="n"/>
      <c r="D20" s="298" t="inlineStr">
        <is>
          <t>Actual Monthly</t>
        </is>
      </c>
      <c r="E20" s="288" t="n"/>
      <c r="F20" s="298" t="inlineStr">
        <is>
          <t>Year 1</t>
        </is>
      </c>
      <c r="G20" s="298" t="n"/>
      <c r="H20" s="298" t="inlineStr">
        <is>
          <t>Year 2</t>
        </is>
      </c>
      <c r="I20" s="298" t="n"/>
      <c r="J20" s="298" t="inlineStr">
        <is>
          <t>Year 3</t>
        </is>
      </c>
      <c r="K20" s="298" t="n"/>
      <c r="L20" s="298" t="inlineStr">
        <is>
          <t>Year 4</t>
        </is>
      </c>
      <c r="M20" s="298" t="n"/>
      <c r="N20" s="298" t="inlineStr">
        <is>
          <t>Year 5</t>
        </is>
      </c>
      <c r="O20" s="299" t="inlineStr">
        <is>
          <t>Deal</t>
        </is>
      </c>
      <c r="P20" s="224" t="n"/>
      <c r="Q20" s="224" t="n"/>
      <c r="R20" s="225" t="n"/>
      <c r="S20" s="341" t="inlineStr">
        <is>
          <t>Notes*</t>
        </is>
      </c>
      <c r="T20" s="224" t="n"/>
      <c r="U20" s="224" t="n"/>
      <c r="V20" s="224" t="n"/>
      <c r="W20" s="225" t="n"/>
    </row>
    <row r="21" ht="12.8" customHeight="1" s="200">
      <c r="A21" s="198" t="inlineStr">
        <is>
          <t>Gross Scheduled Income</t>
        </is>
      </c>
      <c r="D21" s="301">
        <f>B14</f>
        <v/>
      </c>
      <c r="E21" s="302" t="n"/>
      <c r="F21" s="286">
        <f>((12*D21)*F16)+(12*D21)</f>
        <v/>
      </c>
      <c r="H21" s="286">
        <f>(F21*H16)+F21</f>
        <v/>
      </c>
      <c r="J21" s="286">
        <f>(H21*J16)+H21</f>
        <v/>
      </c>
      <c r="L21" s="286">
        <f>(J21*L16)+J21</f>
        <v/>
      </c>
      <c r="N21" s="286">
        <f>(L21*N16)+L21</f>
        <v/>
      </c>
      <c r="O21" s="220" t="n"/>
      <c r="P21" s="237" t="inlineStr">
        <is>
          <t>% Deal</t>
        </is>
      </c>
      <c r="Q21" s="237" t="n"/>
      <c r="R21" s="303" t="n"/>
      <c r="S21" s="232" t="inlineStr">
        <is>
          <t xml:space="preserve">*Cashout refi profit goes entirely to </t>
        </is>
      </c>
      <c r="W21" s="233" t="n"/>
    </row>
    <row r="22" ht="12.8" customHeight="1" s="200">
      <c r="A22" s="198" t="inlineStr">
        <is>
          <t>Vacancy Rate</t>
        </is>
      </c>
      <c r="B22" s="307" t="n">
        <v>0.1</v>
      </c>
      <c r="C22" s="229" t="inlineStr">
        <is>
          <t>5</t>
        </is>
      </c>
      <c r="D22" s="308">
        <f>-(D21*B22)</f>
        <v/>
      </c>
      <c r="E22" s="309" t="n"/>
      <c r="F22" s="310">
        <f>12*D22</f>
        <v/>
      </c>
      <c r="G22" s="263" t="n"/>
      <c r="H22" s="310">
        <f>(F22*H16)+F22</f>
        <v/>
      </c>
      <c r="I22" s="263" t="n"/>
      <c r="J22" s="310">
        <f>(H22*J16)+H22</f>
        <v/>
      </c>
      <c r="K22" s="263" t="n"/>
      <c r="L22" s="310">
        <f>(J22*L16)+J22</f>
        <v/>
      </c>
      <c r="M22" s="263" t="n"/>
      <c r="N22" s="310">
        <f>(L22*N16)+L22</f>
        <v/>
      </c>
      <c r="O22" s="220" t="inlineStr">
        <is>
          <t>Opportunity:</t>
        </is>
      </c>
      <c r="P22" s="311" t="n">
        <v>0.45</v>
      </c>
      <c r="Q22" s="312">
        <f>P22*F49</f>
        <v/>
      </c>
      <c r="R22" s="238">
        <f>Q22/12</f>
        <v/>
      </c>
      <c r="S22" s="332" t="inlineStr">
        <is>
          <t>repay investors initial contributions</t>
        </is>
      </c>
      <c r="T22" s="333" t="n"/>
      <c r="U22" s="333" t="n"/>
      <c r="V22" s="333" t="n"/>
      <c r="W22" s="334" t="n"/>
    </row>
    <row r="23" ht="16.15" customHeight="1" s="200">
      <c r="A23" s="198" t="inlineStr">
        <is>
          <t>Net Rental Income</t>
        </is>
      </c>
      <c r="D23" s="301">
        <f>D21+D22</f>
        <v/>
      </c>
      <c r="E23" s="302" t="n"/>
      <c r="F23" s="286">
        <f>SUM(F21:F22)</f>
        <v/>
      </c>
      <c r="H23" s="286">
        <f>(F23*H16)+F23</f>
        <v/>
      </c>
      <c r="J23" s="286">
        <f>(H23*J16)+H23</f>
        <v/>
      </c>
      <c r="K23" s="199" t="n"/>
      <c r="L23" s="286">
        <f>(J23*L16)+J23</f>
        <v/>
      </c>
      <c r="M23" s="199" t="n"/>
      <c r="N23" s="286">
        <f>(L23*N16)+L23</f>
        <v/>
      </c>
      <c r="O23" s="313" t="inlineStr">
        <is>
          <t>Creating:       →</t>
        </is>
      </c>
      <c r="P23" s="314">
        <f>P6*Q23</f>
        <v/>
      </c>
      <c r="Q23" s="315">
        <f>N4-Q27</f>
        <v/>
      </c>
      <c r="R23" s="316" t="inlineStr">
        <is>
          <t xml:space="preserve">Units </t>
        </is>
      </c>
      <c r="S23" s="341" t="inlineStr">
        <is>
          <t>Actual Performance</t>
        </is>
      </c>
      <c r="T23" s="224" t="n"/>
      <c r="U23" s="224" t="n"/>
      <c r="V23" s="224" t="n"/>
      <c r="W23" s="225" t="n"/>
    </row>
    <row r="24" ht="12.8" customHeight="1" s="200">
      <c r="A24" s="198" t="inlineStr">
        <is>
          <t>Other Income</t>
        </is>
      </c>
      <c r="D24" s="320">
        <f>F24/12</f>
        <v/>
      </c>
      <c r="E24" s="321" t="inlineStr">
        <is>
          <t>6</t>
        </is>
      </c>
      <c r="F24" s="322">
        <f>Current!F24</f>
        <v/>
      </c>
      <c r="H24" s="323">
        <f>(F24*H16)+F24</f>
        <v/>
      </c>
      <c r="J24" s="323">
        <f>(H24*J16)+H24</f>
        <v/>
      </c>
      <c r="K24" s="199" t="n"/>
      <c r="L24" s="323">
        <f>(J24*L16)+J24</f>
        <v/>
      </c>
      <c r="M24" s="199" t="n"/>
      <c r="N24" s="323">
        <f>(L24*N16)+L24</f>
        <v/>
      </c>
      <c r="O24" s="220" t="inlineStr">
        <is>
          <t>Expectation:</t>
        </is>
      </c>
      <c r="P24" s="312">
        <f>Q23*P14</f>
        <v/>
      </c>
      <c r="R24" s="287">
        <f>N14-R28</f>
        <v/>
      </c>
      <c r="S24" s="220" t="n"/>
      <c r="W24" s="242" t="n"/>
    </row>
    <row r="25" ht="12.8" customHeight="1" s="200">
      <c r="A25" s="249" t="inlineStr">
        <is>
          <t>Gross Income</t>
        </is>
      </c>
      <c r="B25" s="240" t="n">
        <v>1</v>
      </c>
      <c r="D25" s="302">
        <f>SUM(D23:D24)</f>
        <v/>
      </c>
      <c r="E25" s="302" t="n"/>
      <c r="F25" s="302">
        <f>SUM(F23:F24)</f>
        <v/>
      </c>
      <c r="G25" s="198" t="n"/>
      <c r="H25" s="302">
        <f>(F25*H16)+F25</f>
        <v/>
      </c>
      <c r="I25" s="198" t="n"/>
      <c r="J25" s="302">
        <f>(H25*J16)+H25</f>
        <v/>
      </c>
      <c r="K25" s="198" t="n"/>
      <c r="L25" s="302">
        <f>(J25*L16)+J25</f>
        <v/>
      </c>
      <c r="M25" s="198" t="n"/>
      <c r="N25" s="302">
        <f>(L25*N16)+L25</f>
        <v/>
      </c>
      <c r="O25" s="220" t="n"/>
      <c r="P25" s="237" t="n"/>
      <c r="Q25" s="237" t="n"/>
      <c r="R25" s="238" t="n"/>
      <c r="S25" s="378" t="inlineStr">
        <is>
          <t>/ LP unit</t>
        </is>
      </c>
      <c r="T25" s="318" t="inlineStr">
        <is>
          <t>1st Qrt</t>
        </is>
      </c>
      <c r="U25" s="318" t="inlineStr">
        <is>
          <t>2nd Qrt</t>
        </is>
      </c>
      <c r="V25" s="318" t="inlineStr">
        <is>
          <t>3rd Qrt</t>
        </is>
      </c>
      <c r="W25" s="306" t="inlineStr">
        <is>
          <t>4th Qrt</t>
        </is>
      </c>
    </row>
    <row r="26" ht="12.8" customHeight="1" s="200">
      <c r="M26" s="269" t="n"/>
      <c r="N26" s="269" t="n"/>
      <c r="O26" s="220" t="inlineStr">
        <is>
          <t>Investors:</t>
        </is>
      </c>
      <c r="P26" s="326">
        <f>1-P22</f>
        <v/>
      </c>
      <c r="Q26" s="312">
        <f>P26*F49</f>
        <v/>
      </c>
      <c r="R26" s="238">
        <f>Q26/12</f>
        <v/>
      </c>
      <c r="S26" s="220" t="inlineStr">
        <is>
          <t>Year 1</t>
        </is>
      </c>
      <c r="T26" s="379" t="n"/>
      <c r="U26" s="379" t="n"/>
      <c r="V26" s="379" t="n"/>
      <c r="W26" s="379" t="n"/>
    </row>
    <row r="27" ht="12.8" customHeight="1" s="200">
      <c r="A27" s="327" t="inlineStr">
        <is>
          <t>Operating Expenses</t>
        </is>
      </c>
      <c r="B27" s="328" t="n"/>
      <c r="C27" s="328" t="n"/>
      <c r="D27" s="327" t="n"/>
      <c r="E27" s="327" t="n"/>
      <c r="F27" s="328" t="n"/>
      <c r="G27" s="328" t="n"/>
      <c r="H27" s="328" t="n"/>
      <c r="I27" s="328" t="n"/>
      <c r="J27" s="328" t="n"/>
      <c r="K27" s="328" t="n"/>
      <c r="L27" s="328" t="n"/>
      <c r="M27" s="269" t="n"/>
      <c r="N27" s="269" t="n"/>
      <c r="O27" s="313" t="inlineStr">
        <is>
          <t>Contributing:  →</t>
        </is>
      </c>
      <c r="P27" s="314">
        <f>Q27*P6</f>
        <v/>
      </c>
      <c r="Q27" s="315">
        <f>ROUNDUP(N4*P26,0)</f>
        <v/>
      </c>
      <c r="R27" s="316" t="inlineStr">
        <is>
          <t xml:space="preserve">Units </t>
        </is>
      </c>
      <c r="S27" s="220" t="inlineStr">
        <is>
          <t>Year 2</t>
        </is>
      </c>
      <c r="T27" s="379" t="n"/>
      <c r="U27" s="379" t="n"/>
      <c r="V27" s="379" t="n"/>
      <c r="W27" s="379" t="n"/>
    </row>
    <row r="28" ht="12.8" customHeight="1" s="200">
      <c r="A28" s="198" t="inlineStr">
        <is>
          <t>Repairs and Maintenance</t>
        </is>
      </c>
      <c r="B28" s="329">
        <f>D28/D25</f>
        <v/>
      </c>
      <c r="D28" s="301">
        <f>F28/12</f>
        <v/>
      </c>
      <c r="E28" s="281" t="inlineStr">
        <is>
          <t>7</t>
        </is>
      </c>
      <c r="F28" s="330">
        <f>Current!F28</f>
        <v/>
      </c>
      <c r="G28" s="229" t="inlineStr">
        <is>
          <t>a</t>
        </is>
      </c>
      <c r="H28" s="286">
        <f>(F28*H18)+F28</f>
        <v/>
      </c>
      <c r="J28" s="286">
        <f>(H28*J18)+H28</f>
        <v/>
      </c>
      <c r="L28" s="286">
        <f>(J28*L18)+J28</f>
        <v/>
      </c>
      <c r="N28" s="286">
        <f>(L28*N18)+L28</f>
        <v/>
      </c>
      <c r="O28" s="220">
        <f>O24</f>
        <v/>
      </c>
      <c r="P28" s="312">
        <f>P14*Q27</f>
        <v/>
      </c>
      <c r="Q28" s="237" t="n"/>
      <c r="R28" s="287">
        <f>Q26/R6</f>
        <v/>
      </c>
      <c r="S28" s="220" t="inlineStr">
        <is>
          <t>Year 3</t>
        </is>
      </c>
      <c r="T28" s="379" t="n"/>
      <c r="U28" s="379" t="n"/>
      <c r="V28" s="379" t="n"/>
      <c r="W28" s="379" t="n"/>
    </row>
    <row r="29" ht="12.8" customHeight="1" s="200">
      <c r="A29" s="198" t="inlineStr">
        <is>
          <t>Property Management Fee</t>
        </is>
      </c>
      <c r="B29" s="329">
        <f>D29/D25</f>
        <v/>
      </c>
      <c r="D29" s="301">
        <f>F29/12</f>
        <v/>
      </c>
      <c r="E29" s="281" t="inlineStr">
        <is>
          <t>7</t>
        </is>
      </c>
      <c r="F29" s="330">
        <f>Current!F29</f>
        <v/>
      </c>
      <c r="G29" s="229" t="inlineStr">
        <is>
          <t>b</t>
        </is>
      </c>
      <c r="H29" s="286">
        <f>(F29*H18)+F29</f>
        <v/>
      </c>
      <c r="J29" s="286">
        <f>(H29*J18)+H29</f>
        <v/>
      </c>
      <c r="L29" s="286">
        <f>(J29*L18)+J29</f>
        <v/>
      </c>
      <c r="N29" s="286">
        <f>(L29*N18)+L29</f>
        <v/>
      </c>
      <c r="O29" s="304" t="inlineStr">
        <is>
          <t>Min Investment:</t>
        </is>
      </c>
      <c r="Q29" s="312">
        <f>H5/35</f>
        <v/>
      </c>
      <c r="R29" s="242" t="inlineStr">
        <is>
          <t>/ Investor</t>
        </is>
      </c>
      <c r="S29" s="220" t="inlineStr">
        <is>
          <t>Year 4</t>
        </is>
      </c>
      <c r="T29" s="379" t="n"/>
      <c r="U29" s="379" t="n"/>
      <c r="V29" s="379" t="n"/>
      <c r="W29" s="379" t="n"/>
    </row>
    <row r="30" ht="12.8" customHeight="1" s="200">
      <c r="A30" s="198" t="inlineStr">
        <is>
          <t>Taxes</t>
        </is>
      </c>
      <c r="B30" s="329">
        <f>D30/D25</f>
        <v/>
      </c>
      <c r="D30" s="301">
        <f>F30/12</f>
        <v/>
      </c>
      <c r="E30" s="281" t="inlineStr">
        <is>
          <t>7</t>
        </is>
      </c>
      <c r="F30" s="330">
        <f>Current!F30</f>
        <v/>
      </c>
      <c r="G30" s="229" t="inlineStr">
        <is>
          <t>c</t>
        </is>
      </c>
      <c r="H30" s="286">
        <f>(F30*H18)+F30</f>
        <v/>
      </c>
      <c r="J30" s="286">
        <f>(H30*J18)+H30</f>
        <v/>
      </c>
      <c r="L30" s="286">
        <f>(J30*L18)+J30</f>
        <v/>
      </c>
      <c r="N30" s="286">
        <f>(L30*N18)+L30</f>
        <v/>
      </c>
      <c r="O30" s="304" t="inlineStr">
        <is>
          <t>Min Investment:</t>
        </is>
      </c>
      <c r="Q30" s="331">
        <f>ROUND(Q29/P6,0)</f>
        <v/>
      </c>
      <c r="R30" s="242" t="inlineStr">
        <is>
          <t>Units/Investor</t>
        </is>
      </c>
      <c r="S30" s="220" t="inlineStr">
        <is>
          <t>Year 5</t>
        </is>
      </c>
      <c r="T30" s="379" t="n"/>
      <c r="U30" s="379" t="n"/>
      <c r="V30" s="379" t="n"/>
      <c r="W30" s="379" t="n"/>
    </row>
    <row r="31" ht="12.8" customHeight="1" s="200">
      <c r="A31" s="198" t="inlineStr">
        <is>
          <t>Insurance</t>
        </is>
      </c>
      <c r="B31" s="329">
        <f>D31/D25</f>
        <v/>
      </c>
      <c r="D31" s="301">
        <f>F31/12</f>
        <v/>
      </c>
      <c r="E31" s="281" t="inlineStr">
        <is>
          <t>7</t>
        </is>
      </c>
      <c r="F31" s="330">
        <f>Current!F31</f>
        <v/>
      </c>
      <c r="G31" s="229" t="inlineStr">
        <is>
          <t>d</t>
        </is>
      </c>
      <c r="H31" s="286">
        <f>(F31*H18)+F31</f>
        <v/>
      </c>
      <c r="J31" s="286">
        <f>(H31*J18)+H31</f>
        <v/>
      </c>
      <c r="L31" s="286">
        <f>(J31*L18)+J31</f>
        <v/>
      </c>
      <c r="N31" s="286">
        <f>(L31*N18)+L31</f>
        <v/>
      </c>
      <c r="O31" s="332" t="inlineStr">
        <is>
          <t>*to meet all min requirements of SEC*</t>
        </is>
      </c>
      <c r="P31" s="333" t="n"/>
      <c r="Q31" s="333" t="n"/>
      <c r="R31" s="334" t="n"/>
      <c r="S31" s="220" t="n"/>
      <c r="T31" s="237" t="n"/>
      <c r="U31" s="237" t="n"/>
      <c r="V31" s="237" t="n"/>
      <c r="W31" s="303" t="n"/>
    </row>
    <row r="32" ht="15" customHeight="1" s="200">
      <c r="A32" s="198" t="inlineStr">
        <is>
          <t>Salaries and Wages</t>
        </is>
      </c>
      <c r="B32" s="329">
        <f>D32/D25</f>
        <v/>
      </c>
      <c r="D32" s="301">
        <f>F32/12</f>
        <v/>
      </c>
      <c r="E32" s="281" t="inlineStr">
        <is>
          <t>7</t>
        </is>
      </c>
      <c r="F32" s="330">
        <f>Current!F32</f>
        <v/>
      </c>
      <c r="G32" s="229" t="inlineStr">
        <is>
          <t>e</t>
        </is>
      </c>
      <c r="H32" s="286">
        <f>(F32*H18)+F32</f>
        <v/>
      </c>
      <c r="J32" s="286">
        <f>(H32*J18)+H32</f>
        <v/>
      </c>
      <c r="L32" s="286">
        <f>(J32*L18)+J32</f>
        <v/>
      </c>
      <c r="N32" s="286">
        <f>(L32*N18)+L32</f>
        <v/>
      </c>
      <c r="O32" s="299" t="inlineStr">
        <is>
          <t>Opportunity</t>
        </is>
      </c>
      <c r="P32" s="224" t="n"/>
      <c r="Q32" s="224" t="n"/>
      <c r="R32" s="225" t="n"/>
      <c r="S32" s="220" t="inlineStr">
        <is>
          <t>Totals:</t>
        </is>
      </c>
      <c r="T32" s="237">
        <f>SUM(T26:T30)</f>
        <v/>
      </c>
      <c r="U32" s="237">
        <f>SUM(U26:U30)</f>
        <v/>
      </c>
      <c r="V32" s="237">
        <f>SUM(V26:V30)</f>
        <v/>
      </c>
      <c r="W32" s="303">
        <f>SUM(W26:W30)</f>
        <v/>
      </c>
    </row>
    <row r="33" ht="12.8" customHeight="1" s="200">
      <c r="A33" s="198" t="inlineStr">
        <is>
          <t>Utilities</t>
        </is>
      </c>
      <c r="B33" s="329">
        <f>D33/D25</f>
        <v/>
      </c>
      <c r="D33" s="301">
        <f>F33/12</f>
        <v/>
      </c>
      <c r="E33" s="281" t="inlineStr">
        <is>
          <t>7</t>
        </is>
      </c>
      <c r="F33" s="330">
        <f>Current!F33</f>
        <v/>
      </c>
      <c r="G33" s="229" t="inlineStr">
        <is>
          <t>f</t>
        </is>
      </c>
      <c r="H33" s="286">
        <f>(F33*H18)+F33</f>
        <v/>
      </c>
      <c r="J33" s="286">
        <f>(H33*J18)+H33</f>
        <v/>
      </c>
      <c r="L33" s="286">
        <f>(J33*L18)+J33</f>
        <v/>
      </c>
      <c r="N33" s="286">
        <f>(L33*N18)+L33</f>
        <v/>
      </c>
      <c r="O33" s="337">
        <f>Current!O33</f>
        <v/>
      </c>
      <c r="R33" s="233" t="n"/>
      <c r="S33" s="304" t="inlineStr">
        <is>
          <t>Refinanced @</t>
        </is>
      </c>
      <c r="U33" s="237" t="inlineStr">
        <is>
          <t>7.5 cap</t>
        </is>
      </c>
      <c r="V33" s="237" t="inlineStr">
        <is>
          <t>25 yrs</t>
        </is>
      </c>
      <c r="W33" s="319" t="n"/>
    </row>
    <row r="34" ht="12.8" customHeight="1" s="200">
      <c r="A34" s="198" t="inlineStr">
        <is>
          <t>Gen &amp; Admin</t>
        </is>
      </c>
      <c r="B34" s="329">
        <f>D34/D25</f>
        <v/>
      </c>
      <c r="D34" s="301">
        <f>F34/12</f>
        <v/>
      </c>
      <c r="E34" s="281" t="inlineStr">
        <is>
          <t>7</t>
        </is>
      </c>
      <c r="F34" s="330">
        <f>Current!F34</f>
        <v/>
      </c>
      <c r="G34" s="229" t="inlineStr">
        <is>
          <t>g</t>
        </is>
      </c>
      <c r="H34" s="286">
        <f>(F34*H18)+F34</f>
        <v/>
      </c>
      <c r="J34" s="286">
        <f>(H34*J18)+H34</f>
        <v/>
      </c>
      <c r="L34" s="286">
        <f>(J34*L18)+J34</f>
        <v/>
      </c>
      <c r="N34" s="286">
        <f>(L34*N18)+L34</f>
        <v/>
      </c>
      <c r="O34" s="337">
        <f>Current!O34</f>
        <v/>
      </c>
      <c r="R34" s="233" t="n"/>
      <c r="S34" s="380" t="inlineStr">
        <is>
          <t>Performance:</t>
        </is>
      </c>
      <c r="U34" s="381" t="n"/>
      <c r="V34" s="309" t="n"/>
      <c r="W34" s="382">
        <f>SUM(T32:W32)+W33</f>
        <v/>
      </c>
    </row>
    <row r="35" ht="16.15" customHeight="1" s="200">
      <c r="A35" s="198" t="inlineStr">
        <is>
          <t>Professional Fees</t>
        </is>
      </c>
      <c r="B35" s="329">
        <f>D35/D25</f>
        <v/>
      </c>
      <c r="D35" s="301">
        <f>F35/12</f>
        <v/>
      </c>
      <c r="E35" s="281" t="inlineStr">
        <is>
          <t>7</t>
        </is>
      </c>
      <c r="F35" s="330">
        <f>Current!F35</f>
        <v/>
      </c>
      <c r="G35" s="229" t="inlineStr">
        <is>
          <t>h</t>
        </is>
      </c>
      <c r="H35" s="286">
        <f>(F35*H18)+F35</f>
        <v/>
      </c>
      <c r="J35" s="286">
        <f>(H35*J18)+H35</f>
        <v/>
      </c>
      <c r="L35" s="286">
        <f>(J35*L18)+J35</f>
        <v/>
      </c>
      <c r="N35" s="286">
        <f>(L35*N18)+L35</f>
        <v/>
      </c>
      <c r="O35" s="337">
        <f>Current!O35</f>
        <v/>
      </c>
      <c r="R35" s="233" t="n"/>
      <c r="S35" s="383" t="inlineStr">
        <is>
          <t>ROE:</t>
        </is>
      </c>
      <c r="T35" s="384" t="n"/>
      <c r="U35" s="384" t="n"/>
      <c r="V35" s="384" t="n"/>
      <c r="W35" s="385">
        <f>W34/-Q37</f>
        <v/>
      </c>
    </row>
    <row r="36" ht="15" customHeight="1" s="200">
      <c r="A36" s="198" t="inlineStr">
        <is>
          <t>Advertising</t>
        </is>
      </c>
      <c r="B36" s="329">
        <f>D36/D25</f>
        <v/>
      </c>
      <c r="D36" s="301">
        <f>F36/12</f>
        <v/>
      </c>
      <c r="E36" s="281" t="inlineStr">
        <is>
          <t>7</t>
        </is>
      </c>
      <c r="F36" s="330">
        <f>Current!F36</f>
        <v/>
      </c>
      <c r="G36" s="229" t="inlineStr">
        <is>
          <t>I</t>
        </is>
      </c>
      <c r="H36" s="286">
        <f>(F36*H18)+F36</f>
        <v/>
      </c>
      <c r="J36" s="286">
        <f>(H36*J18)+H36</f>
        <v/>
      </c>
      <c r="L36" s="286">
        <f>(J36*L18)+J36</f>
        <v/>
      </c>
      <c r="N36" s="286">
        <f>(L36*N18)+L36</f>
        <v/>
      </c>
      <c r="O36" s="337">
        <f>Current!O36</f>
        <v/>
      </c>
      <c r="R36" s="233" t="n"/>
      <c r="S36" s="300" t="inlineStr">
        <is>
          <t>IRR</t>
        </is>
      </c>
      <c r="T36" s="224" t="n"/>
      <c r="U36" s="224" t="n"/>
      <c r="V36" s="224" t="n"/>
      <c r="W36" s="225" t="n"/>
    </row>
    <row r="37" ht="12.8" customHeight="1" s="200">
      <c r="A37" s="198" t="inlineStr">
        <is>
          <t>Capital Reserve</t>
        </is>
      </c>
      <c r="B37" s="329">
        <f>D37/D25</f>
        <v/>
      </c>
      <c r="D37" s="301">
        <f>F37/12</f>
        <v/>
      </c>
      <c r="E37" s="281" t="inlineStr">
        <is>
          <t>7</t>
        </is>
      </c>
      <c r="F37" s="330">
        <f>Current!F37</f>
        <v/>
      </c>
      <c r="G37" s="229" t="inlineStr">
        <is>
          <t>j</t>
        </is>
      </c>
      <c r="H37" s="286">
        <f>(F37*H18)+F37</f>
        <v/>
      </c>
      <c r="J37" s="286">
        <f>(H37*J18)+H37</f>
        <v/>
      </c>
      <c r="L37" s="286">
        <f>(J37*L18)+J37</f>
        <v/>
      </c>
      <c r="N37" s="286">
        <f>(L37*N18)+L37</f>
        <v/>
      </c>
      <c r="O37" s="386">
        <f>Current!O37</f>
        <v/>
      </c>
      <c r="R37" s="233" t="n"/>
      <c r="S37" s="304" t="inlineStr">
        <is>
          <t>Initial Outlay:</t>
        </is>
      </c>
      <c r="U37" s="263">
        <f>R41</f>
        <v/>
      </c>
      <c r="V37" s="305">
        <f>-P6</f>
        <v/>
      </c>
      <c r="W37" s="306" t="inlineStr">
        <is>
          <t>PV</t>
        </is>
      </c>
    </row>
    <row r="38" ht="12.8" customHeight="1" s="200">
      <c r="A38" s="198" t="inlineStr">
        <is>
          <t>Other</t>
        </is>
      </c>
      <c r="B38" s="343">
        <f>D38/D25</f>
        <v/>
      </c>
      <c r="D38" s="344">
        <f>F38/12</f>
        <v/>
      </c>
      <c r="E38" s="281" t="inlineStr">
        <is>
          <t>7</t>
        </is>
      </c>
      <c r="F38" s="322">
        <f>Current!F38</f>
        <v/>
      </c>
      <c r="G38" s="229" t="inlineStr">
        <is>
          <t>k</t>
        </is>
      </c>
      <c r="H38" s="323">
        <f>(F38*H18)+F38</f>
        <v/>
      </c>
      <c r="J38" s="323">
        <f>(H38*J18)+H38</f>
        <v/>
      </c>
      <c r="L38" s="323">
        <f>(J38*L18)+J38</f>
        <v/>
      </c>
      <c r="N38" s="323">
        <f>(L38*N18)+L38</f>
        <v/>
      </c>
      <c r="O38" s="345">
        <f>Current!O38</f>
        <v/>
      </c>
      <c r="P38" s="333" t="n"/>
      <c r="Q38" s="333" t="n"/>
      <c r="R38" s="334" t="n"/>
      <c r="S38" s="220" t="n"/>
      <c r="W38" s="242" t="n"/>
    </row>
    <row r="39" ht="15" customHeight="1" s="200">
      <c r="A39" s="249" t="inlineStr">
        <is>
          <t>Total Operating Expenses</t>
        </is>
      </c>
      <c r="B39" s="346">
        <f>SUM(B28:B38)</f>
        <v/>
      </c>
      <c r="D39" s="302">
        <f>SUM(D28:D38)</f>
        <v/>
      </c>
      <c r="F39" s="302">
        <f>SUM(F28:F38)</f>
        <v/>
      </c>
      <c r="H39" s="302">
        <f>SUM(H28:H38)</f>
        <v/>
      </c>
      <c r="J39" s="302">
        <f>SUM(J28:J38)</f>
        <v/>
      </c>
      <c r="L39" s="302">
        <f>SUM(L28:L38)</f>
        <v/>
      </c>
      <c r="N39" s="302">
        <f>SUM(N28:N38)</f>
        <v/>
      </c>
      <c r="O39" s="299" t="inlineStr">
        <is>
          <t>5 Year Performance</t>
        </is>
      </c>
      <c r="P39" s="224" t="n"/>
      <c r="Q39" s="224" t="n"/>
      <c r="R39" s="225" t="n"/>
      <c r="S39" s="317" t="inlineStr">
        <is>
          <t>After Tax</t>
        </is>
      </c>
      <c r="V39" s="318" t="inlineStr">
        <is>
          <t>/ Unit</t>
        </is>
      </c>
      <c r="W39" s="319">
        <f>U37</f>
        <v/>
      </c>
    </row>
    <row r="40" ht="6" customHeight="1" s="200">
      <c r="M40" s="269" t="n"/>
      <c r="N40" s="269" t="n"/>
      <c r="O40" s="220" t="n"/>
      <c r="P40" s="229" t="n"/>
      <c r="Q40" s="229" t="n"/>
      <c r="R40" s="242" t="n"/>
    </row>
    <row r="41" ht="12.8" customHeight="1" s="200">
      <c r="A41" s="327" t="inlineStr">
        <is>
          <t>Net Operating Income</t>
        </is>
      </c>
      <c r="B41" s="347">
        <f>100%-B39</f>
        <v/>
      </c>
      <c r="C41" s="327" t="n"/>
      <c r="D41" s="387">
        <f>D25-D39</f>
        <v/>
      </c>
      <c r="E41" s="327" t="n"/>
      <c r="F41" s="387">
        <f>F25-F39</f>
        <v/>
      </c>
      <c r="G41" s="327" t="n"/>
      <c r="H41" s="387">
        <f>H25-H39</f>
        <v/>
      </c>
      <c r="I41" s="327" t="n"/>
      <c r="J41" s="387">
        <f>J25-J39</f>
        <v/>
      </c>
      <c r="K41" s="327" t="n"/>
      <c r="L41" s="387">
        <f>L25-L39</f>
        <v/>
      </c>
      <c r="M41" s="288" t="n"/>
      <c r="N41" s="387">
        <f>N25-N39</f>
        <v/>
      </c>
      <c r="O41" s="304" t="inlineStr">
        <is>
          <t>Initial Investment:</t>
        </is>
      </c>
      <c r="Q41" s="318" t="inlineStr">
        <is>
          <t>CoC</t>
        </is>
      </c>
      <c r="R41" s="264">
        <f>-R6</f>
        <v/>
      </c>
      <c r="S41" s="304" t="inlineStr">
        <is>
          <t>Cash flow 1:</t>
        </is>
      </c>
      <c r="U41" s="263">
        <f>F51*P26</f>
        <v/>
      </c>
      <c r="V41" s="324">
        <f>U41/Q27</f>
        <v/>
      </c>
      <c r="W41" s="325">
        <f>(U41/(1+F11)^5)</f>
        <v/>
      </c>
    </row>
    <row r="42" ht="12.8" customHeight="1" s="200">
      <c r="A42" s="198" t="inlineStr">
        <is>
          <t>Interest on Loan</t>
        </is>
      </c>
      <c r="B42" s="329">
        <f>-D42/D25</f>
        <v/>
      </c>
      <c r="D42" s="351">
        <f>F42/12</f>
        <v/>
      </c>
      <c r="E42" s="352" t="n"/>
      <c r="F42" s="351">
        <f>ISPMT(F11,12,H12,H7)</f>
        <v/>
      </c>
      <c r="G42" s="352" t="n"/>
      <c r="H42" s="351">
        <f>ISPMT(F11,24,H12,H7)</f>
        <v/>
      </c>
      <c r="I42" s="352" t="n"/>
      <c r="J42" s="351">
        <f>ISPMT(F11,36,H12,H7)</f>
        <v/>
      </c>
      <c r="K42" s="352" t="n"/>
      <c r="L42" s="351">
        <f>ISPMT(F11,48,H12,H7)</f>
        <v/>
      </c>
      <c r="M42" s="352" t="n"/>
      <c r="N42" s="351">
        <f>ISPMT(F11,60,H12,H7)</f>
        <v/>
      </c>
      <c r="O42" s="220" t="inlineStr">
        <is>
          <t>Year 1</t>
        </is>
      </c>
      <c r="P42" s="237" t="inlineStr">
        <is>
          <t>+ cash flow</t>
        </is>
      </c>
      <c r="Q42" s="326">
        <f>R26</f>
        <v/>
      </c>
      <c r="R42" s="264">
        <f>Q26</f>
        <v/>
      </c>
      <c r="S42" s="304" t="inlineStr">
        <is>
          <t>Cash flow 2:</t>
        </is>
      </c>
      <c r="U42" s="263">
        <f>H51*P26</f>
        <v/>
      </c>
      <c r="V42" s="324">
        <f>U42/Q27</f>
        <v/>
      </c>
      <c r="W42" s="325">
        <f>(U42/(1+F11)^5)</f>
        <v/>
      </c>
    </row>
    <row r="43" ht="12.8" customHeight="1" s="200">
      <c r="A43" s="198" t="inlineStr">
        <is>
          <t>Principle Paid</t>
        </is>
      </c>
      <c r="D43" s="302">
        <f>D42-H13</f>
        <v/>
      </c>
      <c r="E43" s="302" t="n"/>
      <c r="F43" s="302">
        <f>F42-F13</f>
        <v/>
      </c>
      <c r="G43" s="286" t="n"/>
      <c r="H43" s="302">
        <f>H42-F13</f>
        <v/>
      </c>
      <c r="I43" s="286" t="n"/>
      <c r="J43" s="302">
        <f>J42-F13</f>
        <v/>
      </c>
      <c r="K43" s="286" t="n"/>
      <c r="L43" s="302">
        <f>L42-F13</f>
        <v/>
      </c>
      <c r="M43" s="286" t="n"/>
      <c r="N43" s="302">
        <f>N42-F13</f>
        <v/>
      </c>
      <c r="O43" s="220" t="inlineStr">
        <is>
          <t>Year 2</t>
        </is>
      </c>
      <c r="P43" s="237" t="inlineStr">
        <is>
          <t>+ cash flow</t>
        </is>
      </c>
      <c r="Q43" s="326">
        <f>(H49/R6)*P26</f>
        <v/>
      </c>
      <c r="R43" s="264">
        <f>H49*P26</f>
        <v/>
      </c>
      <c r="S43" s="304" t="inlineStr">
        <is>
          <t>Cash flow 3:</t>
        </is>
      </c>
      <c r="U43" s="263">
        <f>J51*P26</f>
        <v/>
      </c>
      <c r="V43" s="324">
        <f>U43/Q27</f>
        <v/>
      </c>
      <c r="W43" s="325">
        <f>(U43/(1+F11)^5)</f>
        <v/>
      </c>
    </row>
    <row r="44" ht="12.8" customHeight="1" s="200">
      <c r="A44" s="198" t="inlineStr">
        <is>
          <t>Seller Financing</t>
        </is>
      </c>
      <c r="B44" s="343">
        <f>-D44/D25</f>
        <v/>
      </c>
      <c r="D44" s="353">
        <f>F44/12</f>
        <v/>
      </c>
      <c r="F44" s="351">
        <f>-H6*F14</f>
        <v/>
      </c>
      <c r="H44" s="351">
        <f>-H6*F14</f>
        <v/>
      </c>
      <c r="J44" s="351">
        <f>-H6*F14</f>
        <v/>
      </c>
      <c r="L44" s="351">
        <f>-H6*F14</f>
        <v/>
      </c>
      <c r="N44" s="351">
        <f>-H6*F14</f>
        <v/>
      </c>
      <c r="O44" s="220" t="inlineStr">
        <is>
          <t>Year 3</t>
        </is>
      </c>
      <c r="P44" s="237" t="inlineStr">
        <is>
          <t>+ cash flow</t>
        </is>
      </c>
      <c r="Q44" s="326">
        <f>(J49/R6)*P26</f>
        <v/>
      </c>
      <c r="R44" s="264">
        <f>J49*P26</f>
        <v/>
      </c>
      <c r="S44" s="304" t="inlineStr">
        <is>
          <t>Cash flow 4:</t>
        </is>
      </c>
      <c r="U44" s="263">
        <f>L51*P26</f>
        <v/>
      </c>
      <c r="V44" s="324">
        <f>U44/Q27</f>
        <v/>
      </c>
      <c r="W44" s="325">
        <f>(U44/(1+F11)^5)</f>
        <v/>
      </c>
    </row>
    <row r="45" ht="12.8" customHeight="1" s="200">
      <c r="A45" s="198" t="inlineStr">
        <is>
          <t>Total Cost of Interest</t>
        </is>
      </c>
      <c r="B45" s="343" t="n"/>
      <c r="D45" s="353" t="n"/>
      <c r="F45" s="354">
        <f>SUM(F44+F42)</f>
        <v/>
      </c>
      <c r="G45" s="355" t="n"/>
      <c r="H45" s="354">
        <f>SUM(H44+H42)</f>
        <v/>
      </c>
      <c r="I45" s="355" t="n"/>
      <c r="J45" s="354">
        <f>SUM(J44+J42)</f>
        <v/>
      </c>
      <c r="K45" s="355" t="n"/>
      <c r="L45" s="354">
        <f>SUM(L44+L42)</f>
        <v/>
      </c>
      <c r="M45" s="355" t="n"/>
      <c r="N45" s="354">
        <f>SUM(N44+N42)</f>
        <v/>
      </c>
      <c r="O45" s="220" t="inlineStr">
        <is>
          <t>Year 4</t>
        </is>
      </c>
      <c r="P45" s="237" t="inlineStr">
        <is>
          <t>+ cash flow</t>
        </is>
      </c>
      <c r="Q45" s="326">
        <f>(L49/R6)*P26</f>
        <v/>
      </c>
      <c r="R45" s="264">
        <f>L49*P26</f>
        <v/>
      </c>
      <c r="S45" s="304" t="inlineStr">
        <is>
          <t>Cash flow 5:</t>
        </is>
      </c>
      <c r="U45" s="263">
        <f>N51*P26</f>
        <v/>
      </c>
      <c r="V45" s="324">
        <f>U45/Q27</f>
        <v/>
      </c>
      <c r="W45" s="325">
        <f>(U45/(1+F11)^5)</f>
        <v/>
      </c>
    </row>
    <row r="46" ht="12.8" customHeight="1" s="200">
      <c r="A46" s="198" t="inlineStr">
        <is>
          <t>Income Tax Rate</t>
        </is>
      </c>
      <c r="B46" s="240" t="n">
        <v>0.15</v>
      </c>
      <c r="D46" s="356" t="inlineStr">
        <is>
          <t>~~~~~~~~~~~~~~~~~~~~~~~~~~~~~~~~~~~~~~~~~~~~~~~~~~~~~~~~~~~~~~~~~~~~~~~~~~~~~~~~~~~~~~~~~~~</t>
        </is>
      </c>
      <c r="O46" s="220" t="inlineStr">
        <is>
          <t>Year 5</t>
        </is>
      </c>
      <c r="P46" s="237" t="inlineStr">
        <is>
          <t>+ cash flow</t>
        </is>
      </c>
      <c r="Q46" s="326">
        <f>(N49/R6)*P26</f>
        <v/>
      </c>
      <c r="R46" s="264">
        <f>N49*P26</f>
        <v/>
      </c>
      <c r="S46" s="304" t="inlineStr">
        <is>
          <t>Cash out:</t>
        </is>
      </c>
      <c r="U46" s="263">
        <f>R49</f>
        <v/>
      </c>
      <c r="V46" s="324">
        <f>U46/Q27</f>
        <v/>
      </c>
      <c r="W46" s="325">
        <f>(U46/(1+F11)^5)</f>
        <v/>
      </c>
    </row>
    <row r="47" ht="12.8" customHeight="1" s="200">
      <c r="A47" s="198" t="inlineStr">
        <is>
          <t>Depreciation Expenses(Building)</t>
        </is>
      </c>
      <c r="D47" s="357">
        <f>F47/12</f>
        <v/>
      </c>
      <c r="F47" s="286">
        <f>VDB(B6,B5,27.5,0,1,1)</f>
        <v/>
      </c>
      <c r="G47" s="286" t="n"/>
      <c r="H47" s="286">
        <f>VDB(B6,B5,27.5,1,2,1)</f>
        <v/>
      </c>
      <c r="I47" s="286" t="n"/>
      <c r="J47" s="286">
        <f>VDB(B6,B5,27.5,2,3,1)</f>
        <v/>
      </c>
      <c r="K47" s="286" t="n"/>
      <c r="L47" s="286">
        <f>VDB(B6,B5,27.5,3,4,1)</f>
        <v/>
      </c>
      <c r="M47" s="286" t="n"/>
      <c r="N47" s="286">
        <f>VDB(B6,B5,27.5,4,5,1)</f>
        <v/>
      </c>
      <c r="O47" s="220" t="inlineStr">
        <is>
          <t>Year 6</t>
        </is>
      </c>
      <c r="P47" s="237" t="inlineStr">
        <is>
          <t>+ Refinance*</t>
        </is>
      </c>
      <c r="Q47" s="199" t="inlineStr">
        <is>
          <t>7.5 cap rate</t>
        </is>
      </c>
      <c r="R47" s="264">
        <f>(N41/0.075)*0.7</f>
        <v/>
      </c>
    </row>
    <row r="48" ht="12.8" customHeight="1" s="200">
      <c r="A48" s="198" t="inlineStr">
        <is>
          <t>Total Taxable Deductions</t>
        </is>
      </c>
      <c r="B48" s="388" t="n"/>
      <c r="F48" s="358">
        <f>-F45+F47</f>
        <v/>
      </c>
      <c r="G48" s="358" t="n"/>
      <c r="H48" s="358">
        <f>-H45+H47</f>
        <v/>
      </c>
      <c r="I48" s="358" t="n"/>
      <c r="J48" s="358">
        <f>-J45+J47</f>
        <v/>
      </c>
      <c r="K48" s="358" t="n"/>
      <c r="L48" s="358">
        <f>-L45+L47</f>
        <v/>
      </c>
      <c r="M48" s="358" t="n"/>
      <c r="N48" s="358">
        <f>-N45+N47</f>
        <v/>
      </c>
      <c r="O48" s="220" t="n"/>
      <c r="P48" s="237" t="inlineStr">
        <is>
          <t>- Repay Debts</t>
        </is>
      </c>
      <c r="Q48" s="229" t="n"/>
      <c r="R48" s="264">
        <f>-(H7-(F43+H43+J43+L43+N43)+H6)</f>
        <v/>
      </c>
      <c r="S48" s="220" t="inlineStr">
        <is>
          <t>Total PV:</t>
        </is>
      </c>
      <c r="T48" s="335" t="inlineStr">
        <is>
          <t>~~~~~~~~~~~~~~~~~&gt;</t>
        </is>
      </c>
      <c r="V48" s="336">
        <f>SUM(V41:V46)</f>
        <v/>
      </c>
      <c r="W48" s="325">
        <f>SUM(W41:W46)</f>
        <v/>
      </c>
    </row>
    <row r="49" ht="15" customHeight="1" s="200">
      <c r="A49" s="198" t="inlineStr">
        <is>
          <t>Net Income before Taxes</t>
        </is>
      </c>
      <c r="D49" s="359">
        <f>F49/12</f>
        <v/>
      </c>
      <c r="E49" s="359" t="n"/>
      <c r="F49" s="359">
        <f>(F41+(F13+F44))</f>
        <v/>
      </c>
      <c r="G49" s="360" t="n"/>
      <c r="H49" s="359">
        <f>(H41+(F13+H44))</f>
        <v/>
      </c>
      <c r="I49" s="360" t="n"/>
      <c r="J49" s="359">
        <f>(J41+(F13+J44))</f>
        <v/>
      </c>
      <c r="K49" s="360" t="n"/>
      <c r="L49" s="359">
        <f>(L41+(F13+L44))</f>
        <v/>
      </c>
      <c r="M49" s="360" t="n"/>
      <c r="N49" s="359">
        <f>(N41+(F13+N44))</f>
        <v/>
      </c>
      <c r="O49" s="220" t="inlineStr">
        <is>
          <t>Profits</t>
        </is>
      </c>
      <c r="P49" s="237" t="n"/>
      <c r="Q49" s="229" t="n"/>
      <c r="R49" s="264">
        <f>R47+R48</f>
        <v/>
      </c>
      <c r="S49" s="234" t="inlineStr">
        <is>
          <t>NPV:</t>
        </is>
      </c>
      <c r="T49" s="335" t="inlineStr">
        <is>
          <t>~~~~~~~~~~~~~~~~~&gt;</t>
        </is>
      </c>
      <c r="V49" s="336">
        <f>V48-V37</f>
        <v/>
      </c>
      <c r="W49" s="325">
        <f>W48+W39</f>
        <v/>
      </c>
    </row>
    <row r="50" ht="12.8" customFormat="1" customHeight="1" s="309">
      <c r="A50" s="198" t="inlineStr">
        <is>
          <t>Expected Taxes</t>
        </is>
      </c>
      <c r="B50" s="240" t="n"/>
      <c r="C50" s="199" t="n"/>
      <c r="D50" s="302" t="n"/>
      <c r="E50" s="302" t="n"/>
      <c r="F50" s="351">
        <f>IF(F49&lt;F48,0,-((F49-F48)*B46))</f>
        <v/>
      </c>
      <c r="G50" s="263" t="n"/>
      <c r="H50" s="351">
        <f>IF(H49&lt;H48,0,-((H49-H48)*B46))</f>
        <v/>
      </c>
      <c r="I50" s="263" t="n"/>
      <c r="J50" s="263">
        <f>IF(J49&lt;J48,0,-((J49-J48)*B46))</f>
        <v/>
      </c>
      <c r="K50" s="263" t="n"/>
      <c r="L50" s="263">
        <f>IF(L49&lt;L48,0,-((L49-L48)*B46))</f>
        <v/>
      </c>
      <c r="M50" s="263" t="n"/>
      <c r="N50" s="263">
        <f>IF(N49&lt;N48,0,-((N49-N48)*B46))</f>
        <v/>
      </c>
      <c r="O50" s="361" t="inlineStr">
        <is>
          <t>Ca$h+Profits</t>
        </is>
      </c>
      <c r="P50" s="296" t="n"/>
      <c r="Q50" s="274" t="n"/>
      <c r="R50" s="362">
        <f>R42+R43+R44+R45+R46+R49</f>
        <v/>
      </c>
      <c r="S50" s="220" t="n"/>
      <c r="T50" s="199" t="n"/>
      <c r="U50" s="199" t="n"/>
      <c r="V50" s="199" t="n"/>
      <c r="W50" s="303" t="n"/>
      <c r="Y50" s="381" t="n"/>
      <c r="AA50" s="381" t="n"/>
      <c r="AC50" s="198" t="n"/>
      <c r="AD50" s="199" t="n"/>
      <c r="AE50" s="199" t="n"/>
      <c r="AI50" s="381" t="n"/>
      <c r="AK50" s="381" t="n"/>
      <c r="AM50" s="381" t="n"/>
      <c r="AO50" s="381" t="n"/>
      <c r="AQ50" s="198" t="n"/>
      <c r="AR50" s="199" t="n"/>
      <c r="AS50" s="199" t="n"/>
      <c r="AW50" s="381" t="n"/>
      <c r="AY50" s="381" t="n"/>
      <c r="BA50" s="381" t="n"/>
      <c r="BC50" s="381" t="n"/>
      <c r="BE50" s="198" t="n"/>
      <c r="BF50" s="199" t="n"/>
      <c r="BG50" s="199" t="n"/>
      <c r="BK50" s="381" t="n"/>
      <c r="BM50" s="381" t="n"/>
      <c r="BO50" s="381" t="n"/>
      <c r="BQ50" s="381" t="n"/>
      <c r="BS50" s="198" t="n"/>
      <c r="BT50" s="199" t="n"/>
      <c r="BU50" s="199" t="n"/>
      <c r="BY50" s="381" t="n"/>
      <c r="CA50" s="381" t="n"/>
      <c r="CC50" s="381" t="n"/>
      <c r="CE50" s="381" t="n"/>
      <c r="CG50" s="198" t="n"/>
      <c r="CH50" s="199" t="n"/>
      <c r="CI50" s="199" t="n"/>
      <c r="CM50" s="381" t="n"/>
      <c r="CO50" s="381" t="n"/>
      <c r="CQ50" s="381" t="n"/>
      <c r="CS50" s="381" t="n"/>
      <c r="CU50" s="198" t="n"/>
      <c r="CV50" s="199" t="n"/>
      <c r="CW50" s="199" t="n"/>
      <c r="DA50" s="381" t="n"/>
      <c r="DC50" s="381" t="n"/>
      <c r="DE50" s="381" t="n"/>
      <c r="DG50" s="381" t="n"/>
      <c r="DI50" s="198" t="n"/>
      <c r="DJ50" s="199" t="n"/>
      <c r="DK50" s="199" t="n"/>
      <c r="DO50" s="381" t="n"/>
      <c r="DQ50" s="381" t="n"/>
      <c r="DS50" s="381" t="n"/>
      <c r="DU50" s="381" t="n"/>
      <c r="DW50" s="198" t="n"/>
      <c r="DX50" s="199" t="n"/>
      <c r="DY50" s="199" t="n"/>
      <c r="EC50" s="381" t="n"/>
      <c r="EE50" s="381" t="n"/>
      <c r="EG50" s="381" t="n"/>
      <c r="EI50" s="381" t="n"/>
      <c r="EK50" s="198" t="n"/>
      <c r="EL50" s="199" t="n"/>
      <c r="EM50" s="199" t="n"/>
      <c r="EQ50" s="381" t="n"/>
      <c r="ES50" s="381" t="n"/>
      <c r="EU50" s="381" t="n"/>
      <c r="EW50" s="381" t="n"/>
      <c r="EY50" s="198" t="n"/>
      <c r="EZ50" s="199" t="n"/>
      <c r="FA50" s="199" t="n"/>
      <c r="FE50" s="381" t="n"/>
      <c r="FG50" s="381" t="n"/>
      <c r="FI50" s="381" t="n"/>
      <c r="FK50" s="381" t="n"/>
      <c r="FM50" s="198" t="n"/>
      <c r="FN50" s="199" t="n"/>
      <c r="FO50" s="199" t="n"/>
      <c r="FS50" s="381" t="n"/>
      <c r="FU50" s="381" t="n"/>
      <c r="FW50" s="381" t="n"/>
      <c r="FY50" s="381" t="n"/>
      <c r="GA50" s="198" t="n"/>
      <c r="GB50" s="199" t="n"/>
      <c r="GC50" s="199" t="n"/>
      <c r="GG50" s="381" t="n"/>
      <c r="GI50" s="381" t="n"/>
      <c r="GK50" s="381" t="n"/>
      <c r="GM50" s="381" t="n"/>
      <c r="GO50" s="198" t="n"/>
      <c r="GP50" s="199" t="n"/>
      <c r="GQ50" s="199" t="n"/>
      <c r="GU50" s="381" t="n"/>
      <c r="GW50" s="381" t="n"/>
      <c r="GY50" s="381" t="n"/>
      <c r="HA50" s="381" t="n"/>
      <c r="HC50" s="198" t="n"/>
      <c r="HD50" s="199" t="n"/>
      <c r="HE50" s="199" t="n"/>
      <c r="HI50" s="381" t="n"/>
      <c r="HK50" s="381" t="n"/>
      <c r="HM50" s="381" t="n"/>
      <c r="HO50" s="381" t="n"/>
      <c r="HQ50" s="198" t="n"/>
      <c r="HR50" s="199" t="n"/>
      <c r="HS50" s="199" t="n"/>
      <c r="HW50" s="381" t="n"/>
      <c r="HY50" s="381" t="n"/>
      <c r="IA50" s="381" t="n"/>
      <c r="IC50" s="381" t="n"/>
      <c r="IE50" s="198" t="n"/>
      <c r="IF50" s="199" t="n"/>
      <c r="IG50" s="199" t="n"/>
      <c r="IK50" s="381" t="n"/>
      <c r="IM50" s="381" t="n"/>
      <c r="IO50" s="381" t="n"/>
      <c r="IQ50" s="381" t="n"/>
      <c r="IS50" s="198" t="n"/>
      <c r="IT50" s="199" t="n"/>
      <c r="IU50" s="199" t="n"/>
      <c r="IY50" s="381" t="n"/>
      <c r="JA50" s="381" t="n"/>
      <c r="JC50" s="381" t="n"/>
      <c r="JE50" s="381" t="n"/>
      <c r="JG50" s="198" t="n"/>
      <c r="JH50" s="199" t="n"/>
      <c r="JI50" s="199" t="n"/>
      <c r="JM50" s="381" t="n"/>
      <c r="JO50" s="381" t="n"/>
      <c r="JQ50" s="381" t="n"/>
      <c r="JS50" s="381" t="n"/>
      <c r="JU50" s="198" t="n"/>
      <c r="JV50" s="199" t="n"/>
      <c r="JW50" s="199" t="n"/>
      <c r="KA50" s="381" t="n"/>
      <c r="KC50" s="381" t="n"/>
      <c r="KE50" s="381" t="n"/>
      <c r="KG50" s="381" t="n"/>
      <c r="KI50" s="198" t="n"/>
      <c r="KJ50" s="199" t="n"/>
      <c r="KK50" s="199" t="n"/>
      <c r="KO50" s="381" t="n"/>
      <c r="KQ50" s="381" t="n"/>
      <c r="KS50" s="381" t="n"/>
      <c r="KU50" s="381" t="n"/>
      <c r="KW50" s="198" t="n"/>
      <c r="KX50" s="199" t="n"/>
      <c r="KY50" s="199" t="n"/>
      <c r="LC50" s="381" t="n"/>
      <c r="LE50" s="381" t="n"/>
      <c r="LG50" s="381" t="n"/>
      <c r="LI50" s="381" t="n"/>
      <c r="LK50" s="198" t="n"/>
      <c r="LL50" s="199" t="n"/>
      <c r="LM50" s="199" t="n"/>
      <c r="LQ50" s="381" t="n"/>
      <c r="LS50" s="381" t="n"/>
      <c r="LU50" s="381" t="n"/>
      <c r="LW50" s="381" t="n"/>
      <c r="LY50" s="198" t="n"/>
      <c r="LZ50" s="199" t="n"/>
      <c r="MA50" s="199" t="n"/>
      <c r="ME50" s="381" t="n"/>
      <c r="MG50" s="381" t="n"/>
      <c r="MI50" s="381" t="n"/>
      <c r="MK50" s="381" t="n"/>
      <c r="MM50" s="198" t="n"/>
      <c r="MN50" s="199" t="n"/>
      <c r="MO50" s="199" t="n"/>
      <c r="MS50" s="381" t="n"/>
      <c r="MU50" s="381" t="n"/>
      <c r="MW50" s="381" t="n"/>
      <c r="MY50" s="381" t="n"/>
      <c r="NA50" s="198" t="n"/>
      <c r="NB50" s="199" t="n"/>
      <c r="NC50" s="199" t="n"/>
      <c r="NG50" s="381" t="n"/>
      <c r="NI50" s="381" t="n"/>
      <c r="NK50" s="381" t="n"/>
      <c r="NM50" s="381" t="n"/>
      <c r="NO50" s="198" t="n"/>
      <c r="NP50" s="199" t="n"/>
      <c r="NQ50" s="199" t="n"/>
      <c r="NU50" s="381" t="n"/>
      <c r="NW50" s="381" t="n"/>
      <c r="NY50" s="381" t="n"/>
      <c r="OA50" s="381" t="n"/>
      <c r="OC50" s="198" t="n"/>
      <c r="OD50" s="199" t="n"/>
      <c r="OE50" s="199" t="n"/>
      <c r="OI50" s="381" t="n"/>
      <c r="OK50" s="381" t="n"/>
      <c r="OM50" s="381" t="n"/>
      <c r="OO50" s="381" t="n"/>
      <c r="OQ50" s="198" t="n"/>
      <c r="OR50" s="199" t="n"/>
      <c r="OS50" s="199" t="n"/>
      <c r="OW50" s="381" t="n"/>
      <c r="OY50" s="381" t="n"/>
      <c r="PA50" s="381" t="n"/>
      <c r="PC50" s="381" t="n"/>
      <c r="PE50" s="198" t="n"/>
      <c r="PF50" s="199" t="n"/>
      <c r="PG50" s="199" t="n"/>
      <c r="PK50" s="381" t="n"/>
      <c r="PM50" s="381" t="n"/>
      <c r="PO50" s="381" t="n"/>
      <c r="PQ50" s="381" t="n"/>
      <c r="PS50" s="198" t="n"/>
      <c r="PT50" s="199" t="n"/>
      <c r="PU50" s="199" t="n"/>
      <c r="PY50" s="381" t="n"/>
      <c r="QA50" s="381" t="n"/>
      <c r="QC50" s="381" t="n"/>
      <c r="QE50" s="381" t="n"/>
      <c r="QG50" s="198" t="n"/>
      <c r="QH50" s="199" t="n"/>
      <c r="QI50" s="199" t="n"/>
      <c r="QM50" s="381" t="n"/>
      <c r="QO50" s="381" t="n"/>
      <c r="QQ50" s="381" t="n"/>
      <c r="QS50" s="381" t="n"/>
      <c r="QU50" s="198" t="n"/>
      <c r="QV50" s="199" t="n"/>
      <c r="QW50" s="199" t="n"/>
      <c r="RA50" s="381" t="n"/>
      <c r="RC50" s="381" t="n"/>
      <c r="RE50" s="381" t="n"/>
      <c r="RG50" s="381" t="n"/>
      <c r="RI50" s="198" t="n"/>
      <c r="RJ50" s="199" t="n"/>
      <c r="RK50" s="199" t="n"/>
      <c r="RO50" s="381" t="n"/>
      <c r="RQ50" s="381" t="n"/>
      <c r="RS50" s="381" t="n"/>
      <c r="RU50" s="381" t="n"/>
      <c r="RW50" s="198" t="n"/>
      <c r="RX50" s="199" t="n"/>
      <c r="RY50" s="199" t="n"/>
      <c r="SC50" s="381" t="n"/>
      <c r="SE50" s="381" t="n"/>
      <c r="SG50" s="381" t="n"/>
      <c r="SI50" s="381" t="n"/>
      <c r="SK50" s="198" t="n"/>
      <c r="SL50" s="199" t="n"/>
      <c r="SM50" s="199" t="n"/>
      <c r="SQ50" s="381" t="n"/>
      <c r="SS50" s="381" t="n"/>
      <c r="SU50" s="381" t="n"/>
      <c r="SW50" s="381" t="n"/>
      <c r="SY50" s="198" t="n"/>
      <c r="SZ50" s="199" t="n"/>
      <c r="TA50" s="199" t="n"/>
      <c r="TE50" s="381" t="n"/>
      <c r="TG50" s="381" t="n"/>
      <c r="TI50" s="381" t="n"/>
      <c r="TK50" s="381" t="n"/>
      <c r="TM50" s="198" t="n"/>
      <c r="TN50" s="199" t="n"/>
      <c r="TO50" s="199" t="n"/>
      <c r="TS50" s="381" t="n"/>
      <c r="TU50" s="381" t="n"/>
      <c r="TW50" s="381" t="n"/>
      <c r="TY50" s="381" t="n"/>
      <c r="UA50" s="198" t="n"/>
      <c r="UB50" s="199" t="n"/>
      <c r="UC50" s="199" t="n"/>
      <c r="UG50" s="381" t="n"/>
      <c r="UI50" s="381" t="n"/>
      <c r="UK50" s="381" t="n"/>
      <c r="UM50" s="381" t="n"/>
      <c r="UO50" s="198" t="n"/>
      <c r="UP50" s="199" t="n"/>
      <c r="UQ50" s="199" t="n"/>
      <c r="UU50" s="381" t="n"/>
      <c r="UW50" s="381" t="n"/>
      <c r="UY50" s="381" t="n"/>
      <c r="VA50" s="381" t="n"/>
      <c r="VC50" s="198" t="n"/>
      <c r="VD50" s="199" t="n"/>
      <c r="VE50" s="199" t="n"/>
      <c r="VI50" s="381" t="n"/>
      <c r="VK50" s="381" t="n"/>
      <c r="VM50" s="381" t="n"/>
      <c r="VO50" s="381" t="n"/>
      <c r="VQ50" s="198" t="n"/>
      <c r="VR50" s="199" t="n"/>
      <c r="VS50" s="199" t="n"/>
      <c r="VW50" s="381" t="n"/>
      <c r="VY50" s="381" t="n"/>
      <c r="WA50" s="381" t="n"/>
      <c r="WC50" s="381" t="n"/>
      <c r="WE50" s="198" t="n"/>
      <c r="WF50" s="199" t="n"/>
      <c r="WG50" s="199" t="n"/>
      <c r="WK50" s="381" t="n"/>
      <c r="WM50" s="381" t="n"/>
      <c r="WO50" s="381" t="n"/>
      <c r="WQ50" s="381" t="n"/>
      <c r="WS50" s="198" t="n"/>
      <c r="WT50" s="199" t="n"/>
      <c r="WU50" s="199" t="n"/>
      <c r="WY50" s="381" t="n"/>
      <c r="XA50" s="381" t="n"/>
      <c r="XC50" s="381" t="n"/>
      <c r="XE50" s="381" t="n"/>
      <c r="XG50" s="198" t="n"/>
      <c r="XH50" s="199" t="n"/>
      <c r="XI50" s="199" t="n"/>
      <c r="XM50" s="381" t="n"/>
      <c r="XO50" s="381" t="n"/>
      <c r="XQ50" s="381" t="n"/>
      <c r="XS50" s="381" t="n"/>
      <c r="XU50" s="198" t="n"/>
      <c r="XV50" s="199" t="n"/>
      <c r="XW50" s="199" t="n"/>
      <c r="YA50" s="381" t="n"/>
      <c r="YC50" s="381" t="n"/>
      <c r="YE50" s="381" t="n"/>
      <c r="YG50" s="381" t="n"/>
      <c r="YI50" s="198" t="n"/>
      <c r="YJ50" s="199" t="n"/>
      <c r="YK50" s="199" t="n"/>
      <c r="YO50" s="381" t="n"/>
      <c r="YQ50" s="381" t="n"/>
      <c r="YS50" s="381" t="n"/>
      <c r="YU50" s="381" t="n"/>
      <c r="YW50" s="198" t="n"/>
      <c r="YX50" s="199" t="n"/>
      <c r="YY50" s="199" t="n"/>
      <c r="ZC50" s="381" t="n"/>
      <c r="ZE50" s="381" t="n"/>
      <c r="ZG50" s="381" t="n"/>
      <c r="ZI50" s="381" t="n"/>
      <c r="ZK50" s="198" t="n"/>
      <c r="ZL50" s="199" t="n"/>
      <c r="ZM50" s="199" t="n"/>
      <c r="ZQ50" s="381" t="n"/>
      <c r="ZS50" s="381" t="n"/>
      <c r="ZU50" s="381" t="n"/>
      <c r="ZW50" s="381" t="n"/>
      <c r="ZY50" s="198" t="n"/>
      <c r="ZZ50" s="199" t="n"/>
      <c r="AAA50" s="199" t="n"/>
      <c r="AAE50" s="381" t="n"/>
      <c r="AAG50" s="381" t="n"/>
      <c r="AAI50" s="381" t="n"/>
      <c r="AAK50" s="381" t="n"/>
      <c r="AAM50" s="198" t="n"/>
      <c r="AAN50" s="199" t="n"/>
      <c r="AAO50" s="199" t="n"/>
      <c r="AAS50" s="381" t="n"/>
      <c r="AAU50" s="381" t="n"/>
      <c r="AAW50" s="381" t="n"/>
      <c r="AAY50" s="381" t="n"/>
      <c r="ABA50" s="198" t="n"/>
      <c r="ABB50" s="199" t="n"/>
      <c r="ABC50" s="199" t="n"/>
      <c r="ABG50" s="381" t="n"/>
      <c r="ABI50" s="381" t="n"/>
      <c r="ABK50" s="381" t="n"/>
      <c r="ABM50" s="381" t="n"/>
      <c r="ABO50" s="198" t="n"/>
      <c r="ABP50" s="199" t="n"/>
      <c r="ABQ50" s="199" t="n"/>
      <c r="ABU50" s="381" t="n"/>
      <c r="ABW50" s="381" t="n"/>
      <c r="ABY50" s="381" t="n"/>
      <c r="ACA50" s="381" t="n"/>
      <c r="ACC50" s="198" t="n"/>
      <c r="ACD50" s="199" t="n"/>
      <c r="ACE50" s="199" t="n"/>
      <c r="ACI50" s="381" t="n"/>
      <c r="ACK50" s="381" t="n"/>
      <c r="ACM50" s="381" t="n"/>
      <c r="ACO50" s="381" t="n"/>
      <c r="ACQ50" s="198" t="n"/>
      <c r="ACR50" s="199" t="n"/>
      <c r="ACS50" s="199" t="n"/>
      <c r="ACW50" s="381" t="n"/>
      <c r="ACY50" s="381" t="n"/>
      <c r="ADA50" s="381" t="n"/>
      <c r="ADC50" s="381" t="n"/>
      <c r="ADE50" s="198" t="n"/>
      <c r="ADF50" s="199" t="n"/>
      <c r="ADG50" s="199" t="n"/>
      <c r="ADK50" s="381" t="n"/>
      <c r="ADM50" s="381" t="n"/>
      <c r="ADO50" s="381" t="n"/>
      <c r="ADQ50" s="381" t="n"/>
      <c r="ADS50" s="198" t="n"/>
      <c r="ADT50" s="199" t="n"/>
      <c r="ADU50" s="199" t="n"/>
      <c r="ADY50" s="381" t="n"/>
      <c r="AEA50" s="381" t="n"/>
      <c r="AEC50" s="381" t="n"/>
      <c r="AEE50" s="381" t="n"/>
      <c r="AEG50" s="198" t="n"/>
      <c r="AEH50" s="199" t="n"/>
      <c r="AEI50" s="199" t="n"/>
      <c r="AEM50" s="381" t="n"/>
      <c r="AEO50" s="381" t="n"/>
      <c r="AEQ50" s="381" t="n"/>
      <c r="AES50" s="381" t="n"/>
      <c r="AEU50" s="198" t="n"/>
      <c r="AEV50" s="199" t="n"/>
      <c r="AEW50" s="199" t="n"/>
      <c r="AFA50" s="381" t="n"/>
      <c r="AFC50" s="381" t="n"/>
      <c r="AFE50" s="381" t="n"/>
      <c r="AFG50" s="381" t="n"/>
      <c r="AFI50" s="198" t="n"/>
      <c r="AFJ50" s="199" t="n"/>
      <c r="AFK50" s="199" t="n"/>
      <c r="AFO50" s="381" t="n"/>
      <c r="AFQ50" s="381" t="n"/>
      <c r="AFS50" s="381" t="n"/>
      <c r="AFU50" s="381" t="n"/>
      <c r="AFW50" s="198" t="n"/>
      <c r="AFX50" s="199" t="n"/>
      <c r="AFY50" s="199" t="n"/>
      <c r="AGC50" s="381" t="n"/>
      <c r="AGE50" s="381" t="n"/>
      <c r="AGG50" s="381" t="n"/>
      <c r="AGI50" s="381" t="n"/>
      <c r="AGK50" s="198" t="n"/>
      <c r="AGL50" s="199" t="n"/>
      <c r="AGM50" s="199" t="n"/>
      <c r="AGQ50" s="381" t="n"/>
      <c r="AGS50" s="381" t="n"/>
      <c r="AGU50" s="381" t="n"/>
      <c r="AGW50" s="381" t="n"/>
      <c r="AGY50" s="198" t="n"/>
      <c r="AGZ50" s="199" t="n"/>
      <c r="AHA50" s="199" t="n"/>
      <c r="AHE50" s="381" t="n"/>
      <c r="AHG50" s="381" t="n"/>
      <c r="AHI50" s="381" t="n"/>
      <c r="AHK50" s="381" t="n"/>
      <c r="AHM50" s="198" t="n"/>
      <c r="AHN50" s="199" t="n"/>
      <c r="AHO50" s="199" t="n"/>
      <c r="AHS50" s="381" t="n"/>
      <c r="AHU50" s="381" t="n"/>
      <c r="AHW50" s="381" t="n"/>
      <c r="AHY50" s="381" t="n"/>
      <c r="AIA50" s="198" t="n"/>
      <c r="AIB50" s="199" t="n"/>
      <c r="AIC50" s="199" t="n"/>
      <c r="AIG50" s="381" t="n"/>
      <c r="AII50" s="381" t="n"/>
      <c r="AIK50" s="381" t="n"/>
      <c r="AIM50" s="381" t="n"/>
      <c r="AIO50" s="198" t="n"/>
      <c r="AIP50" s="199" t="n"/>
      <c r="AIQ50" s="199" t="n"/>
      <c r="AIU50" s="381" t="n"/>
      <c r="AIW50" s="381" t="n"/>
      <c r="AIY50" s="381" t="n"/>
      <c r="AJA50" s="381" t="n"/>
      <c r="AJC50" s="198" t="n"/>
      <c r="AJD50" s="199" t="n"/>
      <c r="AJE50" s="199" t="n"/>
      <c r="AJI50" s="381" t="n"/>
      <c r="AJK50" s="381" t="n"/>
      <c r="AJM50" s="381" t="n"/>
      <c r="AJO50" s="381" t="n"/>
      <c r="AJQ50" s="198" t="n"/>
      <c r="AJR50" s="199" t="n"/>
      <c r="AJS50" s="199" t="n"/>
      <c r="AJW50" s="381" t="n"/>
      <c r="AJY50" s="381" t="n"/>
      <c r="AKA50" s="381" t="n"/>
      <c r="AKC50" s="381" t="n"/>
      <c r="AKE50" s="198" t="n"/>
      <c r="AKF50" s="199" t="n"/>
      <c r="AKG50" s="199" t="n"/>
      <c r="AKK50" s="381" t="n"/>
      <c r="AKM50" s="381" t="n"/>
      <c r="AKO50" s="381" t="n"/>
      <c r="AKQ50" s="381" t="n"/>
      <c r="AKS50" s="198" t="n"/>
      <c r="AKT50" s="199" t="n"/>
      <c r="AKU50" s="199" t="n"/>
      <c r="AKY50" s="381" t="n"/>
      <c r="ALA50" s="381" t="n"/>
      <c r="ALC50" s="381" t="n"/>
      <c r="ALE50" s="381" t="n"/>
      <c r="ALG50" s="198" t="n"/>
      <c r="ALH50" s="199" t="n"/>
      <c r="ALI50" s="199" t="n"/>
      <c r="ALM50" s="381" t="n"/>
      <c r="ALO50" s="381" t="n"/>
      <c r="ALQ50" s="381" t="n"/>
      <c r="ALS50" s="381" t="n"/>
      <c r="ALU50" s="198" t="n"/>
      <c r="ALV50" s="199" t="n"/>
      <c r="ALW50" s="199" t="n"/>
      <c r="AMA50" s="381" t="n"/>
      <c r="AMC50" s="381" t="n"/>
      <c r="AME50" s="381" t="n"/>
      <c r="AMG50" s="381" t="n"/>
      <c r="AMI50" s="198" t="n"/>
      <c r="AMJ50" s="199" t="n"/>
    </row>
    <row r="51" ht="18.55" customHeight="1" s="200">
      <c r="A51" s="363" t="inlineStr">
        <is>
          <t>Net Income after Taxes</t>
        </is>
      </c>
      <c r="B51" s="364" t="n"/>
      <c r="C51" s="364" t="n"/>
      <c r="D51" s="365">
        <f>F51/12</f>
        <v/>
      </c>
      <c r="E51" s="365" t="n"/>
      <c r="F51" s="365">
        <f>F49+F50</f>
        <v/>
      </c>
      <c r="G51" s="365" t="n"/>
      <c r="H51" s="365">
        <f>H49+H50</f>
        <v/>
      </c>
      <c r="I51" s="365" t="n"/>
      <c r="J51" s="365">
        <f>J49+J50</f>
        <v/>
      </c>
      <c r="K51" s="365" t="n"/>
      <c r="L51" s="365">
        <f>L49+L50</f>
        <v/>
      </c>
      <c r="M51" s="365" t="n"/>
      <c r="N51" s="365">
        <f>N49+N50</f>
        <v/>
      </c>
      <c r="O51" s="366" t="inlineStr">
        <is>
          <t>Percentage:</t>
        </is>
      </c>
      <c r="P51" s="367" t="n"/>
      <c r="Q51" s="367" t="n"/>
      <c r="R51" s="368">
        <f>((-R50)/R41)</f>
        <v/>
      </c>
      <c r="S51" s="338" t="inlineStr">
        <is>
          <t>IRR:</t>
        </is>
      </c>
      <c r="T51" s="339" t="n"/>
      <c r="U51" s="339" t="n"/>
      <c r="V51" s="339" t="n"/>
      <c r="W51" s="340">
        <f>IRR(W39:W46)</f>
        <v/>
      </c>
    </row>
    <row r="52" ht="12.8" customHeight="1" s="200">
      <c r="A52" s="249" t="n"/>
      <c r="B52" s="199" t="n"/>
      <c r="C52" s="199" t="n"/>
      <c r="D52" s="309" t="n"/>
      <c r="E52" s="309" t="n"/>
      <c r="F52" s="309" t="n"/>
      <c r="G52" s="309" t="n"/>
      <c r="H52" s="309" t="n"/>
      <c r="I52" s="309" t="n"/>
      <c r="J52" s="309" t="n"/>
      <c r="K52" s="309" t="n"/>
      <c r="L52" s="309" t="n"/>
      <c r="M52" s="309" t="n"/>
      <c r="N52" s="309" t="n"/>
    </row>
    <row r="53" ht="12.8" customHeight="1" s="200">
      <c r="F53" s="263" t="n"/>
      <c r="G53" s="263" t="n"/>
      <c r="H53" s="263" t="n"/>
      <c r="I53" s="263" t="n"/>
      <c r="J53" s="263" t="n"/>
      <c r="K53" s="263" t="n"/>
      <c r="L53" s="263" t="n"/>
      <c r="M53" s="263" t="n"/>
      <c r="N53" s="263" t="n"/>
      <c r="O53" s="198" t="n"/>
    </row>
    <row r="54" ht="12.8" customHeight="1" s="200">
      <c r="A54" s="369" t="n"/>
      <c r="B54" s="369" t="n"/>
      <c r="C54" s="369" t="n"/>
      <c r="D54" s="369" t="n"/>
      <c r="E54" s="369" t="n"/>
      <c r="F54" s="370" t="n"/>
      <c r="G54" s="371" t="n"/>
      <c r="H54" s="370" t="n"/>
      <c r="I54" s="371" t="n"/>
      <c r="J54" s="370" t="n"/>
      <c r="K54" s="371" t="n"/>
      <c r="L54" s="370" t="n"/>
      <c r="M54" s="371" t="n"/>
      <c r="N54" s="370" t="n"/>
      <c r="P54" s="198" t="n"/>
      <c r="Q54" s="198" t="n"/>
      <c r="R54" s="198" t="n"/>
    </row>
  </sheetData>
  <mergeCells count="40">
    <mergeCell ref="A1:N1"/>
    <mergeCell ref="A2:N2"/>
    <mergeCell ref="A3:B3"/>
    <mergeCell ref="D3:H3"/>
    <mergeCell ref="J3:N3"/>
    <mergeCell ref="O4:R4"/>
    <mergeCell ref="O5:R5"/>
    <mergeCell ref="O15:R15"/>
    <mergeCell ref="F19:N19"/>
    <mergeCell ref="O20:R20"/>
    <mergeCell ref="S20:W20"/>
    <mergeCell ref="S21:W21"/>
    <mergeCell ref="S22:W22"/>
    <mergeCell ref="S23:W23"/>
    <mergeCell ref="O29:P29"/>
    <mergeCell ref="O30:P30"/>
    <mergeCell ref="O31:R31"/>
    <mergeCell ref="O32:R32"/>
    <mergeCell ref="O33:R33"/>
    <mergeCell ref="S33:T33"/>
    <mergeCell ref="O34:R34"/>
    <mergeCell ref="S34:T34"/>
    <mergeCell ref="O35:R35"/>
    <mergeCell ref="O36:R36"/>
    <mergeCell ref="S36:W36"/>
    <mergeCell ref="O37:R37"/>
    <mergeCell ref="S37:T37"/>
    <mergeCell ref="O38:R38"/>
    <mergeCell ref="O39:R39"/>
    <mergeCell ref="S39:T39"/>
    <mergeCell ref="O41:P41"/>
    <mergeCell ref="S41:T41"/>
    <mergeCell ref="S42:T42"/>
    <mergeCell ref="S43:T43"/>
    <mergeCell ref="S44:T44"/>
    <mergeCell ref="S45:T45"/>
    <mergeCell ref="D46:N46"/>
    <mergeCell ref="S46:T46"/>
    <mergeCell ref="T48:U48"/>
    <mergeCell ref="T49:U49"/>
  </mergeCells>
  <printOptions horizontalCentered="1" verticalCentered="1" headings="0" gridLines="0" gridLinesSet="1"/>
  <pageMargins left="0.747916666666667" right="0.747916666666667" top="0.9840277777777779" bottom="0.9840277777777779" header="0.5" footer="0.511805555555555"/>
  <pageSetup orientation="landscape" paperSize="1" scale="73" fitToHeight="1" fitToWidth="1" firstPageNumber="0" useFirstPageNumber="0" pageOrder="downThenOver" blackAndWhite="0" draft="0" horizontalDpi="300" verticalDpi="300" copies="1"/>
  <headerFooter differentOddEven="0" differentFirst="0">
    <oddHeader>&amp;C&amp;"Arial,Bold"&amp;12 ASKING 95%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Philip Caputo</dc:creator>
  <dc:language xmlns:dc="http://purl.org/dc/elements/1.1/">en-US</dc:language>
  <dcterms:created xmlns:dcterms="http://purl.org/dc/terms/" xmlns:xsi="http://www.w3.org/2001/XMLSchema-instance" xsi:type="dcterms:W3CDTF">2012-04-15T15:41:19Z</dcterms:created>
  <dcterms:modified xmlns:dcterms="http://purl.org/dc/terms/" xmlns:xsi="http://www.w3.org/2001/XMLSchema-instance" xsi:type="dcterms:W3CDTF">2020-06-13T08:29:29Z</dcterms:modified>
  <cp:revision>369</cp:revision>
  <cp:lastPrinted>2019-12-21T13:39:01Z</cp:lastPrinted>
</cp:coreProperties>
</file>