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odmi\Downloads\CFI\"/>
    </mc:Choice>
  </mc:AlternateContent>
  <xr:revisionPtr revIDLastSave="0" documentId="13_ncr:1_{9B85826C-F00B-4677-A5B3-3B992B519472}" xr6:coauthVersionLast="47" xr6:coauthVersionMax="47" xr10:uidLastSave="{00000000-0000-0000-0000-000000000000}"/>
  <bookViews>
    <workbookView xWindow="-108" yWindow="-108" windowWidth="23256" windowHeight="12456" tabRatio="675" firstSheet="2" activeTab="2" xr2:uid="{21AB530C-FBC9-4BFE-8A8F-51870A200511}"/>
  </bookViews>
  <sheets>
    <sheet name="Cover Page" sheetId="3" r:id="rId1"/>
    <sheet name="Basic Financial Analysis" sheetId="1" r:id="rId2"/>
    <sheet name="Advanced Financial Analysis" sheetId="4" r:id="rId3"/>
    <sheet name="Sheet3" sheetId="6" r:id="rId4"/>
    <sheet name="Extra Data --&gt;" sheetId="5" r:id="rId5"/>
    <sheet name="Research" sheetId="2" r:id="rId6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'Advanced Financial Analysis'!$A$1:$J$56</definedName>
    <definedName name="_xlnm.Print_Area" localSheetId="1">'Basic Financial Analysis'!$A$1:$J$56</definedName>
    <definedName name="_xlnm.Print_Area" localSheetId="0">'Cover Page'!$A$1:$P$25</definedName>
    <definedName name="Sensivity">'Advanced Financial Analysis'!$C$36</definedName>
    <definedName name="SG_A">'Advanced Financial Analysis'!$7:$7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4" l="1"/>
  <c r="I90" i="4"/>
  <c r="H90" i="4"/>
  <c r="G90" i="4"/>
  <c r="F90" i="4"/>
  <c r="E90" i="4"/>
  <c r="D90" i="4"/>
  <c r="J93" i="4"/>
  <c r="I93" i="4"/>
  <c r="H93" i="4"/>
  <c r="G93" i="4"/>
  <c r="F93" i="4"/>
  <c r="E93" i="4"/>
  <c r="D93" i="4"/>
  <c r="E97" i="4"/>
  <c r="F97" i="4"/>
  <c r="G97" i="4"/>
  <c r="H97" i="4"/>
  <c r="I97" i="4"/>
  <c r="J97" i="4"/>
  <c r="D97" i="4"/>
  <c r="E95" i="4"/>
  <c r="F95" i="4"/>
  <c r="G95" i="4"/>
  <c r="H95" i="4"/>
  <c r="I95" i="4"/>
  <c r="J95" i="4"/>
  <c r="D95" i="4"/>
  <c r="C21" i="6"/>
  <c r="D21" i="6"/>
  <c r="E21" i="6"/>
  <c r="C20" i="6"/>
  <c r="D20" i="6"/>
  <c r="E20" i="6"/>
  <c r="B21" i="6"/>
  <c r="B20" i="6"/>
  <c r="C19" i="6"/>
  <c r="D19" i="6"/>
  <c r="E19" i="6"/>
  <c r="B19" i="6"/>
  <c r="C18" i="6"/>
  <c r="D18" i="6"/>
  <c r="E18" i="6"/>
  <c r="B18" i="6"/>
  <c r="C17" i="6"/>
  <c r="D17" i="6"/>
  <c r="E17" i="6"/>
  <c r="B17" i="6"/>
  <c r="E91" i="4"/>
  <c r="F91" i="4"/>
  <c r="G91" i="4"/>
  <c r="H91" i="4"/>
  <c r="I91" i="4"/>
  <c r="J91" i="4"/>
  <c r="D91" i="4"/>
  <c r="E87" i="4"/>
  <c r="F87" i="4"/>
  <c r="G87" i="4"/>
  <c r="H87" i="4"/>
  <c r="I87" i="4"/>
  <c r="J87" i="4"/>
  <c r="E88" i="4"/>
  <c r="F88" i="4"/>
  <c r="G88" i="4"/>
  <c r="H88" i="4"/>
  <c r="I88" i="4"/>
  <c r="J88" i="4"/>
  <c r="D88" i="4"/>
  <c r="D87" i="4"/>
  <c r="E85" i="4"/>
  <c r="F85" i="4"/>
  <c r="G85" i="4"/>
  <c r="H85" i="4"/>
  <c r="I85" i="4"/>
  <c r="J85" i="4"/>
  <c r="D85" i="4"/>
  <c r="E84" i="4"/>
  <c r="F84" i="4"/>
  <c r="G84" i="4"/>
  <c r="H84" i="4"/>
  <c r="I84" i="4"/>
  <c r="J84" i="4"/>
  <c r="D84" i="4"/>
  <c r="H82" i="4"/>
  <c r="J82" i="4"/>
  <c r="E81" i="4"/>
  <c r="E82" i="4" s="1"/>
  <c r="F81" i="4"/>
  <c r="F82" i="4" s="1"/>
  <c r="G81" i="4"/>
  <c r="G82" i="4" s="1"/>
  <c r="H81" i="4"/>
  <c r="I81" i="4"/>
  <c r="I82" i="4" s="1"/>
  <c r="J81" i="4"/>
  <c r="D81" i="4"/>
  <c r="D82" i="4" s="1"/>
  <c r="E76" i="4"/>
  <c r="F76" i="4"/>
  <c r="G76" i="4"/>
  <c r="H76" i="4"/>
  <c r="I76" i="4"/>
  <c r="J76" i="4"/>
  <c r="J77" i="4" s="1"/>
  <c r="J79" i="4" s="1"/>
  <c r="D76" i="4"/>
  <c r="D79" i="4"/>
  <c r="D77" i="4"/>
  <c r="E75" i="4"/>
  <c r="F75" i="4"/>
  <c r="G75" i="4"/>
  <c r="H75" i="4"/>
  <c r="I75" i="4"/>
  <c r="J75" i="4"/>
  <c r="D75" i="4"/>
  <c r="E60" i="4"/>
  <c r="F60" i="4"/>
  <c r="G60" i="4"/>
  <c r="H60" i="4"/>
  <c r="I60" i="4"/>
  <c r="J60" i="4"/>
  <c r="D60" i="4"/>
  <c r="E64" i="4"/>
  <c r="E65" i="4"/>
  <c r="H65" i="4"/>
  <c r="J65" i="4"/>
  <c r="E66" i="4"/>
  <c r="E67" i="4"/>
  <c r="E68" i="4"/>
  <c r="D65" i="4"/>
  <c r="D66" i="4"/>
  <c r="D67" i="4"/>
  <c r="D68" i="4"/>
  <c r="D64" i="4"/>
  <c r="D72" i="4" s="1"/>
  <c r="D56" i="4"/>
  <c r="D59" i="4" s="1"/>
  <c r="E54" i="4"/>
  <c r="F54" i="4" s="1"/>
  <c r="F55" i="4" s="1"/>
  <c r="F58" i="4" s="1"/>
  <c r="D55" i="4"/>
  <c r="D58" i="4" s="1"/>
  <c r="A3" i="4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38" i="4"/>
  <c r="E38" i="4"/>
  <c r="D40" i="4"/>
  <c r="E40" i="4"/>
  <c r="D42" i="4"/>
  <c r="E42" i="4"/>
  <c r="D43" i="4"/>
  <c r="E43" i="4"/>
  <c r="D45" i="4"/>
  <c r="E45" i="4"/>
  <c r="E37" i="1"/>
  <c r="F37" i="1"/>
  <c r="G37" i="1"/>
  <c r="H37" i="1"/>
  <c r="I37" i="1"/>
  <c r="J37" i="1"/>
  <c r="E37" i="4"/>
  <c r="D37" i="1"/>
  <c r="D37" i="4"/>
  <c r="E25" i="4"/>
  <c r="E26" i="4"/>
  <c r="E28" i="4"/>
  <c r="E30" i="4"/>
  <c r="E31" i="4"/>
  <c r="E33" i="4"/>
  <c r="D26" i="4"/>
  <c r="D28" i="4"/>
  <c r="D30" i="4"/>
  <c r="D31" i="4"/>
  <c r="D33" i="4"/>
  <c r="D25" i="4"/>
  <c r="E20" i="4"/>
  <c r="D20" i="4"/>
  <c r="E19" i="4"/>
  <c r="D19" i="4"/>
  <c r="E18" i="4"/>
  <c r="D18" i="4"/>
  <c r="E17" i="4"/>
  <c r="D17" i="4"/>
  <c r="E16" i="4"/>
  <c r="J10" i="4"/>
  <c r="J43" i="4" s="1"/>
  <c r="I10" i="4"/>
  <c r="I43" i="4" s="1"/>
  <c r="H10" i="4"/>
  <c r="H43" i="4" s="1"/>
  <c r="G10" i="4"/>
  <c r="G67" i="4" s="1"/>
  <c r="F10" i="4"/>
  <c r="F67" i="4" s="1"/>
  <c r="J7" i="4"/>
  <c r="J40" i="4" s="1"/>
  <c r="I7" i="4"/>
  <c r="I40" i="4" s="1"/>
  <c r="H7" i="4"/>
  <c r="H40" i="4" s="1"/>
  <c r="G7" i="4"/>
  <c r="G40" i="4" s="1"/>
  <c r="F7" i="4"/>
  <c r="F40" i="4" s="1"/>
  <c r="E6" i="4"/>
  <c r="E8" i="4" s="1"/>
  <c r="E11" i="4" s="1"/>
  <c r="E44" i="4" s="1"/>
  <c r="D6" i="4"/>
  <c r="D8" i="4" s="1"/>
  <c r="D11" i="4" s="1"/>
  <c r="D44" i="4" s="1"/>
  <c r="F4" i="4"/>
  <c r="G4" i="4" s="1"/>
  <c r="G37" i="4" s="1"/>
  <c r="E1" i="4"/>
  <c r="F1" i="4" s="1"/>
  <c r="G1" i="4" s="1"/>
  <c r="H1" i="4" s="1"/>
  <c r="I1" i="4" s="1"/>
  <c r="J1" i="4" s="1"/>
  <c r="A52" i="4" s="1"/>
  <c r="G4" i="1"/>
  <c r="H4" i="1"/>
  <c r="I4" i="1" s="1"/>
  <c r="G5" i="1"/>
  <c r="G6" i="1" s="1"/>
  <c r="G8" i="1" s="1"/>
  <c r="G11" i="1" s="1"/>
  <c r="G7" i="1"/>
  <c r="H7" i="1"/>
  <c r="I7" i="1"/>
  <c r="J7" i="1"/>
  <c r="G9" i="1"/>
  <c r="G10" i="1"/>
  <c r="H10" i="1"/>
  <c r="I10" i="1"/>
  <c r="J10" i="1"/>
  <c r="F13" i="1"/>
  <c r="F12" i="1"/>
  <c r="F11" i="1"/>
  <c r="F10" i="1"/>
  <c r="F9" i="1"/>
  <c r="F8" i="1"/>
  <c r="F7" i="1"/>
  <c r="F6" i="1"/>
  <c r="F5" i="1"/>
  <c r="F4" i="1"/>
  <c r="E21" i="1"/>
  <c r="D21" i="1"/>
  <c r="E20" i="1"/>
  <c r="D20" i="1"/>
  <c r="E19" i="1"/>
  <c r="D17" i="1"/>
  <c r="D19" i="1"/>
  <c r="E18" i="1"/>
  <c r="D18" i="1"/>
  <c r="E17" i="1"/>
  <c r="E16" i="1"/>
  <c r="E6" i="1"/>
  <c r="E8" i="1" s="1"/>
  <c r="E11" i="1" s="1"/>
  <c r="E13" i="1" s="1"/>
  <c r="D6" i="1"/>
  <c r="D8" i="1" s="1"/>
  <c r="D11" i="1" s="1"/>
  <c r="D13" i="1" s="1"/>
  <c r="E1" i="1"/>
  <c r="F1" i="1" s="1"/>
  <c r="G1" i="1" s="1"/>
  <c r="H1" i="1" s="1"/>
  <c r="I1" i="1" s="1"/>
  <c r="J1" i="1" s="1"/>
  <c r="C16" i="3"/>
  <c r="C15" i="3"/>
  <c r="I77" i="4" l="1"/>
  <c r="I79" i="4" s="1"/>
  <c r="H77" i="4"/>
  <c r="H79" i="4" s="1"/>
  <c r="G77" i="4"/>
  <c r="G79" i="4" s="1"/>
  <c r="F77" i="4"/>
  <c r="F79" i="4" s="1"/>
  <c r="E77" i="4"/>
  <c r="E79" i="4" s="1"/>
  <c r="D71" i="4"/>
  <c r="G65" i="4"/>
  <c r="F65" i="4"/>
  <c r="D70" i="4"/>
  <c r="J67" i="4"/>
  <c r="E72" i="4"/>
  <c r="E70" i="4"/>
  <c r="E69" i="4"/>
  <c r="H67" i="4"/>
  <c r="F56" i="4"/>
  <c r="F59" i="4" s="1"/>
  <c r="E55" i="4"/>
  <c r="E58" i="4" s="1"/>
  <c r="E56" i="4"/>
  <c r="E59" i="4" s="1"/>
  <c r="I65" i="4"/>
  <c r="E71" i="4"/>
  <c r="D69" i="4"/>
  <c r="I67" i="4"/>
  <c r="G54" i="4"/>
  <c r="D48" i="4"/>
  <c r="D50" i="4" s="1"/>
  <c r="E48" i="4"/>
  <c r="E50" i="4" s="1"/>
  <c r="E32" i="4"/>
  <c r="G31" i="4"/>
  <c r="E39" i="4"/>
  <c r="F31" i="4"/>
  <c r="G25" i="4"/>
  <c r="D32" i="4"/>
  <c r="F28" i="4"/>
  <c r="F25" i="4"/>
  <c r="F43" i="4"/>
  <c r="D29" i="4"/>
  <c r="G43" i="4"/>
  <c r="D41" i="4"/>
  <c r="D27" i="4"/>
  <c r="D39" i="4"/>
  <c r="F37" i="4"/>
  <c r="E41" i="4"/>
  <c r="E29" i="4"/>
  <c r="G28" i="4"/>
  <c r="E27" i="4"/>
  <c r="F9" i="4"/>
  <c r="F66" i="4" s="1"/>
  <c r="F5" i="4"/>
  <c r="F64" i="4" s="1"/>
  <c r="E21" i="4"/>
  <c r="E13" i="4"/>
  <c r="D21" i="4"/>
  <c r="D13" i="4"/>
  <c r="H4" i="4"/>
  <c r="H28" i="4" s="1"/>
  <c r="G9" i="4"/>
  <c r="G66" i="4" s="1"/>
  <c r="G5" i="4"/>
  <c r="G64" i="4" s="1"/>
  <c r="G12" i="1"/>
  <c r="G13" i="1"/>
  <c r="I6" i="1"/>
  <c r="I8" i="1" s="1"/>
  <c r="I11" i="1" s="1"/>
  <c r="J4" i="1"/>
  <c r="I9" i="1"/>
  <c r="I5" i="1"/>
  <c r="H5" i="1"/>
  <c r="H6" i="1" s="1"/>
  <c r="H8" i="1" s="1"/>
  <c r="H11" i="1" s="1"/>
  <c r="H9" i="1"/>
  <c r="H54" i="4" l="1"/>
  <c r="G56" i="4"/>
  <c r="G59" i="4" s="1"/>
  <c r="G55" i="4"/>
  <c r="G58" i="4" s="1"/>
  <c r="H55" i="4"/>
  <c r="H58" i="4" s="1"/>
  <c r="F6" i="4"/>
  <c r="F48" i="4" s="1"/>
  <c r="F50" i="4" s="1"/>
  <c r="F38" i="4"/>
  <c r="F26" i="4"/>
  <c r="G6" i="4"/>
  <c r="G48" i="4" s="1"/>
  <c r="G50" i="4" s="1"/>
  <c r="G26" i="4"/>
  <c r="G38" i="4"/>
  <c r="F42" i="4"/>
  <c r="F30" i="4"/>
  <c r="E46" i="4"/>
  <c r="E34" i="4"/>
  <c r="G30" i="4"/>
  <c r="G42" i="4"/>
  <c r="H25" i="4"/>
  <c r="H37" i="4"/>
  <c r="D34" i="4"/>
  <c r="D46" i="4"/>
  <c r="H31" i="4"/>
  <c r="I4" i="4"/>
  <c r="H5" i="4"/>
  <c r="H64" i="4" s="1"/>
  <c r="H9" i="4"/>
  <c r="H66" i="4" s="1"/>
  <c r="J5" i="1"/>
  <c r="J6" i="1" s="1"/>
  <c r="J8" i="1" s="1"/>
  <c r="J11" i="1" s="1"/>
  <c r="J9" i="1"/>
  <c r="H12" i="1"/>
  <c r="H13" i="1" s="1"/>
  <c r="I12" i="1"/>
  <c r="I13" i="1"/>
  <c r="I54" i="4" l="1"/>
  <c r="H56" i="4"/>
  <c r="H59" i="4" s="1"/>
  <c r="H6" i="4"/>
  <c r="H48" i="4" s="1"/>
  <c r="H50" i="4" s="1"/>
  <c r="H26" i="4"/>
  <c r="H38" i="4"/>
  <c r="H42" i="4"/>
  <c r="H30" i="4"/>
  <c r="I37" i="4"/>
  <c r="I25" i="4"/>
  <c r="I31" i="4"/>
  <c r="I28" i="4"/>
  <c r="G8" i="4"/>
  <c r="G39" i="4"/>
  <c r="G27" i="4"/>
  <c r="F8" i="4"/>
  <c r="F39" i="4"/>
  <c r="F27" i="4"/>
  <c r="I9" i="4"/>
  <c r="I66" i="4" s="1"/>
  <c r="I5" i="4"/>
  <c r="I64" i="4" s="1"/>
  <c r="J4" i="4"/>
  <c r="J12" i="1"/>
  <c r="J13" i="1"/>
  <c r="J54" i="4" l="1"/>
  <c r="I56" i="4"/>
  <c r="I59" i="4" s="1"/>
  <c r="I55" i="4"/>
  <c r="I58" i="4" s="1"/>
  <c r="F41" i="4"/>
  <c r="F29" i="4"/>
  <c r="F11" i="4"/>
  <c r="J31" i="4"/>
  <c r="J37" i="4"/>
  <c r="J25" i="4"/>
  <c r="J28" i="4"/>
  <c r="I6" i="4"/>
  <c r="I48" i="4" s="1"/>
  <c r="I50" i="4" s="1"/>
  <c r="I26" i="4"/>
  <c r="I38" i="4"/>
  <c r="I42" i="4"/>
  <c r="I30" i="4"/>
  <c r="G41" i="4"/>
  <c r="G29" i="4"/>
  <c r="G11" i="4"/>
  <c r="H8" i="4"/>
  <c r="H39" i="4"/>
  <c r="H27" i="4"/>
  <c r="J5" i="4"/>
  <c r="J64" i="4" s="1"/>
  <c r="J9" i="4"/>
  <c r="J66" i="4" s="1"/>
  <c r="J55" i="4" l="1"/>
  <c r="J58" i="4" s="1"/>
  <c r="J56" i="4"/>
  <c r="J59" i="4" s="1"/>
  <c r="H41" i="4"/>
  <c r="H29" i="4"/>
  <c r="H11" i="4"/>
  <c r="J42" i="4"/>
  <c r="J30" i="4"/>
  <c r="I8" i="4"/>
  <c r="I27" i="4"/>
  <c r="I39" i="4"/>
  <c r="G32" i="4"/>
  <c r="G44" i="4"/>
  <c r="G12" i="4"/>
  <c r="G68" i="4" s="1"/>
  <c r="J6" i="4"/>
  <c r="J48" i="4" s="1"/>
  <c r="J26" i="4"/>
  <c r="J38" i="4"/>
  <c r="F12" i="4"/>
  <c r="F68" i="4" s="1"/>
  <c r="F32" i="4"/>
  <c r="F44" i="4"/>
  <c r="F69" i="4" l="1"/>
  <c r="F71" i="4"/>
  <c r="F72" i="4"/>
  <c r="F70" i="4"/>
  <c r="G71" i="4"/>
  <c r="G72" i="4"/>
  <c r="G69" i="4"/>
  <c r="G70" i="4"/>
  <c r="J50" i="4"/>
  <c r="C52" i="4"/>
  <c r="F13" i="4"/>
  <c r="F45" i="4"/>
  <c r="F33" i="4"/>
  <c r="I29" i="4"/>
  <c r="I41" i="4"/>
  <c r="I11" i="4"/>
  <c r="J8" i="4"/>
  <c r="J39" i="4"/>
  <c r="J27" i="4"/>
  <c r="G13" i="4"/>
  <c r="G33" i="4"/>
  <c r="G45" i="4"/>
  <c r="H12" i="4"/>
  <c r="H68" i="4" s="1"/>
  <c r="H32" i="4"/>
  <c r="H44" i="4"/>
  <c r="H69" i="4" l="1"/>
  <c r="H71" i="4"/>
  <c r="H72" i="4"/>
  <c r="H70" i="4"/>
  <c r="J29" i="4"/>
  <c r="J41" i="4"/>
  <c r="J11" i="4"/>
  <c r="H13" i="4"/>
  <c r="H33" i="4"/>
  <c r="H45" i="4"/>
  <c r="I12" i="4"/>
  <c r="I68" i="4" s="1"/>
  <c r="I44" i="4"/>
  <c r="I32" i="4"/>
  <c r="G46" i="4"/>
  <c r="G34" i="4"/>
  <c r="F46" i="4"/>
  <c r="F34" i="4"/>
  <c r="I72" i="4" l="1"/>
  <c r="I70" i="4"/>
  <c r="I69" i="4"/>
  <c r="I71" i="4"/>
  <c r="I33" i="4"/>
  <c r="I45" i="4"/>
  <c r="H34" i="4"/>
  <c r="H46" i="4"/>
  <c r="J12" i="4"/>
  <c r="J68" i="4" s="1"/>
  <c r="J32" i="4"/>
  <c r="J44" i="4"/>
  <c r="I13" i="4"/>
  <c r="J69" i="4" l="1"/>
  <c r="J70" i="4"/>
  <c r="J71" i="4"/>
  <c r="J72" i="4"/>
  <c r="I34" i="4"/>
  <c r="I46" i="4"/>
  <c r="J13" i="4"/>
  <c r="J33" i="4"/>
  <c r="J45" i="4"/>
  <c r="J46" i="4" l="1"/>
  <c r="J34" i="4"/>
</calcChain>
</file>

<file path=xl/sharedStrings.xml><?xml version="1.0" encoding="utf-8"?>
<sst xmlns="http://schemas.openxmlformats.org/spreadsheetml/2006/main" count="130" uniqueCount="66">
  <si>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</si>
  <si>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</si>
  <si>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</si>
  <si>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</si>
  <si>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</si>
  <si>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</si>
  <si>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</si>
  <si>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</si>
  <si>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</si>
  <si>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</si>
  <si>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</si>
  <si>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</si>
  <si>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</si>
  <si>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</si>
  <si>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</si>
  <si>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</si>
  <si>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</si>
  <si>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</si>
  <si>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</si>
  <si>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</si>
  <si>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</si>
  <si>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</si>
  <si>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USD $000'S</t>
  </si>
  <si>
    <t>Assumptions</t>
  </si>
  <si>
    <t>Revenue growth</t>
  </si>
  <si>
    <t>COGS % of revenue</t>
  </si>
  <si>
    <t>Depreciation % of revenue</t>
  </si>
  <si>
    <t>Tax rate</t>
  </si>
  <si>
    <t>Analysis</t>
  </si>
  <si>
    <t>Common size income statement</t>
  </si>
  <si>
    <t>% Change</t>
  </si>
  <si>
    <t>EBITDA Sensitivity</t>
  </si>
  <si>
    <t>Time periods</t>
  </si>
  <si>
    <t>Monthly Data</t>
  </si>
  <si>
    <t>Annual Data</t>
  </si>
  <si>
    <t>Monthly Period</t>
  </si>
  <si>
    <t>Annual Period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</si>
  <si>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</si>
  <si>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</si>
  <si>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</si>
  <si>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</si>
  <si>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</si>
  <si>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</si>
  <si>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</si>
  <si>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150 000</t>
  </si>
  <si>
    <t>if &gt;= 150 000</t>
  </si>
  <si>
    <t>Error Check</t>
  </si>
  <si>
    <t>Rounding (decimals)</t>
  </si>
  <si>
    <t>Rounding (multiples)</t>
  </si>
  <si>
    <t>Absolute</t>
  </si>
  <si>
    <t>Min</t>
  </si>
  <si>
    <t>Max</t>
  </si>
  <si>
    <t>Small</t>
  </si>
  <si>
    <t>Large</t>
  </si>
  <si>
    <t>Cost</t>
  </si>
  <si>
    <t>Cost of goods sold</t>
  </si>
  <si>
    <t>Research and development</t>
  </si>
  <si>
    <t>Sales and marketing</t>
  </si>
  <si>
    <t>General and administrative</t>
  </si>
  <si>
    <t>1. If the total expense is equal to or higher than 1,500,000.00, show </t>
  </si>
  <si>
    <t>     "High". Otherwise show "Low".</t>
  </si>
  <si>
    <t>2. Show the minimum of all the expenses listed</t>
  </si>
  <si>
    <t>3. Show the maximum of all the expenses listed</t>
  </si>
  <si>
    <t>4. Show the 2nd smallest of all the expenses listed</t>
  </si>
  <si>
    <t>5. Show the 3rd largest of all the expenses listed</t>
  </si>
  <si>
    <t>DIV/0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</si>
</sst>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&quot;A&quot;"/>
    <numFmt numFmtId="165" formatCode="0&quot;E&quot;"/>
    <numFmt numFmtId="166" formatCode="#,##0.0_ ;\-#,##0.0\ "/>
    <numFmt numFmtId="167" formatCode="0.0%"/>
    <numFmt numFmtId="170" formatCode="#,##0.000"/>
    <numFmt numFmtId="171" formatCode="#,##0.00_ ;\-#,##0.00\ "/>
    <numFmt numFmtId="172" formatCode="#,##0.000_ ;\-#,##0.0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2F5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D0CECE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/>
    <xf numFmtId="0" fontId="5" fillId="0" borderId="0" xfId="2" applyFont="1" applyProtection="1">
      <protection locked="0"/>
    </xf>
    <xf numFmtId="0" fontId="2" fillId="0" borderId="0" xfId="2" applyFont="1" applyAlignment="1">
      <alignment horizontal="right"/>
    </xf>
    <xf numFmtId="0" fontId="1" fillId="0" borderId="0" xfId="2" applyFont="1" applyProtection="1">
      <protection locked="0"/>
    </xf>
    <xf numFmtId="0" fontId="2" fillId="0" borderId="0" xfId="2" applyFont="1" applyProtection="1">
      <protection locked="0"/>
    </xf>
    <xf numFmtId="0" fontId="1" fillId="0" borderId="1" xfId="2" applyFont="1" applyBorder="1"/>
    <xf numFmtId="0" fontId="7" fillId="0" borderId="0" xfId="4" applyFont="1" applyFill="1" applyBorder="1"/>
    <xf numFmtId="0" fontId="8" fillId="3" borderId="0" xfId="2" applyFont="1" applyFill="1"/>
    <xf numFmtId="0" fontId="1" fillId="3" borderId="0" xfId="2" applyFont="1" applyFill="1"/>
    <xf numFmtId="0" fontId="1" fillId="4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11" fillId="5" borderId="0" xfId="0" applyFont="1" applyFill="1"/>
    <xf numFmtId="164" fontId="11" fillId="5" borderId="0" xfId="0" applyNumberFormat="1" applyFont="1" applyFill="1"/>
    <xf numFmtId="165" fontId="11" fillId="5" borderId="0" xfId="0" applyNumberFormat="1" applyFont="1" applyFill="1"/>
    <xf numFmtId="166" fontId="0" fillId="0" borderId="0" xfId="0" applyNumberFormat="1"/>
    <xf numFmtId="166" fontId="12" fillId="0" borderId="0" xfId="0" applyNumberFormat="1" applyFont="1"/>
    <xf numFmtId="167" fontId="0" fillId="0" borderId="0" xfId="5" applyNumberFormat="1" applyFont="1"/>
    <xf numFmtId="167" fontId="0" fillId="0" borderId="0" xfId="0" applyNumberFormat="1"/>
    <xf numFmtId="167" fontId="12" fillId="0" borderId="0" xfId="5" applyNumberFormat="1" applyFont="1"/>
    <xf numFmtId="167" fontId="12" fillId="0" borderId="0" xfId="0" applyNumberFormat="1" applyFont="1"/>
    <xf numFmtId="0" fontId="10" fillId="0" borderId="0" xfId="0" applyFont="1"/>
    <xf numFmtId="166" fontId="13" fillId="0" borderId="0" xfId="0" applyNumberFormat="1" applyFont="1"/>
    <xf numFmtId="166" fontId="10" fillId="0" borderId="0" xfId="0" applyNumberFormat="1" applyFont="1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0" fontId="2" fillId="0" borderId="2" xfId="0" applyFont="1" applyBorder="1"/>
    <xf numFmtId="0" fontId="10" fillId="0" borderId="2" xfId="0" applyFont="1" applyBorder="1"/>
    <xf numFmtId="166" fontId="10" fillId="0" borderId="2" xfId="0" applyNumberFormat="1" applyFont="1" applyBorder="1"/>
    <xf numFmtId="0" fontId="2" fillId="6" borderId="0" xfId="0" applyFont="1" applyFill="1"/>
    <xf numFmtId="0" fontId="0" fillId="6" borderId="0" xfId="0" applyFill="1"/>
    <xf numFmtId="9" fontId="0" fillId="0" borderId="0" xfId="5" applyFont="1"/>
    <xf numFmtId="9" fontId="12" fillId="0" borderId="1" xfId="5" applyFont="1" applyBorder="1"/>
    <xf numFmtId="165" fontId="11" fillId="5" borderId="3" xfId="0" applyNumberFormat="1" applyFont="1" applyFill="1" applyBorder="1"/>
    <xf numFmtId="0" fontId="0" fillId="6" borderId="3" xfId="0" applyFill="1" applyBorder="1"/>
    <xf numFmtId="166" fontId="10" fillId="0" borderId="3" xfId="0" applyNumberFormat="1" applyFont="1" applyBorder="1"/>
    <xf numFmtId="166" fontId="0" fillId="0" borderId="3" xfId="0" applyNumberFormat="1" applyBorder="1"/>
    <xf numFmtId="166" fontId="0" fillId="0" borderId="4" xfId="0" applyNumberFormat="1" applyBorder="1"/>
    <xf numFmtId="166" fontId="10" fillId="0" borderId="5" xfId="0" applyNumberFormat="1" applyFont="1" applyBorder="1"/>
    <xf numFmtId="0" fontId="0" fillId="0" borderId="3" xfId="0" applyBorder="1"/>
    <xf numFmtId="167" fontId="12" fillId="0" borderId="3" xfId="5" applyNumberFormat="1" applyFont="1" applyBorder="1"/>
    <xf numFmtId="167" fontId="12" fillId="0" borderId="3" xfId="0" applyNumberFormat="1" applyFont="1" applyBorder="1"/>
    <xf numFmtId="166" fontId="12" fillId="0" borderId="3" xfId="0" applyNumberFormat="1" applyFont="1" applyBorder="1"/>
    <xf numFmtId="167" fontId="0" fillId="0" borderId="3" xfId="5" applyNumberFormat="1" applyFont="1" applyBorder="1"/>
    <xf numFmtId="0" fontId="0" fillId="0" borderId="4" xfId="0" applyBorder="1"/>
    <xf numFmtId="0" fontId="10" fillId="0" borderId="1" xfId="0" applyFont="1" applyBorder="1"/>
    <xf numFmtId="0" fontId="14" fillId="0" borderId="0" xfId="0" applyFont="1"/>
    <xf numFmtId="9" fontId="0" fillId="0" borderId="0" xfId="0" applyNumberFormat="1"/>
    <xf numFmtId="14" fontId="0" fillId="0" borderId="0" xfId="0" applyNumberFormat="1"/>
    <xf numFmtId="14" fontId="12" fillId="0" borderId="0" xfId="0" applyNumberFormat="1" applyFont="1"/>
    <xf numFmtId="170" fontId="0" fillId="0" borderId="0" xfId="0" applyNumberFormat="1"/>
    <xf numFmtId="0" fontId="2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170" fontId="0" fillId="0" borderId="0" xfId="0" applyNumberFormat="1" applyAlignment="1">
      <alignment horizontal="right"/>
    </xf>
    <xf numFmtId="3" fontId="12" fillId="0" borderId="0" xfId="0" applyNumberFormat="1" applyFont="1"/>
    <xf numFmtId="0" fontId="0" fillId="0" borderId="0" xfId="0" applyAlignment="1">
      <alignment horizontal="right"/>
    </xf>
    <xf numFmtId="171" fontId="0" fillId="0" borderId="0" xfId="0" applyNumberFormat="1"/>
    <xf numFmtId="172" fontId="0" fillId="0" borderId="0" xfId="0" applyNumberFormat="1"/>
    <xf numFmtId="0" fontId="12" fillId="0" borderId="0" xfId="0" applyFont="1" applyAlignment="1">
      <alignment horizontal="center"/>
    </xf>
    <xf numFmtId="0" fontId="15" fillId="7" borderId="0" xfId="0" applyFont="1" applyFill="1"/>
    <xf numFmtId="0" fontId="16" fillId="0" borderId="0" xfId="0" applyFont="1"/>
    <xf numFmtId="0" fontId="17" fillId="0" borderId="0" xfId="0" applyFont="1"/>
    <xf numFmtId="0" fontId="17" fillId="0" borderId="6" xfId="0" applyFont="1" applyBorder="1"/>
    <xf numFmtId="4" fontId="18" fillId="0" borderId="6" xfId="0" applyNumberFormat="1" applyFont="1" applyBorder="1"/>
    <xf numFmtId="4" fontId="18" fillId="0" borderId="0" xfId="0" applyNumberFormat="1" applyFont="1"/>
    <xf numFmtId="0" fontId="18" fillId="0" borderId="0" xfId="0" applyFont="1"/>
    <xf numFmtId="0" fontId="18" fillId="0" borderId="6" xfId="0" applyFont="1" applyBorder="1"/>
    <xf numFmtId="4" fontId="16" fillId="0" borderId="6" xfId="0" applyNumberFormat="1" applyFont="1" applyBorder="1"/>
    <xf numFmtId="4" fontId="16" fillId="0" borderId="0" xfId="0" applyNumberFormat="1" applyFont="1"/>
    <xf numFmtId="0" fontId="16" fillId="0" borderId="6" xfId="0" applyFont="1" applyBorder="1"/>
    <xf numFmtId="0" fontId="16" fillId="8" borderId="6" xfId="0" applyFont="1" applyFill="1" applyBorder="1"/>
    <xf numFmtId="4" fontId="16" fillId="8" borderId="6" xfId="0" applyNumberFormat="1" applyFont="1" applyFill="1" applyBorder="1"/>
  </cellXfs>
  <cellStyles count="6"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  <cellStyle name="Percent" xfId="5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0000FF"/>
      <color rgb="FFFF9933"/>
      <color rgb="FF0033CC"/>
      <color rgb="FF132F52"/>
      <color rgb="FFED942D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0C3-5060-479C-8174-625F92ED4D59}">
  <dimension ref="B1:O45"/>
  <sheetViews>
    <sheetView showGridLines="0" topLeftCell="A7" zoomScaleNormal="100" workbookViewId="0">
      <selection activeCell="C14" sqref="C14"/>
    </sheetView>
  </sheetViews>
  <sheetFormatPr defaultColWidth="9.109375" defaultRowHeight="13.8" x14ac:dyDescent="0.25"/>
  <cols>
    <col min="1" max="2" width="11" style="3" customWidth="1"/>
    <col min="3" max="3" width="33.109375" style="3" customWidth="1"/>
    <col min="4" max="22" width="11" style="3" customWidth="1"/>
    <col min="23" max="25" width="9.109375" style="3"/>
    <col min="26" max="26" width="9.109375" style="3" customWidth="1"/>
    <col min="27" max="16384" width="9.109375" style="3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8.2" x14ac:dyDescent="0.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25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25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">
      <c r="B15" s="4"/>
      <c r="C15" s="14" t="str">
        <f ca="1">RIGHT(CELL("filename",'Basic Financial Analysis'!A1),LEN(CELL("filename",'Basic Financial Analysis'!A1))-FIND("]",CELL("filename",'Basic Financial Analysis'!A1)))</f>
        <v>Basic 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">
      <c r="B16" s="4"/>
      <c r="C16" s="15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25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25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25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25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25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25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25">
      <c r="B24" s="13"/>
      <c r="C24" s="11" t="s">
        <v>18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"/>
    </row>
    <row r="25" spans="2:15" ht="19.5" customHeight="1" x14ac:dyDescent="0.25">
      <c r="B25" s="13"/>
      <c r="C25" s="11" t="s">
        <v>19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3"/>
    </row>
    <row r="26" spans="2:15" ht="19.5" customHeight="1" x14ac:dyDescent="0.25">
      <c r="B26" s="13"/>
      <c r="C26" s="11" t="s">
        <v>20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3"/>
    </row>
    <row r="27" spans="2:15" ht="19.5" customHeight="1" x14ac:dyDescent="0.25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3"/>
    </row>
    <row r="28" spans="2:15" ht="19.5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B0F0"/>
  </sheetPr>
  <dimension ref="A1:J46"/>
  <sheetViews>
    <sheetView showGridLines="0" zoomScale="90" zoomScaleNormal="90" workbookViewId="0">
      <pane xSplit="2" ySplit="1" topLeftCell="C2" activePane="bottomRight" state="frozen"/>
      <selection activeCell="B50" sqref="B50"/>
      <selection pane="topRight" activeCell="B50" sqref="B50"/>
      <selection pane="bottomLeft" activeCell="B50" sqref="B50"/>
      <selection pane="bottomRight" activeCell="B50" sqref="B50"/>
    </sheetView>
  </sheetViews>
  <sheetFormatPr defaultColWidth="8.77734375" defaultRowHeight="14.4" x14ac:dyDescent="0.3"/>
  <cols>
    <col min="1" max="9" width="10.77734375" customWidth="1"/>
    <col min="10" max="10" width="10.77734375" style="44" customWidth="1"/>
  </cols>
  <sheetData>
    <row r="1" spans="1:10" ht="15.6" x14ac:dyDescent="0.3">
      <c r="A1" s="16" t="s">
        <v>22</v>
      </c>
      <c r="B1" s="16"/>
      <c r="C1" s="16"/>
      <c r="D1" s="17">
        <v>2016</v>
      </c>
      <c r="E1" s="17">
        <f>D1+1</f>
        <v>2017</v>
      </c>
      <c r="F1" s="18">
        <f t="shared" ref="F1:J1" si="0">E1+1</f>
        <v>2018</v>
      </c>
      <c r="G1" s="18">
        <f t="shared" si="0"/>
        <v>2019</v>
      </c>
      <c r="H1" s="18">
        <f t="shared" si="0"/>
        <v>2020</v>
      </c>
      <c r="I1" s="18">
        <f t="shared" si="0"/>
        <v>2021</v>
      </c>
      <c r="J1" s="38">
        <f t="shared" si="0"/>
        <v>2022</v>
      </c>
    </row>
    <row r="3" spans="1:10" x14ac:dyDescent="0.3">
      <c r="A3" s="2" t="s">
        <v>0</v>
      </c>
    </row>
    <row r="4" spans="1:10" x14ac:dyDescent="0.3">
      <c r="A4" s="2" t="s">
        <v>1</v>
      </c>
      <c r="B4" s="25"/>
      <c r="C4" s="25"/>
      <c r="D4" s="26">
        <v>150000</v>
      </c>
      <c r="E4" s="26">
        <v>165000</v>
      </c>
      <c r="F4" s="27">
        <f>E4*(1+F16)</f>
        <v>181500.00000000003</v>
      </c>
      <c r="G4" s="27">
        <f t="shared" ref="G4:J4" si="1">F4*(1+G16)</f>
        <v>199650.00000000006</v>
      </c>
      <c r="H4" s="27">
        <f t="shared" si="1"/>
        <v>219615.00000000009</v>
      </c>
      <c r="I4" s="27">
        <f t="shared" si="1"/>
        <v>241576.50000000012</v>
      </c>
      <c r="J4" s="40">
        <f t="shared" si="1"/>
        <v>265734.15000000014</v>
      </c>
    </row>
    <row r="5" spans="1:10" x14ac:dyDescent="0.3">
      <c r="A5" s="1" t="s">
        <v>2</v>
      </c>
      <c r="D5" s="20">
        <v>67500</v>
      </c>
      <c r="E5" s="20">
        <v>74250</v>
      </c>
      <c r="F5" s="19">
        <f>F4*F17</f>
        <v>81675.000000000015</v>
      </c>
      <c r="G5" s="19">
        <f t="shared" ref="G5:J5" si="2">G4*G17</f>
        <v>89842.500000000029</v>
      </c>
      <c r="H5" s="19">
        <f t="shared" si="2"/>
        <v>98826.750000000044</v>
      </c>
      <c r="I5" s="19">
        <f t="shared" si="2"/>
        <v>108709.42500000006</v>
      </c>
      <c r="J5" s="41">
        <f t="shared" si="2"/>
        <v>119580.36750000007</v>
      </c>
    </row>
    <row r="6" spans="1:10" x14ac:dyDescent="0.3">
      <c r="A6" s="28" t="s">
        <v>3</v>
      </c>
      <c r="B6" s="29"/>
      <c r="C6" s="29"/>
      <c r="D6" s="30">
        <f>D4-D5</f>
        <v>82500</v>
      </c>
      <c r="E6" s="30">
        <f>E4-E5</f>
        <v>90750</v>
      </c>
      <c r="F6" s="30">
        <f>F4-F5</f>
        <v>99825.000000000015</v>
      </c>
      <c r="G6" s="30">
        <f t="shared" ref="G6:J6" si="3">G4-G5</f>
        <v>109807.50000000003</v>
      </c>
      <c r="H6" s="30">
        <f t="shared" si="3"/>
        <v>120788.25000000004</v>
      </c>
      <c r="I6" s="30">
        <f t="shared" si="3"/>
        <v>132867.07500000007</v>
      </c>
      <c r="J6" s="42">
        <f t="shared" si="3"/>
        <v>146153.78250000009</v>
      </c>
    </row>
    <row r="7" spans="1:10" x14ac:dyDescent="0.3">
      <c r="A7" s="1" t="s">
        <v>4</v>
      </c>
      <c r="D7" s="20">
        <v>16500</v>
      </c>
      <c r="E7" s="20">
        <v>18150</v>
      </c>
      <c r="F7" s="19">
        <f>F18</f>
        <v>20000</v>
      </c>
      <c r="G7" s="19">
        <f t="shared" ref="G7:J7" si="4">G18</f>
        <v>20000</v>
      </c>
      <c r="H7" s="19">
        <f t="shared" si="4"/>
        <v>20000</v>
      </c>
      <c r="I7" s="19">
        <f t="shared" si="4"/>
        <v>20000</v>
      </c>
      <c r="J7" s="41">
        <f t="shared" si="4"/>
        <v>20000</v>
      </c>
    </row>
    <row r="8" spans="1:10" x14ac:dyDescent="0.3">
      <c r="A8" s="28" t="s">
        <v>5</v>
      </c>
      <c r="B8" s="29"/>
      <c r="C8" s="29"/>
      <c r="D8" s="30">
        <f>D6-D7</f>
        <v>66000</v>
      </c>
      <c r="E8" s="30">
        <f>E6-E7</f>
        <v>72600</v>
      </c>
      <c r="F8" s="30">
        <f>F6-F7</f>
        <v>79825.000000000015</v>
      </c>
      <c r="G8" s="30">
        <f t="shared" ref="G8:J8" si="5">G6-G7</f>
        <v>89807.500000000029</v>
      </c>
      <c r="H8" s="30">
        <f t="shared" si="5"/>
        <v>100788.25000000004</v>
      </c>
      <c r="I8" s="30">
        <f t="shared" si="5"/>
        <v>112867.07500000007</v>
      </c>
      <c r="J8" s="42">
        <f t="shared" si="5"/>
        <v>126153.78250000009</v>
      </c>
    </row>
    <row r="9" spans="1:10" x14ac:dyDescent="0.3">
      <c r="A9" s="1" t="s">
        <v>6</v>
      </c>
      <c r="D9" s="20">
        <v>6600</v>
      </c>
      <c r="E9" s="20">
        <v>7260</v>
      </c>
      <c r="F9" s="19">
        <f>F4*F19</f>
        <v>9075.0000000000018</v>
      </c>
      <c r="G9" s="19">
        <f t="shared" ref="G9:J9" si="6">G4*G19</f>
        <v>9982.5000000000036</v>
      </c>
      <c r="H9" s="19">
        <f t="shared" si="6"/>
        <v>10980.750000000005</v>
      </c>
      <c r="I9" s="19">
        <f t="shared" si="6"/>
        <v>12078.825000000006</v>
      </c>
      <c r="J9" s="41">
        <f t="shared" si="6"/>
        <v>13286.707500000008</v>
      </c>
    </row>
    <row r="10" spans="1:10" x14ac:dyDescent="0.3">
      <c r="A10" s="1" t="s">
        <v>7</v>
      </c>
      <c r="D10" s="20">
        <v>1000</v>
      </c>
      <c r="E10" s="20">
        <v>1000</v>
      </c>
      <c r="F10" s="19">
        <f>F20</f>
        <v>1000</v>
      </c>
      <c r="G10" s="19">
        <f t="shared" ref="G10:J10" si="7">G20</f>
        <v>1000</v>
      </c>
      <c r="H10" s="19">
        <f t="shared" si="7"/>
        <v>1000</v>
      </c>
      <c r="I10" s="19">
        <f t="shared" si="7"/>
        <v>1000</v>
      </c>
      <c r="J10" s="41">
        <f t="shared" si="7"/>
        <v>1000</v>
      </c>
    </row>
    <row r="11" spans="1:10" x14ac:dyDescent="0.3">
      <c r="A11" s="28" t="s">
        <v>8</v>
      </c>
      <c r="B11" s="29"/>
      <c r="C11" s="29"/>
      <c r="D11" s="30">
        <f>D8-D9-D10</f>
        <v>58400</v>
      </c>
      <c r="E11" s="30">
        <f>E8-E9-E10</f>
        <v>64340</v>
      </c>
      <c r="F11" s="30">
        <f>F8-F9-F10</f>
        <v>69750.000000000015</v>
      </c>
      <c r="G11" s="30">
        <f t="shared" ref="G11:J11" si="8">G8-G9-G10</f>
        <v>78825.000000000029</v>
      </c>
      <c r="H11" s="30">
        <f t="shared" si="8"/>
        <v>88807.500000000044</v>
      </c>
      <c r="I11" s="30">
        <f t="shared" si="8"/>
        <v>99788.250000000058</v>
      </c>
      <c r="J11" s="42">
        <f t="shared" si="8"/>
        <v>111867.07500000008</v>
      </c>
    </row>
    <row r="12" spans="1:10" x14ac:dyDescent="0.3">
      <c r="A12" s="1" t="s">
        <v>9</v>
      </c>
      <c r="D12" s="20">
        <v>17520</v>
      </c>
      <c r="E12" s="20">
        <v>19302</v>
      </c>
      <c r="F12" s="19">
        <f>F11*F21</f>
        <v>20925.000000000004</v>
      </c>
      <c r="G12" s="19">
        <f t="shared" ref="G12:J12" si="9">G11*G21</f>
        <v>23647.500000000007</v>
      </c>
      <c r="H12" s="19">
        <f t="shared" si="9"/>
        <v>26642.250000000011</v>
      </c>
      <c r="I12" s="19">
        <f t="shared" si="9"/>
        <v>29936.475000000017</v>
      </c>
      <c r="J12" s="41">
        <f t="shared" si="9"/>
        <v>33560.122500000027</v>
      </c>
    </row>
    <row r="13" spans="1:10" ht="15" thickBot="1" x14ac:dyDescent="0.35">
      <c r="A13" s="31" t="s">
        <v>10</v>
      </c>
      <c r="B13" s="32"/>
      <c r="C13" s="32"/>
      <c r="D13" s="33">
        <f>D11-D12</f>
        <v>40880</v>
      </c>
      <c r="E13" s="33">
        <f>E11-E12</f>
        <v>45038</v>
      </c>
      <c r="F13" s="33">
        <f>F11-F12</f>
        <v>48825.000000000015</v>
      </c>
      <c r="G13" s="33">
        <f t="shared" ref="G13:J13" si="10">G11-G12</f>
        <v>55177.500000000022</v>
      </c>
      <c r="H13" s="33">
        <f t="shared" si="10"/>
        <v>62165.250000000029</v>
      </c>
      <c r="I13" s="33">
        <f t="shared" si="10"/>
        <v>69851.775000000038</v>
      </c>
      <c r="J13" s="43">
        <f t="shared" si="10"/>
        <v>78306.952500000058</v>
      </c>
    </row>
    <row r="14" spans="1:10" ht="15" thickTop="1" x14ac:dyDescent="0.3">
      <c r="D14" s="19"/>
      <c r="E14" s="19"/>
    </row>
    <row r="15" spans="1:10" x14ac:dyDescent="0.3">
      <c r="A15" s="2" t="s">
        <v>23</v>
      </c>
    </row>
    <row r="16" spans="1:10" x14ac:dyDescent="0.3">
      <c r="A16" s="1" t="s">
        <v>24</v>
      </c>
      <c r="E16" s="21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45">
        <v>0.1</v>
      </c>
    </row>
    <row r="17" spans="1:10" x14ac:dyDescent="0.3">
      <c r="A17" s="1" t="s">
        <v>25</v>
      </c>
      <c r="D17" s="22">
        <f>D5/D4</f>
        <v>0.45</v>
      </c>
      <c r="E17" s="22">
        <f>E5/E4</f>
        <v>0.45</v>
      </c>
      <c r="F17" s="24">
        <v>0.45</v>
      </c>
      <c r="G17" s="24">
        <v>0.45</v>
      </c>
      <c r="H17" s="24">
        <v>0.45</v>
      </c>
      <c r="I17" s="24">
        <v>0.45</v>
      </c>
      <c r="J17" s="46">
        <v>0.45</v>
      </c>
    </row>
    <row r="18" spans="1:10" x14ac:dyDescent="0.3">
      <c r="A18" s="1" t="s">
        <v>4</v>
      </c>
      <c r="D18" s="19">
        <f>D7</f>
        <v>16500</v>
      </c>
      <c r="E18" s="19">
        <f>E7</f>
        <v>18150</v>
      </c>
      <c r="F18" s="20">
        <v>20000</v>
      </c>
      <c r="G18" s="20">
        <v>20000</v>
      </c>
      <c r="H18" s="20">
        <v>20000</v>
      </c>
      <c r="I18" s="20">
        <v>20000</v>
      </c>
      <c r="J18" s="47">
        <v>20000</v>
      </c>
    </row>
    <row r="19" spans="1:10" x14ac:dyDescent="0.3">
      <c r="A19" s="1" t="s">
        <v>26</v>
      </c>
      <c r="D19" s="22">
        <f>D9/D4</f>
        <v>4.3999999999999997E-2</v>
      </c>
      <c r="E19" s="22">
        <f>E9/E4</f>
        <v>4.3999999999999997E-2</v>
      </c>
      <c r="F19" s="24">
        <v>0.05</v>
      </c>
      <c r="G19" s="24">
        <v>0.05</v>
      </c>
      <c r="H19" s="24">
        <v>0.05</v>
      </c>
      <c r="I19" s="24">
        <v>0.05</v>
      </c>
      <c r="J19" s="46">
        <v>0.05</v>
      </c>
    </row>
    <row r="20" spans="1:10" x14ac:dyDescent="0.3">
      <c r="A20" s="1" t="s">
        <v>7</v>
      </c>
      <c r="D20" s="19">
        <f>D10</f>
        <v>1000</v>
      </c>
      <c r="E20" s="19">
        <f>E10</f>
        <v>1000</v>
      </c>
      <c r="F20" s="20">
        <v>1000</v>
      </c>
      <c r="G20" s="20">
        <v>1000</v>
      </c>
      <c r="H20" s="20">
        <v>1000</v>
      </c>
      <c r="I20" s="20">
        <v>1000</v>
      </c>
      <c r="J20" s="47">
        <v>1000</v>
      </c>
    </row>
    <row r="21" spans="1:10" x14ac:dyDescent="0.3">
      <c r="A21" s="1" t="s">
        <v>27</v>
      </c>
      <c r="D21" s="22">
        <f>D12/D11</f>
        <v>0.3</v>
      </c>
      <c r="E21" s="22">
        <f>E12/E11</f>
        <v>0.3</v>
      </c>
      <c r="F21" s="24">
        <v>0.3</v>
      </c>
      <c r="G21" s="24">
        <v>0.3</v>
      </c>
      <c r="H21" s="24">
        <v>0.3</v>
      </c>
      <c r="I21" s="24">
        <v>0.3</v>
      </c>
      <c r="J21" s="46">
        <v>0.3</v>
      </c>
    </row>
    <row r="36" spans="1:10" x14ac:dyDescent="0.3">
      <c r="A36" s="51"/>
      <c r="C36" s="52">
        <v>0.1</v>
      </c>
    </row>
    <row r="37" spans="1:10" x14ac:dyDescent="0.3">
      <c r="D37" s="19">
        <f>D4*(1+$C$36)</f>
        <v>165000</v>
      </c>
      <c r="E37" s="19">
        <f t="shared" ref="E37:J37" si="11">E4*(1+$C$36)</f>
        <v>181500.00000000003</v>
      </c>
      <c r="F37" s="19">
        <f t="shared" si="11"/>
        <v>199650.00000000006</v>
      </c>
      <c r="G37" s="19">
        <f t="shared" si="11"/>
        <v>219615.00000000009</v>
      </c>
      <c r="H37" s="19">
        <f t="shared" si="11"/>
        <v>241576.50000000012</v>
      </c>
      <c r="I37" s="19">
        <f t="shared" si="11"/>
        <v>265734.15000000014</v>
      </c>
      <c r="J37" s="19">
        <f t="shared" si="11"/>
        <v>292307.56500000018</v>
      </c>
    </row>
    <row r="38" spans="1:10" x14ac:dyDescent="0.3">
      <c r="D38" s="19">
        <f t="shared" ref="D38:J38" si="12">D5*(1+$C$36)</f>
        <v>74250</v>
      </c>
      <c r="E38" s="19">
        <f t="shared" si="12"/>
        <v>81675</v>
      </c>
      <c r="F38" s="19">
        <f t="shared" si="12"/>
        <v>89842.500000000029</v>
      </c>
      <c r="G38" s="19">
        <f t="shared" si="12"/>
        <v>98826.750000000044</v>
      </c>
      <c r="H38" s="19">
        <f t="shared" si="12"/>
        <v>108709.42500000006</v>
      </c>
      <c r="I38" s="19">
        <f t="shared" si="12"/>
        <v>119580.36750000008</v>
      </c>
      <c r="J38" s="19">
        <f t="shared" si="12"/>
        <v>131538.40425000008</v>
      </c>
    </row>
    <row r="39" spans="1:10" x14ac:dyDescent="0.3">
      <c r="D39" s="19">
        <f t="shared" ref="D39:J39" si="13">D6*(1+$C$36)</f>
        <v>90750.000000000015</v>
      </c>
      <c r="E39" s="19">
        <f t="shared" si="13"/>
        <v>99825.000000000015</v>
      </c>
      <c r="F39" s="19">
        <f t="shared" si="13"/>
        <v>109807.50000000003</v>
      </c>
      <c r="G39" s="19">
        <f t="shared" si="13"/>
        <v>120788.25000000004</v>
      </c>
      <c r="H39" s="19">
        <f t="shared" si="13"/>
        <v>132867.07500000007</v>
      </c>
      <c r="I39" s="19">
        <f t="shared" si="13"/>
        <v>146153.78250000009</v>
      </c>
      <c r="J39" s="19">
        <f t="shared" si="13"/>
        <v>160769.1607500001</v>
      </c>
    </row>
    <row r="40" spans="1:10" x14ac:dyDescent="0.3">
      <c r="D40" s="19">
        <f t="shared" ref="D40:J40" si="14">D7*(1+$C$36)</f>
        <v>18150</v>
      </c>
      <c r="E40" s="19">
        <f t="shared" si="14"/>
        <v>19965</v>
      </c>
      <c r="F40" s="19">
        <f t="shared" si="14"/>
        <v>22000</v>
      </c>
      <c r="G40" s="19">
        <f t="shared" si="14"/>
        <v>22000</v>
      </c>
      <c r="H40" s="19">
        <f t="shared" si="14"/>
        <v>22000</v>
      </c>
      <c r="I40" s="19">
        <f t="shared" si="14"/>
        <v>22000</v>
      </c>
      <c r="J40" s="19">
        <f t="shared" si="14"/>
        <v>22000</v>
      </c>
    </row>
    <row r="41" spans="1:10" x14ac:dyDescent="0.3">
      <c r="D41" s="19">
        <f t="shared" ref="D41:J41" si="15">D8*(1+$C$36)</f>
        <v>72600</v>
      </c>
      <c r="E41" s="19">
        <f t="shared" si="15"/>
        <v>79860</v>
      </c>
      <c r="F41" s="19">
        <f t="shared" si="15"/>
        <v>87807.500000000029</v>
      </c>
      <c r="G41" s="19">
        <f t="shared" si="15"/>
        <v>98788.250000000044</v>
      </c>
      <c r="H41" s="19">
        <f t="shared" si="15"/>
        <v>110867.07500000006</v>
      </c>
      <c r="I41" s="19">
        <f t="shared" si="15"/>
        <v>124153.78250000009</v>
      </c>
      <c r="J41" s="19">
        <f t="shared" si="15"/>
        <v>138769.1607500001</v>
      </c>
    </row>
    <row r="42" spans="1:10" x14ac:dyDescent="0.3">
      <c r="D42" s="19">
        <f t="shared" ref="D42:J42" si="16">D9*(1+$C$36)</f>
        <v>7260.0000000000009</v>
      </c>
      <c r="E42" s="19">
        <f t="shared" si="16"/>
        <v>7986.0000000000009</v>
      </c>
      <c r="F42" s="19">
        <f t="shared" si="16"/>
        <v>9982.5000000000036</v>
      </c>
      <c r="G42" s="19">
        <f t="shared" si="16"/>
        <v>10980.750000000005</v>
      </c>
      <c r="H42" s="19">
        <f t="shared" si="16"/>
        <v>12078.825000000006</v>
      </c>
      <c r="I42" s="19">
        <f t="shared" si="16"/>
        <v>13286.707500000008</v>
      </c>
      <c r="J42" s="19">
        <f t="shared" si="16"/>
        <v>14615.378250000009</v>
      </c>
    </row>
    <row r="43" spans="1:10" x14ac:dyDescent="0.3">
      <c r="D43" s="19">
        <f t="shared" ref="D43:J43" si="17">D10*(1+$C$36)</f>
        <v>1100</v>
      </c>
      <c r="E43" s="19">
        <f t="shared" si="17"/>
        <v>1100</v>
      </c>
      <c r="F43" s="19">
        <f t="shared" si="17"/>
        <v>1100</v>
      </c>
      <c r="G43" s="19">
        <f t="shared" si="17"/>
        <v>1100</v>
      </c>
      <c r="H43" s="19">
        <f t="shared" si="17"/>
        <v>1100</v>
      </c>
      <c r="I43" s="19">
        <f t="shared" si="17"/>
        <v>1100</v>
      </c>
      <c r="J43" s="19">
        <f t="shared" si="17"/>
        <v>1100</v>
      </c>
    </row>
    <row r="44" spans="1:10" x14ac:dyDescent="0.3">
      <c r="D44" s="19">
        <f t="shared" ref="D44:J44" si="18">D11*(1+$C$36)</f>
        <v>64240.000000000007</v>
      </c>
      <c r="E44" s="19">
        <f t="shared" si="18"/>
        <v>70774</v>
      </c>
      <c r="F44" s="19">
        <f t="shared" si="18"/>
        <v>76725.000000000029</v>
      </c>
      <c r="G44" s="19">
        <f t="shared" si="18"/>
        <v>86707.500000000044</v>
      </c>
      <c r="H44" s="19">
        <f t="shared" si="18"/>
        <v>97688.250000000058</v>
      </c>
      <c r="I44" s="19">
        <f t="shared" si="18"/>
        <v>109767.07500000007</v>
      </c>
      <c r="J44" s="19">
        <f t="shared" si="18"/>
        <v>123053.7825000001</v>
      </c>
    </row>
    <row r="45" spans="1:10" x14ac:dyDescent="0.3">
      <c r="D45" s="19">
        <f t="shared" ref="D45:J45" si="19">D12*(1+$C$36)</f>
        <v>19272</v>
      </c>
      <c r="E45" s="19">
        <f t="shared" si="19"/>
        <v>21232.2</v>
      </c>
      <c r="F45" s="19">
        <f t="shared" si="19"/>
        <v>23017.500000000007</v>
      </c>
      <c r="G45" s="19">
        <f t="shared" si="19"/>
        <v>26012.250000000011</v>
      </c>
      <c r="H45" s="19">
        <f t="shared" si="19"/>
        <v>29306.475000000013</v>
      </c>
      <c r="I45" s="19">
        <f t="shared" si="19"/>
        <v>32930.122500000019</v>
      </c>
      <c r="J45" s="19">
        <f t="shared" si="19"/>
        <v>36916.134750000034</v>
      </c>
    </row>
    <row r="46" spans="1:10" x14ac:dyDescent="0.3">
      <c r="D46" s="19">
        <f t="shared" ref="D46:J46" si="20">D13*(1+$C$36)</f>
        <v>44968</v>
      </c>
      <c r="E46" s="19">
        <f t="shared" si="20"/>
        <v>49541.8</v>
      </c>
      <c r="F46" s="19">
        <f t="shared" si="20"/>
        <v>53707.500000000022</v>
      </c>
      <c r="G46" s="19">
        <f t="shared" si="20"/>
        <v>60695.250000000029</v>
      </c>
      <c r="H46" s="19">
        <f t="shared" si="20"/>
        <v>68381.775000000038</v>
      </c>
      <c r="I46" s="19">
        <f t="shared" si="20"/>
        <v>76836.952500000043</v>
      </c>
      <c r="J46" s="19">
        <f t="shared" si="20"/>
        <v>86137.647750000076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5E44-EC68-423D-936C-A8E2C7CAA893}">
  <sheetPr>
    <tabColor rgb="FF00B0F0"/>
  </sheetPr>
  <dimension ref="A1:J97"/>
  <sheetViews>
    <sheetView showGridLines="0" tabSelected="1" zoomScale="75" zoomScaleNormal="80" workbookViewId="0">
      <pane xSplit="2" ySplit="1" topLeftCell="C70" activePane="bottomRight" state="frozen"/>
      <selection activeCell="F9" sqref="F9"/>
      <selection pane="topRight" activeCell="F9" sqref="F9"/>
      <selection pane="bottomLeft" activeCell="F9" sqref="F9"/>
      <selection pane="bottomRight" activeCell="C97" sqref="C97"/>
    </sheetView>
  </sheetViews>
  <sheetFormatPr defaultColWidth="8.77734375" defaultRowHeight="14.4" outlineLevelRow="1" x14ac:dyDescent="0.3"/>
  <cols>
    <col min="1" max="9" width="10.77734375" customWidth="1"/>
    <col min="10" max="10" width="10.77734375" style="44" customWidth="1"/>
  </cols>
  <sheetData>
    <row r="1" spans="1:10" ht="15.6" x14ac:dyDescent="0.3">
      <c r="A1" s="16" t="s">
        <v>22</v>
      </c>
      <c r="B1" s="16"/>
      <c r="C1" s="16"/>
      <c r="D1" s="17">
        <v>2016</v>
      </c>
      <c r="E1" s="17">
        <f>D1+1</f>
        <v>2017</v>
      </c>
      <c r="F1" s="18">
        <f t="shared" ref="F1:J1" si="0">E1+1</f>
        <v>2018</v>
      </c>
      <c r="G1" s="18">
        <f t="shared" si="0"/>
        <v>2019</v>
      </c>
      <c r="H1" s="18">
        <f t="shared" si="0"/>
        <v>2020</v>
      </c>
      <c r="I1" s="18">
        <f t="shared" si="0"/>
        <v>2021</v>
      </c>
      <c r="J1" s="38">
        <f t="shared" si="0"/>
        <v>2022</v>
      </c>
    </row>
    <row r="3" spans="1:10" x14ac:dyDescent="0.3">
      <c r="A3" s="34" t="str">
        <f>"Income Statement " &amp; A1</f>
        <v>Income Statement USD $000'S</v>
      </c>
      <c r="B3" s="35"/>
      <c r="C3" s="35"/>
      <c r="D3" s="35"/>
      <c r="E3" s="35"/>
      <c r="F3" s="35"/>
      <c r="G3" s="35"/>
      <c r="H3" s="35"/>
      <c r="I3" s="35"/>
      <c r="J3" s="39"/>
    </row>
    <row r="4" spans="1:10" outlineLevel="1" x14ac:dyDescent="0.3">
      <c r="A4" s="2" t="s">
        <v>1</v>
      </c>
      <c r="B4" s="25"/>
      <c r="C4" s="25"/>
      <c r="D4" s="26">
        <v>150000</v>
      </c>
      <c r="E4" s="26">
        <v>165000</v>
      </c>
      <c r="F4" s="27">
        <f>E4*(1+F16)</f>
        <v>181500.00000000003</v>
      </c>
      <c r="G4" s="27">
        <f t="shared" ref="G4:J4" si="1">F4*(1+G16)</f>
        <v>199650.00000000006</v>
      </c>
      <c r="H4" s="27">
        <f t="shared" si="1"/>
        <v>219615.00000000009</v>
      </c>
      <c r="I4" s="27">
        <f t="shared" si="1"/>
        <v>241576.50000000012</v>
      </c>
      <c r="J4" s="40">
        <f t="shared" si="1"/>
        <v>265734.15000000014</v>
      </c>
    </row>
    <row r="5" spans="1:10" outlineLevel="1" x14ac:dyDescent="0.3">
      <c r="A5" s="1" t="s">
        <v>2</v>
      </c>
      <c r="D5" s="20">
        <v>67500</v>
      </c>
      <c r="E5" s="20">
        <v>74250</v>
      </c>
      <c r="F5" s="19">
        <f>F4*F17</f>
        <v>81675.000000000015</v>
      </c>
      <c r="G5" s="19">
        <f t="shared" ref="G5:J5" si="2">G4*G17</f>
        <v>89842.500000000029</v>
      </c>
      <c r="H5" s="19">
        <f t="shared" si="2"/>
        <v>98826.750000000044</v>
      </c>
      <c r="I5" s="19">
        <f t="shared" si="2"/>
        <v>108709.42500000006</v>
      </c>
      <c r="J5" s="41">
        <f t="shared" si="2"/>
        <v>119580.36750000007</v>
      </c>
    </row>
    <row r="6" spans="1:10" outlineLevel="1" x14ac:dyDescent="0.3">
      <c r="A6" s="28" t="s">
        <v>3</v>
      </c>
      <c r="B6" s="29"/>
      <c r="C6" s="29"/>
      <c r="D6" s="30">
        <f>D4-D5</f>
        <v>82500</v>
      </c>
      <c r="E6" s="30">
        <f>E4-E5</f>
        <v>90750</v>
      </c>
      <c r="F6" s="30">
        <f>F4-F5</f>
        <v>99825.000000000015</v>
      </c>
      <c r="G6" s="30">
        <f t="shared" ref="G6:J6" si="3">G4-G5</f>
        <v>109807.50000000003</v>
      </c>
      <c r="H6" s="30">
        <f t="shared" si="3"/>
        <v>120788.25000000004</v>
      </c>
      <c r="I6" s="30">
        <f t="shared" si="3"/>
        <v>132867.07500000007</v>
      </c>
      <c r="J6" s="42">
        <f t="shared" si="3"/>
        <v>146153.78250000009</v>
      </c>
    </row>
    <row r="7" spans="1:10" outlineLevel="1" x14ac:dyDescent="0.3">
      <c r="A7" s="1" t="s">
        <v>4</v>
      </c>
      <c r="D7" s="20">
        <v>16500</v>
      </c>
      <c r="E7" s="20">
        <v>18150</v>
      </c>
      <c r="F7" s="19">
        <f>F18</f>
        <v>20000</v>
      </c>
      <c r="G7" s="19">
        <f t="shared" ref="G7:J7" si="4">G18</f>
        <v>20000</v>
      </c>
      <c r="H7" s="19">
        <f t="shared" si="4"/>
        <v>20000</v>
      </c>
      <c r="I7" s="19">
        <f t="shared" si="4"/>
        <v>20000</v>
      </c>
      <c r="J7" s="41">
        <f t="shared" si="4"/>
        <v>20000</v>
      </c>
    </row>
    <row r="8" spans="1:10" outlineLevel="1" x14ac:dyDescent="0.3">
      <c r="A8" s="28" t="s">
        <v>5</v>
      </c>
      <c r="B8" s="29"/>
      <c r="C8" s="29"/>
      <c r="D8" s="30">
        <f>D6-D7</f>
        <v>66000</v>
      </c>
      <c r="E8" s="30">
        <f>E6-E7</f>
        <v>72600</v>
      </c>
      <c r="F8" s="30">
        <f>F6-F7</f>
        <v>79825.000000000015</v>
      </c>
      <c r="G8" s="30">
        <f t="shared" ref="G8:J8" si="5">G6-G7</f>
        <v>89807.500000000029</v>
      </c>
      <c r="H8" s="30">
        <f t="shared" si="5"/>
        <v>100788.25000000004</v>
      </c>
      <c r="I8" s="30">
        <f t="shared" si="5"/>
        <v>112867.07500000007</v>
      </c>
      <c r="J8" s="42">
        <f t="shared" si="5"/>
        <v>126153.78250000009</v>
      </c>
    </row>
    <row r="9" spans="1:10" outlineLevel="1" x14ac:dyDescent="0.3">
      <c r="A9" s="1" t="s">
        <v>6</v>
      </c>
      <c r="D9" s="20">
        <v>6600</v>
      </c>
      <c r="E9" s="20">
        <v>7260</v>
      </c>
      <c r="F9" s="19">
        <f>F4*F19</f>
        <v>9075.0000000000018</v>
      </c>
      <c r="G9" s="19">
        <f t="shared" ref="G9:J9" si="6">G4*G19</f>
        <v>9982.5000000000036</v>
      </c>
      <c r="H9" s="19">
        <f t="shared" si="6"/>
        <v>10980.750000000005</v>
      </c>
      <c r="I9" s="19">
        <f t="shared" si="6"/>
        <v>12078.825000000006</v>
      </c>
      <c r="J9" s="41">
        <f t="shared" si="6"/>
        <v>13286.707500000008</v>
      </c>
    </row>
    <row r="10" spans="1:10" outlineLevel="1" x14ac:dyDescent="0.3">
      <c r="A10" s="1" t="s">
        <v>7</v>
      </c>
      <c r="D10" s="20">
        <v>1000</v>
      </c>
      <c r="E10" s="20">
        <v>1000</v>
      </c>
      <c r="F10" s="19">
        <f>F20</f>
        <v>1000</v>
      </c>
      <c r="G10" s="19">
        <f t="shared" ref="G10:J10" si="7">G20</f>
        <v>1000</v>
      </c>
      <c r="H10" s="19">
        <f t="shared" si="7"/>
        <v>1000</v>
      </c>
      <c r="I10" s="19">
        <f t="shared" si="7"/>
        <v>1000</v>
      </c>
      <c r="J10" s="41">
        <f t="shared" si="7"/>
        <v>1000</v>
      </c>
    </row>
    <row r="11" spans="1:10" outlineLevel="1" x14ac:dyDescent="0.3">
      <c r="A11" s="28" t="s">
        <v>8</v>
      </c>
      <c r="B11" s="29"/>
      <c r="C11" s="29"/>
      <c r="D11" s="30">
        <f>D8-D9-D10</f>
        <v>58400</v>
      </c>
      <c r="E11" s="30">
        <f>E8-E9-E10</f>
        <v>64340</v>
      </c>
      <c r="F11" s="30">
        <f>F8-F9-F10</f>
        <v>69750.000000000015</v>
      </c>
      <c r="G11" s="30">
        <f t="shared" ref="G11:J11" si="8">G8-G9-G10</f>
        <v>78825.000000000029</v>
      </c>
      <c r="H11" s="30">
        <f t="shared" si="8"/>
        <v>88807.500000000044</v>
      </c>
      <c r="I11" s="30">
        <f t="shared" si="8"/>
        <v>99788.250000000058</v>
      </c>
      <c r="J11" s="42">
        <f t="shared" si="8"/>
        <v>111867.07500000008</v>
      </c>
    </row>
    <row r="12" spans="1:10" outlineLevel="1" x14ac:dyDescent="0.3">
      <c r="A12" s="1" t="s">
        <v>9</v>
      </c>
      <c r="D12" s="20">
        <v>17520</v>
      </c>
      <c r="E12" s="20">
        <v>19302</v>
      </c>
      <c r="F12" s="19">
        <f>F11*F21</f>
        <v>20925.000000000004</v>
      </c>
      <c r="G12" s="19">
        <f t="shared" ref="G12:J12" si="9">G11*G21</f>
        <v>23647.500000000007</v>
      </c>
      <c r="H12" s="19">
        <f t="shared" si="9"/>
        <v>26642.250000000011</v>
      </c>
      <c r="I12" s="19">
        <f t="shared" si="9"/>
        <v>29936.475000000017</v>
      </c>
      <c r="J12" s="41">
        <f t="shared" si="9"/>
        <v>33560.122500000027</v>
      </c>
    </row>
    <row r="13" spans="1:10" ht="15" outlineLevel="1" thickBot="1" x14ac:dyDescent="0.35">
      <c r="A13" s="31" t="s">
        <v>10</v>
      </c>
      <c r="B13" s="32"/>
      <c r="C13" s="32"/>
      <c r="D13" s="33">
        <f>D11-D12</f>
        <v>40880</v>
      </c>
      <c r="E13" s="33">
        <f>E11-E12</f>
        <v>45038</v>
      </c>
      <c r="F13" s="33">
        <f>F11-F12</f>
        <v>48825.000000000015</v>
      </c>
      <c r="G13" s="33">
        <f t="shared" ref="G13:J13" si="10">G11-G12</f>
        <v>55177.500000000022</v>
      </c>
      <c r="H13" s="33">
        <f t="shared" si="10"/>
        <v>62165.250000000029</v>
      </c>
      <c r="I13" s="33">
        <f t="shared" si="10"/>
        <v>69851.775000000038</v>
      </c>
      <c r="J13" s="43">
        <f t="shared" si="10"/>
        <v>78306.952500000058</v>
      </c>
    </row>
    <row r="14" spans="1:10" ht="15" thickTop="1" x14ac:dyDescent="0.3">
      <c r="D14" s="19"/>
      <c r="E14" s="19"/>
    </row>
    <row r="15" spans="1:10" x14ac:dyDescent="0.3">
      <c r="A15" s="34" t="s">
        <v>23</v>
      </c>
      <c r="B15" s="35"/>
      <c r="C15" s="35"/>
      <c r="D15" s="35"/>
      <c r="E15" s="35"/>
      <c r="F15" s="35"/>
      <c r="G15" s="35"/>
      <c r="H15" s="35"/>
      <c r="I15" s="35"/>
      <c r="J15" s="39"/>
    </row>
    <row r="16" spans="1:10" outlineLevel="1" x14ac:dyDescent="0.3">
      <c r="A16" s="1" t="s">
        <v>24</v>
      </c>
      <c r="E16" s="21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45">
        <v>0.1</v>
      </c>
    </row>
    <row r="17" spans="1:10" outlineLevel="1" x14ac:dyDescent="0.3">
      <c r="A17" s="1" t="s">
        <v>25</v>
      </c>
      <c r="D17" s="22">
        <f>D5/D4</f>
        <v>0.45</v>
      </c>
      <c r="E17" s="22">
        <f>E5/E4</f>
        <v>0.45</v>
      </c>
      <c r="F17" s="24">
        <v>0.45</v>
      </c>
      <c r="G17" s="24">
        <v>0.45</v>
      </c>
      <c r="H17" s="24">
        <v>0.45</v>
      </c>
      <c r="I17" s="24">
        <v>0.45</v>
      </c>
      <c r="J17" s="46">
        <v>0.45</v>
      </c>
    </row>
    <row r="18" spans="1:10" outlineLevel="1" x14ac:dyDescent="0.3">
      <c r="A18" s="1" t="s">
        <v>4</v>
      </c>
      <c r="D18" s="19">
        <f>D7</f>
        <v>16500</v>
      </c>
      <c r="E18" s="19">
        <f>E7</f>
        <v>18150</v>
      </c>
      <c r="F18" s="20">
        <v>20000</v>
      </c>
      <c r="G18" s="20">
        <v>20000</v>
      </c>
      <c r="H18" s="20">
        <v>20000</v>
      </c>
      <c r="I18" s="20">
        <v>20000</v>
      </c>
      <c r="J18" s="47">
        <v>20000</v>
      </c>
    </row>
    <row r="19" spans="1:10" outlineLevel="1" x14ac:dyDescent="0.3">
      <c r="A19" s="1" t="s">
        <v>26</v>
      </c>
      <c r="D19" s="22">
        <f>D9/D4</f>
        <v>4.3999999999999997E-2</v>
      </c>
      <c r="E19" s="22">
        <f>E9/E4</f>
        <v>4.3999999999999997E-2</v>
      </c>
      <c r="F19" s="24">
        <v>0.05</v>
      </c>
      <c r="G19" s="24">
        <v>0.05</v>
      </c>
      <c r="H19" s="24">
        <v>0.05</v>
      </c>
      <c r="I19" s="24">
        <v>0.05</v>
      </c>
      <c r="J19" s="46">
        <v>0.05</v>
      </c>
    </row>
    <row r="20" spans="1:10" outlineLevel="1" x14ac:dyDescent="0.3">
      <c r="A20" s="1" t="s">
        <v>7</v>
      </c>
      <c r="D20" s="19">
        <f>D10</f>
        <v>1000</v>
      </c>
      <c r="E20" s="19">
        <f>E10</f>
        <v>1000</v>
      </c>
      <c r="F20" s="20">
        <v>1000</v>
      </c>
      <c r="G20" s="20">
        <v>1000</v>
      </c>
      <c r="H20" s="20">
        <v>1000</v>
      </c>
      <c r="I20" s="20">
        <v>1000</v>
      </c>
      <c r="J20" s="47">
        <v>1000</v>
      </c>
    </row>
    <row r="21" spans="1:10" outlineLevel="1" x14ac:dyDescent="0.3">
      <c r="A21" s="1" t="s">
        <v>27</v>
      </c>
      <c r="D21" s="22">
        <f>D12/D11</f>
        <v>0.3</v>
      </c>
      <c r="E21" s="22">
        <f>E12/E11</f>
        <v>0.3</v>
      </c>
      <c r="F21" s="24">
        <v>0.3</v>
      </c>
      <c r="G21" s="24">
        <v>0.3</v>
      </c>
      <c r="H21" s="24">
        <v>0.3</v>
      </c>
      <c r="I21" s="24">
        <v>0.3</v>
      </c>
      <c r="J21" s="46">
        <v>0.3</v>
      </c>
    </row>
    <row r="23" spans="1:10" x14ac:dyDescent="0.3">
      <c r="A23" s="34" t="s">
        <v>28</v>
      </c>
      <c r="B23" s="35"/>
      <c r="C23" s="35"/>
      <c r="D23" s="35"/>
      <c r="E23" s="35"/>
      <c r="F23" s="35"/>
      <c r="G23" s="35"/>
      <c r="H23" s="35"/>
      <c r="I23" s="35"/>
      <c r="J23" s="39"/>
    </row>
    <row r="24" spans="1:10" outlineLevel="1" x14ac:dyDescent="0.3">
      <c r="A24" s="2" t="s">
        <v>29</v>
      </c>
    </row>
    <row r="25" spans="1:10" outlineLevel="1" x14ac:dyDescent="0.3">
      <c r="A25" t="s">
        <v>1</v>
      </c>
      <c r="D25" s="21">
        <f>D4/D$4</f>
        <v>1</v>
      </c>
      <c r="E25" s="21">
        <f t="shared" ref="E25:J25" si="11">E4/E$4</f>
        <v>1</v>
      </c>
      <c r="F25" s="21">
        <f t="shared" si="11"/>
        <v>1</v>
      </c>
      <c r="G25" s="21">
        <f t="shared" si="11"/>
        <v>1</v>
      </c>
      <c r="H25" s="21">
        <f t="shared" si="11"/>
        <v>1</v>
      </c>
      <c r="I25" s="21">
        <f t="shared" si="11"/>
        <v>1</v>
      </c>
      <c r="J25" s="48">
        <f t="shared" si="11"/>
        <v>1</v>
      </c>
    </row>
    <row r="26" spans="1:10" outlineLevel="1" x14ac:dyDescent="0.3">
      <c r="A26" t="s">
        <v>2</v>
      </c>
      <c r="D26" s="21">
        <f t="shared" ref="D26:J34" si="12">D5/D$4</f>
        <v>0.45</v>
      </c>
      <c r="E26" s="21">
        <f t="shared" si="12"/>
        <v>0.45</v>
      </c>
      <c r="F26" s="21">
        <f t="shared" si="12"/>
        <v>0.45</v>
      </c>
      <c r="G26" s="21">
        <f t="shared" si="12"/>
        <v>0.45</v>
      </c>
      <c r="H26" s="21">
        <f t="shared" si="12"/>
        <v>0.45</v>
      </c>
      <c r="I26" s="21">
        <f t="shared" si="12"/>
        <v>0.45</v>
      </c>
      <c r="J26" s="48">
        <f t="shared" si="12"/>
        <v>0.45</v>
      </c>
    </row>
    <row r="27" spans="1:10" outlineLevel="1" x14ac:dyDescent="0.3">
      <c r="A27" t="s">
        <v>3</v>
      </c>
      <c r="D27" s="21">
        <f t="shared" si="12"/>
        <v>0.55000000000000004</v>
      </c>
      <c r="E27" s="21">
        <f t="shared" si="12"/>
        <v>0.55000000000000004</v>
      </c>
      <c r="F27" s="21">
        <f t="shared" si="12"/>
        <v>0.55000000000000004</v>
      </c>
      <c r="G27" s="21">
        <f t="shared" si="12"/>
        <v>0.54999999999999993</v>
      </c>
      <c r="H27" s="21">
        <f t="shared" si="12"/>
        <v>0.54999999999999993</v>
      </c>
      <c r="I27" s="21">
        <f t="shared" si="12"/>
        <v>0.55000000000000004</v>
      </c>
      <c r="J27" s="48">
        <f t="shared" si="12"/>
        <v>0.55000000000000004</v>
      </c>
    </row>
    <row r="28" spans="1:10" outlineLevel="1" x14ac:dyDescent="0.3">
      <c r="A28" t="s">
        <v>4</v>
      </c>
      <c r="D28" s="21">
        <f t="shared" si="12"/>
        <v>0.11</v>
      </c>
      <c r="E28" s="21">
        <f t="shared" si="12"/>
        <v>0.11</v>
      </c>
      <c r="F28" s="21">
        <f t="shared" si="12"/>
        <v>0.11019283746556473</v>
      </c>
      <c r="G28" s="21">
        <f t="shared" si="12"/>
        <v>0.100175306786877</v>
      </c>
      <c r="H28" s="21">
        <f t="shared" si="12"/>
        <v>9.1068460715342719E-2</v>
      </c>
      <c r="I28" s="21">
        <f t="shared" si="12"/>
        <v>8.2789509741220652E-2</v>
      </c>
      <c r="J28" s="48">
        <f t="shared" si="12"/>
        <v>7.5263190673836952E-2</v>
      </c>
    </row>
    <row r="29" spans="1:10" outlineLevel="1" x14ac:dyDescent="0.3">
      <c r="A29" t="s">
        <v>5</v>
      </c>
      <c r="D29" s="21">
        <f t="shared" si="12"/>
        <v>0.44</v>
      </c>
      <c r="E29" s="21">
        <f t="shared" si="12"/>
        <v>0.44</v>
      </c>
      <c r="F29" s="21">
        <f t="shared" si="12"/>
        <v>0.43980716253443525</v>
      </c>
      <c r="G29" s="21">
        <f t="shared" si="12"/>
        <v>0.44982469321312296</v>
      </c>
      <c r="H29" s="21">
        <f t="shared" si="12"/>
        <v>0.45893153928465724</v>
      </c>
      <c r="I29" s="21">
        <f t="shared" si="12"/>
        <v>0.46721049025877937</v>
      </c>
      <c r="J29" s="48">
        <f t="shared" si="12"/>
        <v>0.47473680932616308</v>
      </c>
    </row>
    <row r="30" spans="1:10" outlineLevel="1" x14ac:dyDescent="0.3">
      <c r="A30" t="s">
        <v>6</v>
      </c>
      <c r="D30" s="21">
        <f t="shared" si="12"/>
        <v>4.3999999999999997E-2</v>
      </c>
      <c r="E30" s="21">
        <f t="shared" si="12"/>
        <v>4.3999999999999997E-2</v>
      </c>
      <c r="F30" s="21">
        <f t="shared" si="12"/>
        <v>0.05</v>
      </c>
      <c r="G30" s="21">
        <f t="shared" si="12"/>
        <v>0.05</v>
      </c>
      <c r="H30" s="21">
        <f t="shared" si="12"/>
        <v>0.05</v>
      </c>
      <c r="I30" s="21">
        <f t="shared" si="12"/>
        <v>0.05</v>
      </c>
      <c r="J30" s="48">
        <f t="shared" si="12"/>
        <v>0.05</v>
      </c>
    </row>
    <row r="31" spans="1:10" outlineLevel="1" x14ac:dyDescent="0.3">
      <c r="A31" t="s">
        <v>7</v>
      </c>
      <c r="D31" s="21">
        <f t="shared" si="12"/>
        <v>6.6666666666666671E-3</v>
      </c>
      <c r="E31" s="21">
        <f t="shared" si="12"/>
        <v>6.0606060606060606E-3</v>
      </c>
      <c r="F31" s="21">
        <f t="shared" si="12"/>
        <v>5.5096418732782362E-3</v>
      </c>
      <c r="G31" s="21">
        <f t="shared" si="12"/>
        <v>5.00876533934385E-3</v>
      </c>
      <c r="H31" s="21">
        <f t="shared" si="12"/>
        <v>4.5534230357671358E-3</v>
      </c>
      <c r="I31" s="21">
        <f t="shared" si="12"/>
        <v>4.1394754870610322E-3</v>
      </c>
      <c r="J31" s="48">
        <f t="shared" si="12"/>
        <v>3.7631595336918475E-3</v>
      </c>
    </row>
    <row r="32" spans="1:10" outlineLevel="1" x14ac:dyDescent="0.3">
      <c r="A32" t="s">
        <v>8</v>
      </c>
      <c r="D32" s="21">
        <f t="shared" si="12"/>
        <v>0.38933333333333331</v>
      </c>
      <c r="E32" s="21">
        <f t="shared" si="12"/>
        <v>0.38993939393939392</v>
      </c>
      <c r="F32" s="21">
        <f t="shared" si="12"/>
        <v>0.38429752066115702</v>
      </c>
      <c r="G32" s="21">
        <f t="shared" si="12"/>
        <v>0.39481592787377917</v>
      </c>
      <c r="H32" s="21">
        <f t="shared" si="12"/>
        <v>0.40437811624889014</v>
      </c>
      <c r="I32" s="21">
        <f t="shared" si="12"/>
        <v>0.41307101477171831</v>
      </c>
      <c r="J32" s="48">
        <f t="shared" si="12"/>
        <v>0.42097364979247126</v>
      </c>
    </row>
    <row r="33" spans="1:10" outlineLevel="1" x14ac:dyDescent="0.3">
      <c r="A33" t="s">
        <v>9</v>
      </c>
      <c r="D33" s="21">
        <f t="shared" si="12"/>
        <v>0.1168</v>
      </c>
      <c r="E33" s="21">
        <f t="shared" si="12"/>
        <v>0.11698181818181819</v>
      </c>
      <c r="F33" s="21">
        <f t="shared" si="12"/>
        <v>0.11528925619834711</v>
      </c>
      <c r="G33" s="21">
        <f t="shared" si="12"/>
        <v>0.11844477836213374</v>
      </c>
      <c r="H33" s="21">
        <f t="shared" si="12"/>
        <v>0.12131343487466703</v>
      </c>
      <c r="I33" s="21">
        <f t="shared" si="12"/>
        <v>0.12392130443151549</v>
      </c>
      <c r="J33" s="48">
        <f t="shared" si="12"/>
        <v>0.12629209493774138</v>
      </c>
    </row>
    <row r="34" spans="1:10" outlineLevel="1" x14ac:dyDescent="0.3">
      <c r="A34" t="s">
        <v>10</v>
      </c>
      <c r="D34" s="21">
        <f t="shared" si="12"/>
        <v>0.27253333333333335</v>
      </c>
      <c r="E34" s="21">
        <f t="shared" si="12"/>
        <v>0.27295757575757573</v>
      </c>
      <c r="F34" s="21">
        <f t="shared" si="12"/>
        <v>0.26900826446280995</v>
      </c>
      <c r="G34" s="21">
        <f t="shared" si="12"/>
        <v>0.27637114951164543</v>
      </c>
      <c r="H34" s="21">
        <f t="shared" si="12"/>
        <v>0.28306468137422308</v>
      </c>
      <c r="I34" s="21">
        <f t="shared" si="12"/>
        <v>0.28914971034020281</v>
      </c>
      <c r="J34" s="48">
        <f t="shared" si="12"/>
        <v>0.29468155485472985</v>
      </c>
    </row>
    <row r="35" spans="1:10" outlineLevel="1" x14ac:dyDescent="0.3"/>
    <row r="36" spans="1:10" outlineLevel="1" x14ac:dyDescent="0.3">
      <c r="A36" s="50" t="s">
        <v>30</v>
      </c>
      <c r="B36" s="29"/>
      <c r="C36" s="37">
        <v>0.1</v>
      </c>
      <c r="D36" s="29"/>
      <c r="E36" s="29"/>
      <c r="F36" s="29"/>
      <c r="G36" s="29"/>
      <c r="H36" s="29"/>
      <c r="I36" s="29"/>
      <c r="J36" s="49"/>
    </row>
    <row r="37" spans="1:10" outlineLevel="1" x14ac:dyDescent="0.3">
      <c r="A37" t="s">
        <v>1</v>
      </c>
      <c r="C37" s="36"/>
      <c r="D37" s="19">
        <f>D4*(1+$C$36)</f>
        <v>165000</v>
      </c>
      <c r="E37" s="19">
        <f t="shared" ref="E37:J37" si="13">E4*(1+$C$36)</f>
        <v>181500.00000000003</v>
      </c>
      <c r="F37" s="19">
        <f t="shared" si="13"/>
        <v>199650.00000000006</v>
      </c>
      <c r="G37" s="19">
        <f t="shared" si="13"/>
        <v>219615.00000000009</v>
      </c>
      <c r="H37" s="19">
        <f t="shared" si="13"/>
        <v>241576.50000000012</v>
      </c>
      <c r="I37" s="19">
        <f t="shared" si="13"/>
        <v>265734.15000000014</v>
      </c>
      <c r="J37" s="19">
        <f t="shared" si="13"/>
        <v>292307.56500000018</v>
      </c>
    </row>
    <row r="38" spans="1:10" outlineLevel="1" x14ac:dyDescent="0.3">
      <c r="A38" t="s">
        <v>2</v>
      </c>
      <c r="D38" s="19">
        <f t="shared" ref="D38:J38" si="14">D5*(1+$C$36)</f>
        <v>74250</v>
      </c>
      <c r="E38" s="19">
        <f t="shared" si="14"/>
        <v>81675</v>
      </c>
      <c r="F38" s="19">
        <f t="shared" si="14"/>
        <v>89842.500000000029</v>
      </c>
      <c r="G38" s="19">
        <f t="shared" si="14"/>
        <v>98826.750000000044</v>
      </c>
      <c r="H38" s="19">
        <f t="shared" si="14"/>
        <v>108709.42500000006</v>
      </c>
      <c r="I38" s="19">
        <f t="shared" si="14"/>
        <v>119580.36750000008</v>
      </c>
      <c r="J38" s="19">
        <f t="shared" si="14"/>
        <v>131538.40425000008</v>
      </c>
    </row>
    <row r="39" spans="1:10" outlineLevel="1" x14ac:dyDescent="0.3">
      <c r="A39" t="s">
        <v>3</v>
      </c>
      <c r="D39" s="19">
        <f t="shared" ref="D39:J39" si="15">D6*(1+$C$36)</f>
        <v>90750.000000000015</v>
      </c>
      <c r="E39" s="19">
        <f t="shared" si="15"/>
        <v>99825.000000000015</v>
      </c>
      <c r="F39" s="19">
        <f t="shared" si="15"/>
        <v>109807.50000000003</v>
      </c>
      <c r="G39" s="19">
        <f t="shared" si="15"/>
        <v>120788.25000000004</v>
      </c>
      <c r="H39" s="19">
        <f t="shared" si="15"/>
        <v>132867.07500000007</v>
      </c>
      <c r="I39" s="19">
        <f t="shared" si="15"/>
        <v>146153.78250000009</v>
      </c>
      <c r="J39" s="19">
        <f t="shared" si="15"/>
        <v>160769.1607500001</v>
      </c>
    </row>
    <row r="40" spans="1:10" outlineLevel="1" x14ac:dyDescent="0.3">
      <c r="A40" t="s">
        <v>4</v>
      </c>
      <c r="D40" s="19">
        <f t="shared" ref="D40:J40" si="16">D7*(1+$C$36)</f>
        <v>18150</v>
      </c>
      <c r="E40" s="19">
        <f t="shared" si="16"/>
        <v>19965</v>
      </c>
      <c r="F40" s="19">
        <f t="shared" si="16"/>
        <v>22000</v>
      </c>
      <c r="G40" s="19">
        <f t="shared" si="16"/>
        <v>22000</v>
      </c>
      <c r="H40" s="19">
        <f t="shared" si="16"/>
        <v>22000</v>
      </c>
      <c r="I40" s="19">
        <f t="shared" si="16"/>
        <v>22000</v>
      </c>
      <c r="J40" s="19">
        <f t="shared" si="16"/>
        <v>22000</v>
      </c>
    </row>
    <row r="41" spans="1:10" outlineLevel="1" x14ac:dyDescent="0.3">
      <c r="A41" t="s">
        <v>5</v>
      </c>
      <c r="D41" s="19">
        <f t="shared" ref="D41:J41" si="17">D8*(1+$C$36)</f>
        <v>72600</v>
      </c>
      <c r="E41" s="19">
        <f t="shared" si="17"/>
        <v>79860</v>
      </c>
      <c r="F41" s="19">
        <f t="shared" si="17"/>
        <v>87807.500000000029</v>
      </c>
      <c r="G41" s="19">
        <f t="shared" si="17"/>
        <v>98788.250000000044</v>
      </c>
      <c r="H41" s="19">
        <f t="shared" si="17"/>
        <v>110867.07500000006</v>
      </c>
      <c r="I41" s="19">
        <f t="shared" si="17"/>
        <v>124153.78250000009</v>
      </c>
      <c r="J41" s="19">
        <f t="shared" si="17"/>
        <v>138769.1607500001</v>
      </c>
    </row>
    <row r="42" spans="1:10" outlineLevel="1" x14ac:dyDescent="0.3">
      <c r="A42" t="s">
        <v>6</v>
      </c>
      <c r="D42" s="19">
        <f t="shared" ref="D42:J42" si="18">D9*(1+$C$36)</f>
        <v>7260.0000000000009</v>
      </c>
      <c r="E42" s="19">
        <f t="shared" si="18"/>
        <v>7986.0000000000009</v>
      </c>
      <c r="F42" s="19">
        <f t="shared" si="18"/>
        <v>9982.5000000000036</v>
      </c>
      <c r="G42" s="19">
        <f t="shared" si="18"/>
        <v>10980.750000000005</v>
      </c>
      <c r="H42" s="19">
        <f t="shared" si="18"/>
        <v>12078.825000000006</v>
      </c>
      <c r="I42" s="19">
        <f t="shared" si="18"/>
        <v>13286.707500000008</v>
      </c>
      <c r="J42" s="19">
        <f t="shared" si="18"/>
        <v>14615.378250000009</v>
      </c>
    </row>
    <row r="43" spans="1:10" outlineLevel="1" x14ac:dyDescent="0.3">
      <c r="A43" t="s">
        <v>7</v>
      </c>
      <c r="D43" s="19">
        <f t="shared" ref="D43:J43" si="19">D10*(1+$C$36)</f>
        <v>1100</v>
      </c>
      <c r="E43" s="19">
        <f t="shared" si="19"/>
        <v>1100</v>
      </c>
      <c r="F43" s="19">
        <f t="shared" si="19"/>
        <v>1100</v>
      </c>
      <c r="G43" s="19">
        <f t="shared" si="19"/>
        <v>1100</v>
      </c>
      <c r="H43" s="19">
        <f t="shared" si="19"/>
        <v>1100</v>
      </c>
      <c r="I43" s="19">
        <f t="shared" si="19"/>
        <v>1100</v>
      </c>
      <c r="J43" s="19">
        <f t="shared" si="19"/>
        <v>1100</v>
      </c>
    </row>
    <row r="44" spans="1:10" outlineLevel="1" x14ac:dyDescent="0.3">
      <c r="A44" t="s">
        <v>8</v>
      </c>
      <c r="D44" s="19">
        <f t="shared" ref="D44:J44" si="20">D11*(1+$C$36)</f>
        <v>64240.000000000007</v>
      </c>
      <c r="E44" s="19">
        <f t="shared" si="20"/>
        <v>70774</v>
      </c>
      <c r="F44" s="19">
        <f t="shared" si="20"/>
        <v>76725.000000000029</v>
      </c>
      <c r="G44" s="19">
        <f t="shared" si="20"/>
        <v>86707.500000000044</v>
      </c>
      <c r="H44" s="19">
        <f t="shared" si="20"/>
        <v>97688.250000000058</v>
      </c>
      <c r="I44" s="19">
        <f t="shared" si="20"/>
        <v>109767.07500000007</v>
      </c>
      <c r="J44" s="19">
        <f t="shared" si="20"/>
        <v>123053.7825000001</v>
      </c>
    </row>
    <row r="45" spans="1:10" outlineLevel="1" x14ac:dyDescent="0.3">
      <c r="A45" t="s">
        <v>9</v>
      </c>
      <c r="D45" s="19">
        <f t="shared" ref="D45:J45" si="21">D12*(1+$C$36)</f>
        <v>19272</v>
      </c>
      <c r="E45" s="19">
        <f t="shared" si="21"/>
        <v>21232.2</v>
      </c>
      <c r="F45" s="19">
        <f t="shared" si="21"/>
        <v>23017.500000000007</v>
      </c>
      <c r="G45" s="19">
        <f t="shared" si="21"/>
        <v>26012.250000000011</v>
      </c>
      <c r="H45" s="19">
        <f t="shared" si="21"/>
        <v>29306.475000000013</v>
      </c>
      <c r="I45" s="19">
        <f t="shared" si="21"/>
        <v>32930.122500000019</v>
      </c>
      <c r="J45" s="19">
        <f t="shared" si="21"/>
        <v>36916.134750000034</v>
      </c>
    </row>
    <row r="46" spans="1:10" outlineLevel="1" x14ac:dyDescent="0.3">
      <c r="A46" t="s">
        <v>10</v>
      </c>
      <c r="D46" s="19">
        <f t="shared" ref="D46:J46" si="22">D13*(1+$C$36)</f>
        <v>44968</v>
      </c>
      <c r="E46" s="19">
        <f t="shared" si="22"/>
        <v>49541.8</v>
      </c>
      <c r="F46" s="19">
        <f t="shared" si="22"/>
        <v>53707.500000000022</v>
      </c>
      <c r="G46" s="19">
        <f t="shared" si="22"/>
        <v>60695.250000000029</v>
      </c>
      <c r="H46" s="19">
        <f t="shared" si="22"/>
        <v>68381.775000000038</v>
      </c>
      <c r="I46" s="19">
        <f t="shared" si="22"/>
        <v>76836.952500000043</v>
      </c>
      <c r="J46" s="19">
        <f t="shared" si="22"/>
        <v>86137.647750000076</v>
      </c>
    </row>
    <row r="47" spans="1:10" outlineLevel="1" x14ac:dyDescent="0.3"/>
    <row r="48" spans="1:10" outlineLevel="1" x14ac:dyDescent="0.3">
      <c r="A48" t="s">
        <v>5</v>
      </c>
      <c r="D48" s="19">
        <f>Gross_Profit-SG_A</f>
        <v>66000</v>
      </c>
      <c r="E48" s="19">
        <f>Gross_Profit-SG_A</f>
        <v>72600</v>
      </c>
      <c r="F48" s="19">
        <f>Gross_Profit-SG_A</f>
        <v>79825.000000000015</v>
      </c>
      <c r="G48" s="19">
        <f>Gross_Profit-SG_A</f>
        <v>89807.500000000029</v>
      </c>
      <c r="H48" s="19">
        <f>Gross_Profit-SG_A</f>
        <v>100788.25000000004</v>
      </c>
      <c r="I48" s="19">
        <f>Gross_Profit-SG_A</f>
        <v>112867.07500000007</v>
      </c>
      <c r="J48" s="19">
        <f>Gross_Profit-SG_A</f>
        <v>126153.78250000009</v>
      </c>
    </row>
    <row r="49" spans="1:10" outlineLevel="1" x14ac:dyDescent="0.3"/>
    <row r="50" spans="1:10" outlineLevel="1" x14ac:dyDescent="0.3">
      <c r="A50" t="s">
        <v>31</v>
      </c>
      <c r="D50" s="19">
        <f>D48*(1+Sensivity)</f>
        <v>72600</v>
      </c>
      <c r="E50" s="19">
        <f>E48*(1+Sensivity)</f>
        <v>79860</v>
      </c>
      <c r="F50" s="19">
        <f>F48*(1+Sensivity)</f>
        <v>87807.500000000029</v>
      </c>
      <c r="G50" s="19">
        <f>G48*(1+Sensivity)</f>
        <v>98788.250000000044</v>
      </c>
      <c r="H50" s="19">
        <f>H48*(1+Sensivity)</f>
        <v>110867.07500000006</v>
      </c>
      <c r="I50" s="19">
        <f>I48*(1+Sensivity)</f>
        <v>124153.78250000009</v>
      </c>
      <c r="J50" s="19">
        <f>J48*(1+Sensivity)</f>
        <v>138769.1607500001</v>
      </c>
    </row>
    <row r="51" spans="1:10" outlineLevel="1" x14ac:dyDescent="0.3"/>
    <row r="52" spans="1:10" outlineLevel="1" x14ac:dyDescent="0.3">
      <c r="A52" t="str">
        <f>A48&amp;" in " &amp;J1</f>
        <v>EBITDA in 2022</v>
      </c>
      <c r="C52" s="19">
        <f>J48</f>
        <v>126153.78250000009</v>
      </c>
    </row>
    <row r="54" spans="1:10" x14ac:dyDescent="0.3">
      <c r="A54" s="25" t="s">
        <v>32</v>
      </c>
      <c r="C54" s="54">
        <v>44962</v>
      </c>
      <c r="D54" s="58">
        <v>0</v>
      </c>
      <c r="E54">
        <f>+D54+1</f>
        <v>1</v>
      </c>
      <c r="F54">
        <f>E54+1</f>
        <v>2</v>
      </c>
      <c r="G54">
        <f t="shared" ref="G54:J54" si="23">F54+1</f>
        <v>3</v>
      </c>
      <c r="H54">
        <f t="shared" si="23"/>
        <v>4</v>
      </c>
      <c r="I54">
        <f t="shared" si="23"/>
        <v>5</v>
      </c>
      <c r="J54">
        <f t="shared" si="23"/>
        <v>6</v>
      </c>
    </row>
    <row r="55" spans="1:10" x14ac:dyDescent="0.3">
      <c r="A55" t="s">
        <v>33</v>
      </c>
      <c r="D55" s="53">
        <f>EOMONTH($C$54,D54)</f>
        <v>44985</v>
      </c>
      <c r="E55" s="53">
        <f>EOMONTH($C$54,E54)</f>
        <v>45016</v>
      </c>
      <c r="F55" s="53">
        <f>EOMONTH($C$54,F54)</f>
        <v>45046</v>
      </c>
      <c r="G55" s="53">
        <f>EOMONTH($C$54,G54)</f>
        <v>45077</v>
      </c>
      <c r="H55" s="53">
        <f>EOMONTH($C$54,H54)</f>
        <v>45107</v>
      </c>
      <c r="I55" s="53">
        <f>EOMONTH($C$54,I54)</f>
        <v>45138</v>
      </c>
      <c r="J55" s="53">
        <f>EOMONTH($C$54,J54)</f>
        <v>45169</v>
      </c>
    </row>
    <row r="56" spans="1:10" x14ac:dyDescent="0.3">
      <c r="A56" t="s">
        <v>34</v>
      </c>
      <c r="D56" s="53">
        <f>DATE(YEAR($C$54)+D54,12,31)</f>
        <v>45291</v>
      </c>
      <c r="E56" s="53">
        <f t="shared" ref="E56:J56" si="24">DATE(YEAR($C$54)+E54,12,31)</f>
        <v>45657</v>
      </c>
      <c r="F56" s="53">
        <f t="shared" si="24"/>
        <v>46022</v>
      </c>
      <c r="G56" s="53">
        <f t="shared" si="24"/>
        <v>46387</v>
      </c>
      <c r="H56" s="53">
        <f t="shared" si="24"/>
        <v>46752</v>
      </c>
      <c r="I56" s="53">
        <f t="shared" si="24"/>
        <v>47118</v>
      </c>
      <c r="J56" s="53">
        <f t="shared" si="24"/>
        <v>47483</v>
      </c>
    </row>
    <row r="58" spans="1:10" x14ac:dyDescent="0.3">
      <c r="A58" t="s">
        <v>35</v>
      </c>
      <c r="D58" s="55">
        <f>YEARFRAC($C$54,D55)</f>
        <v>6.3888888888888884E-2</v>
      </c>
      <c r="E58" s="55">
        <f t="shared" ref="E58:J59" si="25">YEARFRAC($C$54,E55)</f>
        <v>0.15555555555555556</v>
      </c>
      <c r="F58" s="55">
        <f t="shared" si="25"/>
        <v>0.2361111111111111</v>
      </c>
      <c r="G58" s="55">
        <f t="shared" si="25"/>
        <v>0.32222222222222224</v>
      </c>
      <c r="H58" s="55">
        <f t="shared" si="25"/>
        <v>0.40277777777777779</v>
      </c>
      <c r="I58" s="55">
        <f t="shared" si="25"/>
        <v>0.48888888888888887</v>
      </c>
      <c r="J58" s="55">
        <f t="shared" si="25"/>
        <v>0.57222222222222219</v>
      </c>
    </row>
    <row r="59" spans="1:10" x14ac:dyDescent="0.3">
      <c r="A59" t="s">
        <v>36</v>
      </c>
      <c r="D59" s="55">
        <f>YEARFRAC($C$54,D56)</f>
        <v>0.90555555555555556</v>
      </c>
      <c r="E59" s="55">
        <f t="shared" si="25"/>
        <v>1.9055555555555554</v>
      </c>
      <c r="F59" s="55">
        <f t="shared" si="25"/>
        <v>2.9055555555555554</v>
      </c>
      <c r="G59" s="55">
        <f t="shared" si="25"/>
        <v>3.9055555555555554</v>
      </c>
      <c r="H59" s="55">
        <f t="shared" si="25"/>
        <v>4.9055555555555559</v>
      </c>
      <c r="I59" s="55">
        <f t="shared" si="25"/>
        <v>5.9055555555555559</v>
      </c>
      <c r="J59" s="55">
        <f t="shared" si="25"/>
        <v>6.9055555555555559</v>
      </c>
    </row>
    <row r="60" spans="1:10" x14ac:dyDescent="0.3">
      <c r="A60" t="s">
        <v>42</v>
      </c>
      <c r="D60" s="59" t="str">
        <f>IF(D59&lt;1,"Stub","Full Year")</f>
        <v>Stub</v>
      </c>
      <c r="E60" s="59" t="str">
        <f t="shared" ref="E60:J60" si="26">IF(E59&lt;1,"Stub","Full Year")</f>
        <v>Full Year</v>
      </c>
      <c r="F60" s="59" t="str">
        <f t="shared" si="26"/>
        <v>Full Year</v>
      </c>
      <c r="G60" s="59" t="str">
        <f t="shared" si="26"/>
        <v>Full Year</v>
      </c>
      <c r="H60" s="59" t="str">
        <f t="shared" si="26"/>
        <v>Full Year</v>
      </c>
      <c r="I60" s="59" t="str">
        <f t="shared" si="26"/>
        <v>Full Year</v>
      </c>
      <c r="J60" s="59" t="str">
        <f t="shared" si="26"/>
        <v>Full Year</v>
      </c>
    </row>
    <row r="61" spans="1:10" x14ac:dyDescent="0.3">
      <c r="D61" s="55"/>
      <c r="E61" s="55"/>
      <c r="F61" s="55"/>
      <c r="G61" s="55"/>
      <c r="H61" s="55"/>
      <c r="I61" s="55"/>
      <c r="J61" s="55"/>
    </row>
    <row r="63" spans="1:10" x14ac:dyDescent="0.3">
      <c r="A63" s="25" t="s">
        <v>37</v>
      </c>
    </row>
    <row r="64" spans="1:10" x14ac:dyDescent="0.3">
      <c r="A64" s="1" t="s">
        <v>2</v>
      </c>
      <c r="C64" s="58">
        <v>10</v>
      </c>
      <c r="D64" s="19">
        <f>D5</f>
        <v>67500</v>
      </c>
      <c r="E64" s="19">
        <f t="shared" ref="E64:J64" si="27">E5</f>
        <v>74250</v>
      </c>
      <c r="F64" s="19">
        <f t="shared" si="27"/>
        <v>81675.000000000015</v>
      </c>
      <c r="G64" s="19">
        <f t="shared" si="27"/>
        <v>89842.500000000029</v>
      </c>
      <c r="H64" s="19">
        <f t="shared" si="27"/>
        <v>98826.750000000044</v>
      </c>
      <c r="I64" s="19">
        <f t="shared" si="27"/>
        <v>108709.42500000006</v>
      </c>
      <c r="J64" s="19">
        <f t="shared" si="27"/>
        <v>119580.36750000007</v>
      </c>
    </row>
    <row r="65" spans="1:10" x14ac:dyDescent="0.3">
      <c r="A65" s="1" t="s">
        <v>4</v>
      </c>
      <c r="C65" s="58">
        <v>12</v>
      </c>
      <c r="D65" s="19">
        <f>D7</f>
        <v>16500</v>
      </c>
      <c r="E65" s="19">
        <f t="shared" ref="E65:J65" si="28">E7</f>
        <v>18150</v>
      </c>
      <c r="F65" s="19">
        <f t="shared" si="28"/>
        <v>20000</v>
      </c>
      <c r="G65" s="19">
        <f t="shared" si="28"/>
        <v>20000</v>
      </c>
      <c r="H65" s="19">
        <f t="shared" si="28"/>
        <v>20000</v>
      </c>
      <c r="I65" s="19">
        <f t="shared" si="28"/>
        <v>20000</v>
      </c>
      <c r="J65" s="19">
        <f t="shared" si="28"/>
        <v>20000</v>
      </c>
    </row>
    <row r="66" spans="1:10" x14ac:dyDescent="0.3">
      <c r="A66" s="1" t="s">
        <v>6</v>
      </c>
      <c r="C66" s="58">
        <v>8</v>
      </c>
      <c r="D66" s="19">
        <f>D9</f>
        <v>6600</v>
      </c>
      <c r="E66" s="19">
        <f t="shared" ref="E66:J66" si="29">E9</f>
        <v>7260</v>
      </c>
      <c r="F66" s="19">
        <f t="shared" si="29"/>
        <v>9075.0000000000018</v>
      </c>
      <c r="G66" s="19">
        <f t="shared" si="29"/>
        <v>9982.5000000000036</v>
      </c>
      <c r="H66" s="19">
        <f t="shared" si="29"/>
        <v>10980.750000000005</v>
      </c>
      <c r="I66" s="19">
        <f t="shared" si="29"/>
        <v>12078.825000000006</v>
      </c>
      <c r="J66" s="19">
        <f t="shared" si="29"/>
        <v>13286.707500000008</v>
      </c>
    </row>
    <row r="67" spans="1:10" x14ac:dyDescent="0.3">
      <c r="A67" s="1" t="s">
        <v>7</v>
      </c>
      <c r="C67" s="58">
        <v>7</v>
      </c>
      <c r="D67" s="19">
        <f>D10</f>
        <v>1000</v>
      </c>
      <c r="E67" s="19">
        <f t="shared" ref="E67:J67" si="30">E10</f>
        <v>1000</v>
      </c>
      <c r="F67" s="19">
        <f t="shared" si="30"/>
        <v>1000</v>
      </c>
      <c r="G67" s="19">
        <f t="shared" si="30"/>
        <v>1000</v>
      </c>
      <c r="H67" s="19">
        <f t="shared" si="30"/>
        <v>1000</v>
      </c>
      <c r="I67" s="19">
        <f t="shared" si="30"/>
        <v>1000</v>
      </c>
      <c r="J67" s="19">
        <f t="shared" si="30"/>
        <v>1000</v>
      </c>
    </row>
    <row r="68" spans="1:10" x14ac:dyDescent="0.3">
      <c r="A68" s="1" t="s">
        <v>9</v>
      </c>
      <c r="C68" s="58">
        <v>15</v>
      </c>
      <c r="D68" s="19">
        <f>D12</f>
        <v>17520</v>
      </c>
      <c r="E68" s="19">
        <f t="shared" ref="E68:J68" si="31">E12</f>
        <v>19302</v>
      </c>
      <c r="F68" s="19">
        <f t="shared" si="31"/>
        <v>20925.000000000004</v>
      </c>
      <c r="G68" s="19">
        <f t="shared" si="31"/>
        <v>23647.500000000007</v>
      </c>
      <c r="H68" s="19">
        <f t="shared" si="31"/>
        <v>26642.250000000011</v>
      </c>
      <c r="I68" s="19">
        <f t="shared" si="31"/>
        <v>29936.475000000017</v>
      </c>
      <c r="J68" s="19">
        <f t="shared" si="31"/>
        <v>33560.122500000027</v>
      </c>
    </row>
    <row r="69" spans="1:10" x14ac:dyDescent="0.3">
      <c r="A69" s="56" t="s">
        <v>38</v>
      </c>
      <c r="B69" s="50"/>
      <c r="C69" s="50"/>
      <c r="D69" s="57">
        <f>SUM(D64:D68)</f>
        <v>109120</v>
      </c>
      <c r="E69" s="57">
        <f t="shared" ref="E69:J69" si="32">SUM(E64:E68)</f>
        <v>119962</v>
      </c>
      <c r="F69" s="57">
        <f t="shared" si="32"/>
        <v>132675.00000000003</v>
      </c>
      <c r="G69" s="57">
        <f t="shared" si="32"/>
        <v>144472.50000000003</v>
      </c>
      <c r="H69" s="57">
        <f t="shared" si="32"/>
        <v>157449.75000000006</v>
      </c>
      <c r="I69" s="57">
        <f t="shared" si="32"/>
        <v>171724.72500000006</v>
      </c>
      <c r="J69" s="57">
        <f t="shared" si="32"/>
        <v>187427.1975000001</v>
      </c>
    </row>
    <row r="70" spans="1:10" x14ac:dyDescent="0.3">
      <c r="A70" s="1" t="s">
        <v>39</v>
      </c>
      <c r="D70" s="63">
        <f>AVERAGE(D64:D68)</f>
        <v>21824</v>
      </c>
      <c r="E70" s="63">
        <f t="shared" ref="E70:J70" si="33">AVERAGE(E64:E68)</f>
        <v>23992.400000000001</v>
      </c>
      <c r="F70" s="63">
        <f t="shared" si="33"/>
        <v>26535.000000000007</v>
      </c>
      <c r="G70" s="63">
        <f t="shared" si="33"/>
        <v>28894.500000000007</v>
      </c>
      <c r="H70" s="63">
        <f t="shared" si="33"/>
        <v>31489.950000000012</v>
      </c>
      <c r="I70" s="63">
        <f t="shared" si="33"/>
        <v>34344.945000000014</v>
      </c>
      <c r="J70" s="63">
        <f t="shared" si="33"/>
        <v>37485.439500000022</v>
      </c>
    </row>
    <row r="71" spans="1:10" x14ac:dyDescent="0.3">
      <c r="A71" s="1" t="s">
        <v>40</v>
      </c>
      <c r="D71" s="63">
        <f>SUMPRODUCT($C$64:$C$68,D64:D68)/SUM($C$64:$C$68)</f>
        <v>22992.307692307691</v>
      </c>
      <c r="E71" s="63">
        <f t="shared" ref="E71:J71" si="34">SUMPRODUCT($C$64:$C$68,E64:E68)/SUM($C$64:$C$68)</f>
        <v>25286.73076923077</v>
      </c>
      <c r="F71" s="63">
        <f t="shared" si="34"/>
        <v>27888.942307692309</v>
      </c>
      <c r="G71" s="63">
        <f t="shared" si="34"/>
        <v>30384.567307692316</v>
      </c>
      <c r="H71" s="63">
        <f t="shared" si="34"/>
        <v>33129.754807692319</v>
      </c>
      <c r="I71" s="63">
        <f t="shared" si="34"/>
        <v>36149.46105769233</v>
      </c>
      <c r="J71" s="63">
        <f t="shared" si="34"/>
        <v>39471.137932692334</v>
      </c>
    </row>
    <row r="72" spans="1:10" x14ac:dyDescent="0.3">
      <c r="A72" s="1" t="s">
        <v>41</v>
      </c>
      <c r="D72" s="63">
        <f>MEDIAN(D64:D68)</f>
        <v>16500</v>
      </c>
      <c r="E72" s="63">
        <f t="shared" ref="E72:J72" si="35">MEDIAN(E64:E68)</f>
        <v>18150</v>
      </c>
      <c r="F72" s="63">
        <f t="shared" si="35"/>
        <v>20000</v>
      </c>
      <c r="G72" s="63">
        <f t="shared" si="35"/>
        <v>20000</v>
      </c>
      <c r="H72" s="63">
        <f t="shared" si="35"/>
        <v>20000</v>
      </c>
      <c r="I72" s="63">
        <f t="shared" si="35"/>
        <v>20000</v>
      </c>
      <c r="J72" s="63">
        <f t="shared" si="35"/>
        <v>20000</v>
      </c>
    </row>
    <row r="74" spans="1:10" x14ac:dyDescent="0.3">
      <c r="A74" s="1" t="s">
        <v>43</v>
      </c>
    </row>
    <row r="75" spans="1:10" x14ac:dyDescent="0.3">
      <c r="A75" s="1" t="s">
        <v>44</v>
      </c>
      <c r="C75" s="60">
        <v>150000</v>
      </c>
      <c r="D75" s="19">
        <f>IF(D69&lt;$C$75,D69,0)</f>
        <v>109120</v>
      </c>
      <c r="E75" s="19">
        <f t="shared" ref="E75:J75" si="36">IF(E69&lt;$C$75,E69,0)</f>
        <v>119962</v>
      </c>
      <c r="F75" s="19">
        <f t="shared" si="36"/>
        <v>132675.00000000003</v>
      </c>
      <c r="G75" s="19">
        <f t="shared" si="36"/>
        <v>144472.50000000003</v>
      </c>
      <c r="H75" s="19">
        <f t="shared" si="36"/>
        <v>0</v>
      </c>
      <c r="I75" s="19">
        <f t="shared" si="36"/>
        <v>0</v>
      </c>
      <c r="J75" s="19">
        <f t="shared" si="36"/>
        <v>0</v>
      </c>
    </row>
    <row r="76" spans="1:10" x14ac:dyDescent="0.3">
      <c r="A76" s="1" t="s">
        <v>45</v>
      </c>
      <c r="C76" s="60">
        <v>150000</v>
      </c>
      <c r="D76" s="19">
        <f>IF(D69&gt;=$C$76,D69,0)</f>
        <v>0</v>
      </c>
      <c r="E76" s="19">
        <f t="shared" ref="E76:J76" si="37">IF(E69&gt;=$C$76,E69,0)</f>
        <v>0</v>
      </c>
      <c r="F76" s="19">
        <f t="shared" si="37"/>
        <v>0</v>
      </c>
      <c r="G76" s="19">
        <f t="shared" si="37"/>
        <v>0</v>
      </c>
      <c r="H76" s="19">
        <f t="shared" si="37"/>
        <v>157449.75000000006</v>
      </c>
      <c r="I76" s="19">
        <f t="shared" si="37"/>
        <v>171724.72500000006</v>
      </c>
      <c r="J76" s="19">
        <f t="shared" si="37"/>
        <v>187427.1975000001</v>
      </c>
    </row>
    <row r="77" spans="1:10" x14ac:dyDescent="0.3">
      <c r="A77" s="56" t="s">
        <v>38</v>
      </c>
      <c r="B77" s="50"/>
      <c r="C77" s="50"/>
      <c r="D77" s="57">
        <f>SUM(D75:D76)</f>
        <v>109120</v>
      </c>
      <c r="E77" s="57">
        <f t="shared" ref="E77:J77" si="38">SUM(E75:E76)</f>
        <v>119962</v>
      </c>
      <c r="F77" s="57">
        <f t="shared" si="38"/>
        <v>132675.00000000003</v>
      </c>
      <c r="G77" s="57">
        <f t="shared" si="38"/>
        <v>144472.50000000003</v>
      </c>
      <c r="H77" s="57">
        <f t="shared" si="38"/>
        <v>157449.75000000006</v>
      </c>
      <c r="I77" s="57">
        <f t="shared" si="38"/>
        <v>171724.72500000006</v>
      </c>
      <c r="J77" s="57">
        <f t="shared" si="38"/>
        <v>187427.1975000001</v>
      </c>
    </row>
    <row r="79" spans="1:10" x14ac:dyDescent="0.3">
      <c r="A79" s="1" t="s">
        <v>46</v>
      </c>
      <c r="D79" s="61" t="str">
        <f>IF(D77=D69,"OK","ERROR")</f>
        <v>OK</v>
      </c>
      <c r="E79" s="61" t="str">
        <f t="shared" ref="E79:J79" si="39">IF(E77=E69,"OK","ERROR")</f>
        <v>OK</v>
      </c>
      <c r="F79" s="61" t="str">
        <f t="shared" si="39"/>
        <v>OK</v>
      </c>
      <c r="G79" s="61" t="str">
        <f t="shared" si="39"/>
        <v>OK</v>
      </c>
      <c r="H79" s="61" t="str">
        <f t="shared" si="39"/>
        <v>OK</v>
      </c>
      <c r="I79" s="61" t="str">
        <f t="shared" si="39"/>
        <v>OK</v>
      </c>
      <c r="J79" s="61" t="str">
        <f t="shared" si="39"/>
        <v>OK</v>
      </c>
    </row>
    <row r="81" spans="1:10" x14ac:dyDescent="0.3">
      <c r="A81" t="s">
        <v>47</v>
      </c>
      <c r="C81" s="64">
        <v>3</v>
      </c>
      <c r="D81" s="62">
        <f>ROUND(D71,$C$81)</f>
        <v>22992.308000000001</v>
      </c>
      <c r="E81" s="62">
        <f t="shared" ref="E81:J81" si="40">ROUND(E71,$C$81)</f>
        <v>25286.731</v>
      </c>
      <c r="F81" s="62">
        <f t="shared" si="40"/>
        <v>27888.941999999999</v>
      </c>
      <c r="G81" s="62">
        <f t="shared" si="40"/>
        <v>30384.566999999999</v>
      </c>
      <c r="H81" s="62">
        <f t="shared" si="40"/>
        <v>33129.754999999997</v>
      </c>
      <c r="I81" s="62">
        <f t="shared" si="40"/>
        <v>36149.461000000003</v>
      </c>
      <c r="J81" s="62">
        <f t="shared" si="40"/>
        <v>39471.137999999999</v>
      </c>
    </row>
    <row r="82" spans="1:10" x14ac:dyDescent="0.3">
      <c r="A82" t="s">
        <v>48</v>
      </c>
      <c r="C82" s="64">
        <v>10</v>
      </c>
      <c r="D82" s="62">
        <f>MROUND(D81,$C$82)</f>
        <v>22990</v>
      </c>
      <c r="E82" s="62">
        <f t="shared" ref="E82:K82" si="41">MROUND(E81,$C$82)</f>
        <v>25290</v>
      </c>
      <c r="F82" s="62">
        <f t="shared" si="41"/>
        <v>27890</v>
      </c>
      <c r="G82" s="62">
        <f t="shared" si="41"/>
        <v>30380</v>
      </c>
      <c r="H82" s="62">
        <f t="shared" si="41"/>
        <v>33130</v>
      </c>
      <c r="I82" s="62">
        <f t="shared" si="41"/>
        <v>36150</v>
      </c>
      <c r="J82" s="62">
        <f t="shared" si="41"/>
        <v>39470</v>
      </c>
    </row>
    <row r="84" spans="1:10" x14ac:dyDescent="0.3">
      <c r="A84" t="s">
        <v>49</v>
      </c>
      <c r="D84" s="19">
        <f>-D77</f>
        <v>-109120</v>
      </c>
      <c r="E84" s="19">
        <f t="shared" ref="E84:J84" si="42">-E77</f>
        <v>-119962</v>
      </c>
      <c r="F84" s="19">
        <f t="shared" si="42"/>
        <v>-132675.00000000003</v>
      </c>
      <c r="G84" s="19">
        <f t="shared" si="42"/>
        <v>-144472.50000000003</v>
      </c>
      <c r="H84" s="19">
        <f t="shared" si="42"/>
        <v>-157449.75000000006</v>
      </c>
      <c r="I84" s="19">
        <f t="shared" si="42"/>
        <v>-171724.72500000006</v>
      </c>
      <c r="J84" s="19">
        <f t="shared" si="42"/>
        <v>-187427.1975000001</v>
      </c>
    </row>
    <row r="85" spans="1:10" x14ac:dyDescent="0.3">
      <c r="D85">
        <f>ABS(D84)</f>
        <v>109120</v>
      </c>
      <c r="E85">
        <f t="shared" ref="E85:J85" si="43">ABS(E84)</f>
        <v>119962</v>
      </c>
      <c r="F85">
        <f t="shared" si="43"/>
        <v>132675.00000000003</v>
      </c>
      <c r="G85">
        <f t="shared" si="43"/>
        <v>144472.50000000003</v>
      </c>
      <c r="H85">
        <f t="shared" si="43"/>
        <v>157449.75000000006</v>
      </c>
      <c r="I85">
        <f t="shared" si="43"/>
        <v>171724.72500000006</v>
      </c>
      <c r="J85">
        <f t="shared" si="43"/>
        <v>187427.1975000001</v>
      </c>
    </row>
    <row r="87" spans="1:10" x14ac:dyDescent="0.3">
      <c r="A87" t="s">
        <v>50</v>
      </c>
      <c r="D87" s="19">
        <f>MIN(D64:D68)</f>
        <v>1000</v>
      </c>
      <c r="E87" s="19">
        <f t="shared" ref="E87:J87" si="44">MIN(E64:E68)</f>
        <v>1000</v>
      </c>
      <c r="F87" s="19">
        <f t="shared" si="44"/>
        <v>1000</v>
      </c>
      <c r="G87" s="19">
        <f t="shared" si="44"/>
        <v>1000</v>
      </c>
      <c r="H87" s="19">
        <f t="shared" si="44"/>
        <v>1000</v>
      </c>
      <c r="I87" s="19">
        <f t="shared" si="44"/>
        <v>1000</v>
      </c>
      <c r="J87" s="19">
        <f t="shared" si="44"/>
        <v>1000</v>
      </c>
    </row>
    <row r="88" spans="1:10" x14ac:dyDescent="0.3">
      <c r="A88" t="s">
        <v>51</v>
      </c>
      <c r="D88" s="19">
        <f>MAX(D64:D68)</f>
        <v>67500</v>
      </c>
      <c r="E88" s="19">
        <f t="shared" ref="E88:J88" si="45">MAX(E64:E68)</f>
        <v>74250</v>
      </c>
      <c r="F88" s="19">
        <f t="shared" si="45"/>
        <v>81675.000000000015</v>
      </c>
      <c r="G88" s="19">
        <f t="shared" si="45"/>
        <v>89842.500000000029</v>
      </c>
      <c r="H88" s="19">
        <f t="shared" si="45"/>
        <v>98826.750000000044</v>
      </c>
      <c r="I88" s="19">
        <f t="shared" si="45"/>
        <v>108709.42500000006</v>
      </c>
      <c r="J88" s="19">
        <f t="shared" si="45"/>
        <v>119580.36750000007</v>
      </c>
    </row>
    <row r="90" spans="1:10" x14ac:dyDescent="0.3">
      <c r="A90" t="s">
        <v>52</v>
      </c>
      <c r="B90" s="64">
        <v>1</v>
      </c>
      <c r="C90" s="64">
        <v>2</v>
      </c>
      <c r="D90" s="19">
        <f>SMALL(D64:D68,$B$90)</f>
        <v>1000</v>
      </c>
      <c r="E90" s="19">
        <f>SMALL(E64:E68,$B$90)</f>
        <v>1000</v>
      </c>
      <c r="F90" s="19">
        <f>SMALL(F64:F68,$B$90)</f>
        <v>1000</v>
      </c>
      <c r="G90" s="19">
        <f>SMALL(G64:G68,$B$90)</f>
        <v>1000</v>
      </c>
      <c r="H90" s="19">
        <f>SMALL(H64:H68,$B$90)</f>
        <v>1000</v>
      </c>
      <c r="I90" s="19">
        <f>SMALL(I64:I68,$B$90)</f>
        <v>1000</v>
      </c>
      <c r="J90" s="19">
        <f>SMALL(J64:J68,$B$90)</f>
        <v>1000</v>
      </c>
    </row>
    <row r="91" spans="1:10" x14ac:dyDescent="0.3">
      <c r="A91" t="s">
        <v>53</v>
      </c>
      <c r="C91" s="64">
        <v>3</v>
      </c>
      <c r="D91" s="19">
        <f>LARGE(D64:D68,$C$91)</f>
        <v>16500</v>
      </c>
      <c r="E91" s="19">
        <f t="shared" ref="E91:J91" si="46">LARGE(E64:E68,$C$91)</f>
        <v>18150</v>
      </c>
      <c r="F91" s="19">
        <f t="shared" si="46"/>
        <v>20000</v>
      </c>
      <c r="G91" s="19">
        <f t="shared" si="46"/>
        <v>20000</v>
      </c>
      <c r="H91" s="19">
        <f t="shared" si="46"/>
        <v>20000</v>
      </c>
      <c r="I91" s="19">
        <f t="shared" si="46"/>
        <v>20000</v>
      </c>
      <c r="J91" s="19">
        <f t="shared" si="46"/>
        <v>20000</v>
      </c>
    </row>
    <row r="93" spans="1:10" x14ac:dyDescent="0.3">
      <c r="A93" t="s">
        <v>65</v>
      </c>
      <c r="C93" s="64">
        <v>0</v>
      </c>
      <c r="D93" s="19" t="str">
        <f>IFERROR((D77/$C$93),"NA")</f>
        <v>NA</v>
      </c>
      <c r="E93" s="19" t="str">
        <f t="shared" ref="E93:J93" si="47">IFERROR((E77/$C$93),"NA")</f>
        <v>NA</v>
      </c>
      <c r="F93" s="19" t="str">
        <f t="shared" si="47"/>
        <v>NA</v>
      </c>
      <c r="G93" s="19" t="str">
        <f t="shared" si="47"/>
        <v>NA</v>
      </c>
      <c r="H93" s="19" t="str">
        <f t="shared" si="47"/>
        <v>NA</v>
      </c>
      <c r="I93" s="19" t="str">
        <f t="shared" si="47"/>
        <v>NA</v>
      </c>
      <c r="J93" s="19" t="str">
        <f t="shared" si="47"/>
        <v>NA</v>
      </c>
    </row>
    <row r="94" spans="1:10" x14ac:dyDescent="0.3">
      <c r="J94"/>
    </row>
    <row r="95" spans="1:10" x14ac:dyDescent="0.3">
      <c r="A95" t="e">
        <v>#VALUE!</v>
      </c>
      <c r="D95" s="19">
        <f>IFERROR((D77/$C$93),0)</f>
        <v>0</v>
      </c>
      <c r="E95" s="19">
        <f t="shared" ref="E95:J95" si="48">IFERROR((E77/$C$93),0)</f>
        <v>0</v>
      </c>
      <c r="F95" s="19">
        <f t="shared" si="48"/>
        <v>0</v>
      </c>
      <c r="G95" s="19">
        <f t="shared" si="48"/>
        <v>0</v>
      </c>
      <c r="H95" s="19">
        <f t="shared" si="48"/>
        <v>0</v>
      </c>
      <c r="I95" s="19">
        <f t="shared" si="48"/>
        <v>0</v>
      </c>
      <c r="J95" s="19">
        <f t="shared" si="48"/>
        <v>0</v>
      </c>
    </row>
    <row r="97" spans="4:10" x14ac:dyDescent="0.3">
      <c r="D97" s="19">
        <f>D77+D95</f>
        <v>109120</v>
      </c>
      <c r="E97" s="19">
        <f t="shared" ref="E97:J97" si="49">E77+E95</f>
        <v>119962</v>
      </c>
      <c r="F97" s="19">
        <f t="shared" si="49"/>
        <v>132675.00000000003</v>
      </c>
      <c r="G97" s="19">
        <f t="shared" si="49"/>
        <v>144472.50000000003</v>
      </c>
      <c r="H97" s="19">
        <f t="shared" si="49"/>
        <v>157449.75000000006</v>
      </c>
      <c r="I97" s="19">
        <f t="shared" si="49"/>
        <v>171724.72500000006</v>
      </c>
      <c r="J97" s="19">
        <f t="shared" si="49"/>
        <v>187427.1975000001</v>
      </c>
    </row>
  </sheetData>
  <conditionalFormatting sqref="D25:J34">
    <cfRule type="cellIs" dxfId="2" priority="3" operator="lessThan">
      <formula>0.06</formula>
    </cfRule>
  </conditionalFormatting>
  <conditionalFormatting sqref="D48:J48">
    <cfRule type="cellIs" dxfId="1" priority="1" operator="greaterThan">
      <formula>90000</formula>
    </cfRule>
    <cfRule type="cellIs" dxfId="0" priority="2" operator="lessThan">
      <formula>90000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7B82-D772-435C-A56B-CF0D316181F8}">
  <dimension ref="A1:E21"/>
  <sheetViews>
    <sheetView zoomScale="102" workbookViewId="0">
      <selection activeCell="B21" sqref="B21:E21"/>
    </sheetView>
  </sheetViews>
  <sheetFormatPr defaultRowHeight="14.4" x14ac:dyDescent="0.3"/>
  <cols>
    <col min="1" max="1" width="59.33203125" bestFit="1" customWidth="1"/>
    <col min="2" max="5" width="12.21875" bestFit="1" customWidth="1"/>
  </cols>
  <sheetData>
    <row r="1" spans="1:5" ht="15.6" x14ac:dyDescent="0.3">
      <c r="A1" s="65"/>
      <c r="B1" s="65"/>
      <c r="C1" s="65"/>
      <c r="D1" s="65"/>
      <c r="E1" s="65"/>
    </row>
    <row r="2" spans="1:5" x14ac:dyDescent="0.3">
      <c r="A2" s="66"/>
      <c r="B2" s="66"/>
      <c r="C2" s="66"/>
      <c r="D2" s="66"/>
      <c r="E2" s="66"/>
    </row>
    <row r="3" spans="1:5" x14ac:dyDescent="0.3">
      <c r="A3" s="67" t="s">
        <v>54</v>
      </c>
      <c r="B3" s="68">
        <v>2017</v>
      </c>
      <c r="C3" s="68">
        <v>2018</v>
      </c>
      <c r="D3" s="68">
        <v>2019</v>
      </c>
      <c r="E3" s="67">
        <v>2020</v>
      </c>
    </row>
    <row r="4" spans="1:5" x14ac:dyDescent="0.3">
      <c r="A4" s="66" t="s">
        <v>55</v>
      </c>
      <c r="B4" s="69">
        <v>749080</v>
      </c>
      <c r="C4" s="69">
        <v>826190</v>
      </c>
      <c r="D4" s="69">
        <v>1390867</v>
      </c>
      <c r="E4" s="70">
        <v>1270590</v>
      </c>
    </row>
    <row r="5" spans="1:5" x14ac:dyDescent="0.3">
      <c r="A5" s="66" t="s">
        <v>56</v>
      </c>
      <c r="B5" s="69">
        <v>118930</v>
      </c>
      <c r="C5" s="69">
        <v>153611</v>
      </c>
      <c r="D5" s="69">
        <v>228790</v>
      </c>
      <c r="E5" s="70">
        <v>106908</v>
      </c>
    </row>
    <row r="6" spans="1:5" x14ac:dyDescent="0.3">
      <c r="A6" s="66" t="s">
        <v>57</v>
      </c>
      <c r="B6" s="69">
        <v>286430</v>
      </c>
      <c r="C6" s="69">
        <v>197030</v>
      </c>
      <c r="D6" s="69">
        <v>295740</v>
      </c>
      <c r="E6" s="70">
        <v>241901</v>
      </c>
    </row>
    <row r="7" spans="1:5" x14ac:dyDescent="0.3">
      <c r="A7" s="66" t="s">
        <v>58</v>
      </c>
      <c r="B7" s="69">
        <v>65608</v>
      </c>
      <c r="C7" s="69">
        <v>67904</v>
      </c>
      <c r="D7" s="69">
        <v>86530</v>
      </c>
      <c r="E7" s="70">
        <v>109702</v>
      </c>
    </row>
    <row r="8" spans="1:5" x14ac:dyDescent="0.3">
      <c r="A8" s="66" t="s">
        <v>6</v>
      </c>
      <c r="B8" s="69">
        <v>125795</v>
      </c>
      <c r="C8" s="69">
        <v>109082</v>
      </c>
      <c r="D8" s="69">
        <v>114570</v>
      </c>
      <c r="E8" s="70">
        <v>127850</v>
      </c>
    </row>
    <row r="9" spans="1:5" x14ac:dyDescent="0.3">
      <c r="A9" s="66" t="s">
        <v>7</v>
      </c>
      <c r="B9" s="69">
        <v>5000</v>
      </c>
      <c r="C9" s="69">
        <v>5000</v>
      </c>
      <c r="D9" s="69">
        <v>6000</v>
      </c>
      <c r="E9" s="70">
        <v>6000</v>
      </c>
    </row>
    <row r="10" spans="1:5" x14ac:dyDescent="0.3">
      <c r="A10" s="66" t="s">
        <v>9</v>
      </c>
      <c r="B10" s="69">
        <v>35078</v>
      </c>
      <c r="C10" s="69">
        <v>41806</v>
      </c>
      <c r="D10" s="69">
        <v>43975</v>
      </c>
      <c r="E10" s="70">
        <v>39803</v>
      </c>
    </row>
    <row r="11" spans="1:5" x14ac:dyDescent="0.3">
      <c r="A11" s="66"/>
      <c r="B11" s="72"/>
      <c r="C11" s="72"/>
      <c r="D11" s="72"/>
      <c r="E11" s="71"/>
    </row>
    <row r="12" spans="1:5" x14ac:dyDescent="0.3">
      <c r="A12" s="66" t="s">
        <v>38</v>
      </c>
      <c r="B12" s="73">
        <v>1385921</v>
      </c>
      <c r="C12" s="73">
        <v>1400623</v>
      </c>
      <c r="D12" s="73">
        <v>2166472</v>
      </c>
      <c r="E12" s="74">
        <v>1902754</v>
      </c>
    </row>
    <row r="13" spans="1:5" x14ac:dyDescent="0.3">
      <c r="A13" s="66" t="s">
        <v>39</v>
      </c>
      <c r="B13" s="73">
        <v>197988.71</v>
      </c>
      <c r="C13" s="73">
        <v>200089</v>
      </c>
      <c r="D13" s="73">
        <v>309496</v>
      </c>
      <c r="E13" s="74">
        <v>271822</v>
      </c>
    </row>
    <row r="14" spans="1:5" x14ac:dyDescent="0.3">
      <c r="A14" s="66" t="s">
        <v>41</v>
      </c>
      <c r="B14" s="73">
        <v>118930</v>
      </c>
      <c r="C14" s="73">
        <v>109082</v>
      </c>
      <c r="D14" s="73">
        <v>114570</v>
      </c>
      <c r="E14" s="74">
        <v>109702</v>
      </c>
    </row>
    <row r="15" spans="1:5" x14ac:dyDescent="0.3">
      <c r="A15" s="66"/>
      <c r="B15" s="75"/>
      <c r="C15" s="75"/>
      <c r="D15" s="75"/>
      <c r="E15" s="66"/>
    </row>
    <row r="16" spans="1:5" x14ac:dyDescent="0.3">
      <c r="A16" s="66" t="s">
        <v>59</v>
      </c>
      <c r="B16" s="75"/>
      <c r="C16" s="75"/>
      <c r="D16" s="75"/>
      <c r="E16" s="66"/>
    </row>
    <row r="17" spans="1:5" x14ac:dyDescent="0.3">
      <c r="A17" s="66" t="s">
        <v>60</v>
      </c>
      <c r="B17" s="76" t="str">
        <f>IF(B12&gt;=1500000,"High","Low")</f>
        <v>Low</v>
      </c>
      <c r="C17" s="76" t="str">
        <f t="shared" ref="C17:E17" si="0">IF(C12&gt;=1500000,"High","Low")</f>
        <v>Low</v>
      </c>
      <c r="D17" s="76" t="str">
        <f t="shared" si="0"/>
        <v>High</v>
      </c>
      <c r="E17" s="76" t="str">
        <f t="shared" si="0"/>
        <v>High</v>
      </c>
    </row>
    <row r="18" spans="1:5" x14ac:dyDescent="0.3">
      <c r="A18" s="66" t="s">
        <v>61</v>
      </c>
      <c r="B18" s="77">
        <f>MIN(B4:B10)</f>
        <v>5000</v>
      </c>
      <c r="C18" s="77">
        <f t="shared" ref="C18:E18" si="1">MIN(C4:C10)</f>
        <v>5000</v>
      </c>
      <c r="D18" s="77">
        <f t="shared" si="1"/>
        <v>6000</v>
      </c>
      <c r="E18" s="77">
        <f t="shared" si="1"/>
        <v>6000</v>
      </c>
    </row>
    <row r="19" spans="1:5" x14ac:dyDescent="0.3">
      <c r="A19" s="66" t="s">
        <v>62</v>
      </c>
      <c r="B19" s="77">
        <f>MAX(B4:B10)</f>
        <v>749080</v>
      </c>
      <c r="C19" s="77">
        <f t="shared" ref="C19:E19" si="2">MAX(C4:C10)</f>
        <v>826190</v>
      </c>
      <c r="D19" s="77">
        <f t="shared" si="2"/>
        <v>1390867</v>
      </c>
      <c r="E19" s="77">
        <f t="shared" si="2"/>
        <v>1270590</v>
      </c>
    </row>
    <row r="20" spans="1:5" x14ac:dyDescent="0.3">
      <c r="A20" s="66" t="s">
        <v>63</v>
      </c>
      <c r="B20" s="76">
        <f>SMALL(B4:B10,2)</f>
        <v>35078</v>
      </c>
      <c r="C20" s="76">
        <f t="shared" ref="C20:E20" si="3">SMALL(C4:C10,2)</f>
        <v>41806</v>
      </c>
      <c r="D20" s="76">
        <f t="shared" si="3"/>
        <v>43975</v>
      </c>
      <c r="E20" s="76">
        <f t="shared" si="3"/>
        <v>39803</v>
      </c>
    </row>
    <row r="21" spans="1:5" x14ac:dyDescent="0.3">
      <c r="A21" s="66" t="s">
        <v>64</v>
      </c>
      <c r="B21" s="76">
        <f>LARGE(B4:B10,3)</f>
        <v>125795</v>
      </c>
      <c r="C21" s="76">
        <f t="shared" ref="C21:E21" si="4">LARGE(C4:C10,3)</f>
        <v>153611</v>
      </c>
      <c r="D21" s="76">
        <f t="shared" si="4"/>
        <v>228790</v>
      </c>
      <c r="E21" s="76">
        <f t="shared" si="4"/>
        <v>127850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8866-4319-46F4-AE1D-989F33CE74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C3" sqref="C3:D12"/>
    </sheetView>
  </sheetViews>
  <sheetFormatPr defaultColWidth="8.77734375" defaultRowHeight="13.8" x14ac:dyDescent="0.25"/>
  <cols>
    <col min="1" max="16384" width="8.77734375" style="1"/>
  </cols>
  <sheetData>
    <row r="2" spans="1:4" x14ac:dyDescent="0.25">
      <c r="A2" s="2" t="s">
        <v>0</v>
      </c>
    </row>
    <row r="3" spans="1:4" x14ac:dyDescent="0.25">
      <c r="A3" s="1" t="s">
        <v>1</v>
      </c>
      <c r="C3" s="1">
        <v>150000</v>
      </c>
      <c r="D3" s="1">
        <v>165000</v>
      </c>
    </row>
    <row r="4" spans="1:4" x14ac:dyDescent="0.25">
      <c r="A4" s="1" t="s">
        <v>2</v>
      </c>
      <c r="C4" s="1">
        <v>67500</v>
      </c>
      <c r="D4" s="1">
        <v>74250</v>
      </c>
    </row>
    <row r="5" spans="1:4" x14ac:dyDescent="0.25">
      <c r="A5" s="1" t="s">
        <v>3</v>
      </c>
      <c r="C5" s="1">
        <v>82500</v>
      </c>
      <c r="D5" s="1">
        <v>90750</v>
      </c>
    </row>
    <row r="6" spans="1:4" x14ac:dyDescent="0.25">
      <c r="A6" s="1" t="s">
        <v>4</v>
      </c>
      <c r="C6" s="1">
        <v>16500</v>
      </c>
      <c r="D6" s="1">
        <v>18150</v>
      </c>
    </row>
    <row r="7" spans="1:4" x14ac:dyDescent="0.25">
      <c r="A7" s="1" t="s">
        <v>5</v>
      </c>
      <c r="C7" s="1">
        <v>66000</v>
      </c>
      <c r="D7" s="1">
        <v>72600</v>
      </c>
    </row>
    <row r="8" spans="1:4" x14ac:dyDescent="0.25">
      <c r="A8" s="1" t="s">
        <v>6</v>
      </c>
      <c r="C8" s="1">
        <v>6600</v>
      </c>
      <c r="D8" s="1">
        <v>7260</v>
      </c>
    </row>
    <row r="9" spans="1:4" x14ac:dyDescent="0.25">
      <c r="A9" s="1" t="s">
        <v>7</v>
      </c>
      <c r="C9" s="1">
        <v>1000</v>
      </c>
      <c r="D9" s="1">
        <v>1000</v>
      </c>
    </row>
    <row r="10" spans="1:4" x14ac:dyDescent="0.25">
      <c r="A10" s="1" t="s">
        <v>8</v>
      </c>
      <c r="C10" s="1">
        <v>58400</v>
      </c>
      <c r="D10" s="1">
        <v>64340</v>
      </c>
    </row>
    <row r="11" spans="1:4" x14ac:dyDescent="0.25">
      <c r="A11" s="1" t="s">
        <v>9</v>
      </c>
      <c r="C11" s="1">
        <v>17520</v>
      </c>
      <c r="D11" s="1">
        <v>19302</v>
      </c>
    </row>
    <row r="12" spans="1:4" x14ac:dyDescent="0.25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 Page</vt:lpstr>
      <vt:lpstr>Basic Financial Analysis</vt:lpstr>
      <vt:lpstr>Advanced Financial Analysis</vt:lpstr>
      <vt:lpstr>Sheet3</vt:lpstr>
      <vt:lpstr>Extra Data --&gt;</vt:lpstr>
      <vt:lpstr>Research</vt:lpstr>
      <vt:lpstr>Gross_Profit</vt:lpstr>
      <vt:lpstr>'Advanced Financial Analysis'!Print_Area</vt:lpstr>
      <vt:lpstr>'Basic Financial Analysis'!Print_Area</vt:lpstr>
      <vt:lpstr>'Cover Page'!Print_Area</vt:lpstr>
      <vt:lpstr>Sensivity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Rodrigo Miguel</cp:lastModifiedBy>
  <dcterms:created xsi:type="dcterms:W3CDTF">2018-08-09T17:25:34Z</dcterms:created>
  <dcterms:modified xsi:type="dcterms:W3CDTF">2023-02-05T13:30:45Z</dcterms:modified>
</cp:coreProperties>
</file>