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abdn-my.sharepoint.com/personal/t10rs22_abdn_ac_uk/Documents/University/Year 5 - Financial Technology/BU5526 - Portfolio Analysis/"/>
    </mc:Choice>
  </mc:AlternateContent>
  <xr:revisionPtr revIDLastSave="1187" documentId="8_{50C76CA0-5F21-4AC9-9481-71AEEF5B4875}" xr6:coauthVersionLast="47" xr6:coauthVersionMax="47" xr10:uidLastSave="{DE815C7D-FB12-4D01-B9A4-F1CFC79BF894}"/>
  <bookViews>
    <workbookView minimized="1" xWindow="5760" yWindow="0" windowWidth="17280" windowHeight="8880" xr2:uid="{3465AB6F-AAFC-40B2-9A65-2500D4C08808}"/>
  </bookViews>
  <sheets>
    <sheet name="Clean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2" i="2" l="1"/>
  <c r="E62" i="2"/>
  <c r="I28" i="2"/>
  <c r="J28" i="2" s="1"/>
  <c r="E36" i="2"/>
  <c r="I36" i="2" s="1"/>
  <c r="I70" i="2"/>
  <c r="D70" i="2"/>
  <c r="B71" i="2"/>
  <c r="D49" i="2"/>
  <c r="B49" i="2"/>
  <c r="D62" i="2"/>
  <c r="D63" i="2" s="1"/>
  <c r="B62" i="2"/>
  <c r="E52" i="2"/>
  <c r="I44" i="2"/>
  <c r="E40" i="2"/>
  <c r="F40" i="2" s="1"/>
  <c r="F34" i="2"/>
  <c r="I33" i="2"/>
  <c r="E33" i="2"/>
  <c r="P11" i="2"/>
  <c r="Q11" i="2" s="1"/>
  <c r="R11" i="2" s="1"/>
  <c r="P12" i="2"/>
  <c r="Q12" i="2" s="1"/>
  <c r="R12" i="2" s="1"/>
  <c r="K3" i="2"/>
  <c r="O7" i="2"/>
  <c r="O18" i="2"/>
  <c r="E21" i="2"/>
  <c r="F21" i="2" s="1"/>
  <c r="E20" i="2"/>
  <c r="F20" i="2" s="1"/>
  <c r="E19" i="2"/>
  <c r="L10" i="2" s="1"/>
  <c r="E18" i="2"/>
  <c r="F18" i="2" s="1"/>
  <c r="E14" i="2"/>
  <c r="F14" i="2" s="1"/>
  <c r="E13" i="2"/>
  <c r="F13" i="2" s="1"/>
  <c r="E12" i="2"/>
  <c r="F12" i="2" s="1"/>
  <c r="E11" i="2"/>
  <c r="F11" i="2" s="1"/>
  <c r="E8" i="2"/>
  <c r="E7" i="2"/>
  <c r="F7" i="2" s="1"/>
  <c r="E6" i="2"/>
  <c r="F6" i="2" s="1"/>
  <c r="K5" i="2"/>
  <c r="K10" i="2" s="1"/>
  <c r="E5" i="2"/>
  <c r="J8" i="2" s="1"/>
  <c r="P4" i="2"/>
  <c r="K4" i="2"/>
  <c r="J10" i="2" s="1"/>
  <c r="E4" i="2"/>
  <c r="J14" i="2" l="1"/>
  <c r="K14" i="2" s="1"/>
  <c r="D26" i="2" a="1"/>
  <c r="D26" i="2" s="1"/>
  <c r="J12" i="2" s="1" a="1"/>
  <c r="J12" i="2" s="1"/>
  <c r="K8" i="2" s="1"/>
  <c r="L8" i="2"/>
  <c r="F4" i="2"/>
  <c r="K9" i="2"/>
  <c r="F19" i="2"/>
  <c r="L9" i="2"/>
  <c r="F5" i="2"/>
  <c r="J9" i="2" l="1"/>
  <c r="K12" i="2"/>
  <c r="J13" i="2"/>
  <c r="K1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<sst xmlns="http://schemas.openxmlformats.org/spreadsheetml/2006/main" count="150" uniqueCount="82">
  <si>
    <t>Expec(R)</t>
  </si>
  <si>
    <t>X1</t>
  </si>
  <si>
    <t>X2</t>
  </si>
  <si>
    <t xml:space="preserve">Variance </t>
  </si>
  <si>
    <t>X3</t>
  </si>
  <si>
    <t>X4</t>
  </si>
  <si>
    <t>X5</t>
  </si>
  <si>
    <t>Std/Risk</t>
  </si>
  <si>
    <t>%</t>
  </si>
  <si>
    <t>Mean(R)</t>
  </si>
  <si>
    <t>GeoMean</t>
  </si>
  <si>
    <t>Cov(x,y)</t>
  </si>
  <si>
    <t>Asset A</t>
  </si>
  <si>
    <t>Asset B</t>
  </si>
  <si>
    <t>Asset C</t>
  </si>
  <si>
    <t>Cov(A,B)</t>
  </si>
  <si>
    <t>Cov(A,C)</t>
  </si>
  <si>
    <t>Cov(B,C)</t>
  </si>
  <si>
    <t>Covariance Matrix</t>
  </si>
  <si>
    <t>A</t>
  </si>
  <si>
    <t>B</t>
  </si>
  <si>
    <t>C</t>
  </si>
  <si>
    <t>Portfolio Variance</t>
  </si>
  <si>
    <t>ExpReturn Port.</t>
  </si>
  <si>
    <t>Covariances</t>
  </si>
  <si>
    <t>//IGNORE</t>
  </si>
  <si>
    <t>Weights</t>
  </si>
  <si>
    <t>Matrix 2</t>
  </si>
  <si>
    <t>Std Deviance</t>
  </si>
  <si>
    <t>Find COV from COR</t>
  </si>
  <si>
    <t>Cor(x,y)</t>
  </si>
  <si>
    <t>Risk(x)</t>
  </si>
  <si>
    <t>Risk(y)</t>
  </si>
  <si>
    <t>w/ Formula 2 assets</t>
  </si>
  <si>
    <t>Find COR from COV</t>
  </si>
  <si>
    <t>Decimal</t>
  </si>
  <si>
    <t>Total = 1</t>
  </si>
  <si>
    <t>w/ Formula 3 assets</t>
  </si>
  <si>
    <t>Value used for P Var</t>
  </si>
  <si>
    <t>Asset 1</t>
  </si>
  <si>
    <t>Asset 2</t>
  </si>
  <si>
    <t>Asset 3</t>
  </si>
  <si>
    <t>Portfolio std</t>
  </si>
  <si>
    <t>CAPM</t>
  </si>
  <si>
    <t>Variance, risk</t>
  </si>
  <si>
    <t>Cov(i,m)</t>
  </si>
  <si>
    <t>cor(i,m)</t>
  </si>
  <si>
    <t>risk(i)</t>
  </si>
  <si>
    <t>risk(m)</t>
  </si>
  <si>
    <t>Variance(m)</t>
  </si>
  <si>
    <t>Beta w/ cov</t>
  </si>
  <si>
    <t>Beta w/ cor</t>
  </si>
  <si>
    <t>var to risk</t>
  </si>
  <si>
    <t>E(Rp)</t>
  </si>
  <si>
    <t>Rf</t>
  </si>
  <si>
    <t>B(i)</t>
  </si>
  <si>
    <t>Rm</t>
  </si>
  <si>
    <t>Portfolio Beta</t>
  </si>
  <si>
    <t>Total</t>
  </si>
  <si>
    <t>Betas</t>
  </si>
  <si>
    <t>Risk Premium</t>
  </si>
  <si>
    <t>Beta</t>
  </si>
  <si>
    <t>Calculate the Beta</t>
  </si>
  <si>
    <t>E(Rm)</t>
  </si>
  <si>
    <t>&gt; x -&gt; overvalued (sell)</t>
  </si>
  <si>
    <t xml:space="preserve"> &lt; x -&gt; undervalued (buy)</t>
  </si>
  <si>
    <t>E(rAsset)</t>
  </si>
  <si>
    <t>N/A</t>
  </si>
  <si>
    <t>ER Asset</t>
  </si>
  <si>
    <t>D</t>
  </si>
  <si>
    <t>Portfolio E r</t>
  </si>
  <si>
    <t>Find Asset Expected return with Portfolio Expected Return</t>
  </si>
  <si>
    <t>Discover Beta Asset</t>
  </si>
  <si>
    <t>Calculate CAPM Er / Rate of return of Asset</t>
  </si>
  <si>
    <t>Risk Premium Calculation</t>
  </si>
  <si>
    <t>Return of asset</t>
  </si>
  <si>
    <t>Start V</t>
  </si>
  <si>
    <t>End value</t>
  </si>
  <si>
    <t>Ri</t>
  </si>
  <si>
    <t>Std</t>
  </si>
  <si>
    <t>E(ri</t>
  </si>
  <si>
    <t>only works with 1 risky and 1 risk-free asset / 3 asset variance available on top of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</si>
</sst>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000"/>
    <numFmt numFmtId="166" formatCode="0.00000"/>
    <numFmt numFmtId="167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5A5A5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0" borderId="13" applyNumberFormat="0" applyFill="0" applyAlignment="0" applyProtection="0"/>
    <xf numFmtId="0" fontId="5" fillId="0" borderId="14" applyNumberFormat="0" applyFill="0" applyAlignment="0" applyProtection="0"/>
    <xf numFmtId="0" fontId="6" fillId="0" borderId="15" applyNumberFormat="0" applyFill="0" applyAlignment="0" applyProtection="0"/>
    <xf numFmtId="0" fontId="7" fillId="10" borderId="16" applyNumberFormat="0" applyAlignment="0" applyProtection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3" xfId="0" applyBorder="1"/>
    <xf numFmtId="0" fontId="0" fillId="0" borderId="10" xfId="0" applyBorder="1"/>
    <xf numFmtId="0" fontId="1" fillId="6" borderId="10" xfId="6" applyBorder="1"/>
    <xf numFmtId="0" fontId="1" fillId="6" borderId="6" xfId="6" applyBorder="1"/>
    <xf numFmtId="0" fontId="1" fillId="6" borderId="8" xfId="6" applyBorder="1"/>
    <xf numFmtId="0" fontId="1" fillId="7" borderId="6" xfId="7" applyBorder="1"/>
    <xf numFmtId="0" fontId="1" fillId="0" borderId="0" xfId="6" applyFill="1" applyBorder="1"/>
    <xf numFmtId="0" fontId="1" fillId="5" borderId="4" xfId="5" applyBorder="1"/>
    <xf numFmtId="0" fontId="1" fillId="4" borderId="4" xfId="4" applyBorder="1"/>
    <xf numFmtId="0" fontId="1" fillId="0" borderId="0" xfId="5" applyFill="1" applyBorder="1"/>
    <xf numFmtId="0" fontId="1" fillId="5" borderId="8" xfId="5" applyBorder="1"/>
    <xf numFmtId="0" fontId="1" fillId="4" borderId="8" xfId="4" applyBorder="1"/>
    <xf numFmtId="0" fontId="0" fillId="0" borderId="4" xfId="5" applyFont="1" applyFill="1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0" xfId="7" applyFont="1" applyFill="1" applyBorder="1"/>
    <xf numFmtId="0" fontId="0" fillId="5" borderId="4" xfId="5" applyFont="1" applyBorder="1"/>
    <xf numFmtId="10" fontId="0" fillId="0" borderId="0" xfId="1" applyNumberFormat="1" applyFont="1"/>
    <xf numFmtId="10" fontId="0" fillId="0" borderId="0" xfId="0" applyNumberFormat="1"/>
    <xf numFmtId="10" fontId="1" fillId="8" borderId="3" xfId="8" applyNumberFormat="1" applyBorder="1"/>
    <xf numFmtId="165" fontId="1" fillId="8" borderId="12" xfId="8" applyNumberFormat="1" applyBorder="1"/>
    <xf numFmtId="10" fontId="1" fillId="0" borderId="0" xfId="8" applyNumberFormat="1" applyFill="1" applyBorder="1"/>
    <xf numFmtId="0" fontId="0" fillId="9" borderId="0" xfId="0" applyFill="1"/>
    <xf numFmtId="16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0" fontId="2" fillId="2" borderId="1" xfId="2"/>
    <xf numFmtId="0" fontId="3" fillId="3" borderId="2" xfId="3"/>
    <xf numFmtId="2" fontId="3" fillId="3" borderId="2" xfId="3" applyNumberFormat="1"/>
    <xf numFmtId="165" fontId="3" fillId="3" borderId="2" xfId="3" applyNumberFormat="1"/>
    <xf numFmtId="2" fontId="2" fillId="2" borderId="1" xfId="2" applyNumberFormat="1"/>
    <xf numFmtId="10" fontId="3" fillId="3" borderId="2" xfId="3" applyNumberFormat="1"/>
    <xf numFmtId="165" fontId="2" fillId="2" borderId="1" xfId="2" applyNumberFormat="1"/>
    <xf numFmtId="166" fontId="3" fillId="3" borderId="2" xfId="3" applyNumberFormat="1"/>
    <xf numFmtId="0" fontId="4" fillId="0" borderId="13" xfId="9"/>
    <xf numFmtId="0" fontId="2" fillId="2" borderId="0" xfId="2" applyBorder="1"/>
    <xf numFmtId="0" fontId="6" fillId="0" borderId="15" xfId="11"/>
    <xf numFmtId="0" fontId="5" fillId="0" borderId="14" xfId="10"/>
    <xf numFmtId="167" fontId="3" fillId="3" borderId="2" xfId="3" applyNumberFormat="1"/>
    <xf numFmtId="167" fontId="2" fillId="2" borderId="1" xfId="2" applyNumberFormat="1"/>
    <xf numFmtId="0" fontId="8" fillId="0" borderId="0" xfId="13"/>
    <xf numFmtId="0" fontId="7" fillId="10" borderId="16" xfId="12"/>
    <xf numFmtId="0" fontId="7" fillId="10" borderId="16" xfId="12" applyAlignment="1">
      <alignment horizontal="center"/>
    </xf>
    <xf numFmtId="9" fontId="0" fillId="0" borderId="0" xfId="1" applyFont="1"/>
    <xf numFmtId="0" fontId="5" fillId="0" borderId="14" xfId="1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4">
    <cellStyle name="20% - Accent1" xfId="4" builtinId="30"/>
    <cellStyle name="20% - Accent2" xfId="6" builtinId="34"/>
    <cellStyle name="40% - Accent1" xfId="5" builtinId="31"/>
    <cellStyle name="40% - Accent2" xfId="7" builtinId="35"/>
    <cellStyle name="40% - Accent6" xfId="8" builtinId="51"/>
    <cellStyle name="Check Cell" xfId="12" builtinId="23"/>
    <cellStyle name="Heading 1" xfId="9" builtinId="16"/>
    <cellStyle name="Heading 2" xfId="10" builtinId="17"/>
    <cellStyle name="Heading 3" xfId="11" builtinId="18"/>
    <cellStyle name="Input" xfId="2" builtinId="20"/>
    <cellStyle name="Normal" xfId="0" builtinId="0"/>
    <cellStyle name="Output" xfId="3" builtinId="21"/>
    <cellStyle name="Percent" xfId="1" builtinId="5"/>
    <cellStyle name="Warning Text" xfId="13" builtinId="11"/>
  </cellStyles>
  <dxfs count="2"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30480</xdr:colOff>
      <xdr:row>39</xdr:row>
      <xdr:rowOff>106680</xdr:rowOff>
    </xdr:from>
    <xdr:to>
      <xdr:col>16</xdr:col>
      <xdr:colOff>220980</xdr:colOff>
      <xdr:row>49</xdr:row>
      <xdr:rowOff>152399</xdr:rowOff>
    </xdr:to>
    <xdr:pic>
      <xdr:nvPicPr>
        <xdr:cNvPr id="2" name="Picture 1" descr="The Capital Asset Pricing Model (CAPM): Financial Analysis In Python | by  Serafeim Loukas, PhD | MLearning.ai | Medium">
          <a:extLst>
            <a:ext uri="{FF2B5EF4-FFF2-40B4-BE49-F238E27FC236}">
              <a16:creationId xmlns:a16="http://schemas.microsoft.com/office/drawing/2014/main" id="{4A42BEA1-61C4-325D-EE95-D9F544EED98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846"/>
        <a:stretch/>
      </xdr:blipFill>
      <xdr:spPr bwMode="auto">
        <a:xfrm>
          <a:off x="7254240" y="7513320"/>
          <a:ext cx="3771900" cy="1882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93BA-7C90-4E63-AD39-540AD86DFAB9}">
  <dimension ref="A1:S71"/>
  <sheetViews>
    <sheetView tabSelected="1" topLeftCell="A18" workbookViewId="0">
      <selection activeCell="B15" sqref="B15"/>
    </sheetView>
  </sheetViews>
  <sheetFormatPr defaultRowHeight="14.4" x14ac:dyDescent="0.3"/>
  <cols>
    <col min="1" max="1" width="12.6640625" customWidth="1"/>
    <col min="3" max="3" width="3.33203125" customWidth="1"/>
    <col min="4" max="4" width="14.33203125" customWidth="1"/>
    <col min="7" max="7" width="5.44140625" customWidth="1"/>
    <col min="8" max="8" width="14.88671875" customWidth="1"/>
    <col min="9" max="9" width="7.5546875" customWidth="1"/>
    <col min="10" max="10" width="11.5546875" customWidth="1"/>
    <col min="11" max="11" width="12.6640625" customWidth="1"/>
    <col min="13" max="13" width="6.5546875" customWidth="1"/>
    <col min="15" max="15" width="13" customWidth="1"/>
    <col min="16" max="16" width="14.88671875" customWidth="1"/>
    <col min="19" max="19" width="10.77734375" customWidth="1"/>
  </cols>
  <sheetData>
    <row r="1" spans="1:19" s="35" customFormat="1" ht="20.399999999999999" thickBot="1" x14ac:dyDescent="0.45">
      <c r="A1" s="35" t="s">
        <v>44</v>
      </c>
    </row>
    <row r="2" spans="1:19" ht="15" thickTop="1" x14ac:dyDescent="0.3"/>
    <row r="3" spans="1:19" x14ac:dyDescent="0.3">
      <c r="A3" s="47" t="s">
        <v>12</v>
      </c>
      <c r="B3" s="48"/>
      <c r="D3" t="s">
        <v>12</v>
      </c>
      <c r="E3" s="13" t="s">
        <v>35</v>
      </c>
      <c r="F3" s="14" t="s">
        <v>8</v>
      </c>
      <c r="G3" s="10"/>
      <c r="H3" s="49" t="s">
        <v>24</v>
      </c>
      <c r="I3" s="50"/>
      <c r="J3" s="3" t="s">
        <v>15</v>
      </c>
      <c r="K3" s="30">
        <f>_xlfn.COVARIANCE.S(B4:B8,B11:B15)</f>
        <v>-10946.833333333334</v>
      </c>
      <c r="L3" s="22"/>
      <c r="N3" s="49" t="s">
        <v>29</v>
      </c>
      <c r="O3" s="49"/>
      <c r="P3" t="s">
        <v>34</v>
      </c>
    </row>
    <row r="4" spans="1:19" x14ac:dyDescent="0.3">
      <c r="A4" s="3" t="s">
        <v>1</v>
      </c>
      <c r="B4" s="27">
        <v>632</v>
      </c>
      <c r="D4" s="17" t="s">
        <v>9</v>
      </c>
      <c r="E4" s="28">
        <f>AVERAGE(B4:B8)</f>
        <v>419.5</v>
      </c>
      <c r="F4" s="32">
        <f>E4</f>
        <v>419.5</v>
      </c>
      <c r="J4" s="6" t="s">
        <v>16</v>
      </c>
      <c r="K4" s="30" t="e">
        <f>_xlfn.COVARIANCE.S(B4:B8,B18:B22)</f>
        <v>#DIV/0!</v>
      </c>
      <c r="L4" s="19"/>
      <c r="N4" t="s">
        <v>30</v>
      </c>
      <c r="O4" s="27">
        <v>-1</v>
      </c>
      <c r="P4" s="28">
        <f>P7/(P5*P6)</f>
        <v>0.9505376383651819</v>
      </c>
    </row>
    <row r="5" spans="1:19" x14ac:dyDescent="0.3">
      <c r="A5" s="6" t="s">
        <v>2</v>
      </c>
      <c r="B5" s="27">
        <v>349</v>
      </c>
      <c r="D5" s="12" t="s">
        <v>3</v>
      </c>
      <c r="E5" s="28">
        <f>VAR(B4:B8)</f>
        <v>24717.666666666668</v>
      </c>
      <c r="F5" s="32">
        <f t="shared" ref="F5:F6" si="0">E5</f>
        <v>24717.666666666668</v>
      </c>
      <c r="J5" s="5" t="s">
        <v>17</v>
      </c>
      <c r="K5" s="30" t="e">
        <f>_xlfn.COVARIANCE.S(B11:B15,B18:B22)</f>
        <v>#DIV/0!</v>
      </c>
      <c r="N5" t="s">
        <v>31</v>
      </c>
      <c r="O5" s="27">
        <v>0.16</v>
      </c>
      <c r="P5" s="27">
        <v>7.39</v>
      </c>
    </row>
    <row r="6" spans="1:19" x14ac:dyDescent="0.3">
      <c r="A6" s="4" t="s">
        <v>4</v>
      </c>
      <c r="B6" s="27">
        <v>265</v>
      </c>
      <c r="D6" s="11" t="s">
        <v>7</v>
      </c>
      <c r="E6" s="28">
        <f>_xlfn.STDEV.S(B4:B8)</f>
        <v>157.21853156249318</v>
      </c>
      <c r="F6" s="32">
        <f t="shared" si="0"/>
        <v>157.21853156249318</v>
      </c>
      <c r="N6" t="s">
        <v>32</v>
      </c>
      <c r="O6" s="27">
        <v>0.28000000000000003</v>
      </c>
      <c r="P6" s="27">
        <v>14.71</v>
      </c>
    </row>
    <row r="7" spans="1:19" x14ac:dyDescent="0.3">
      <c r="A7" s="6" t="s">
        <v>5</v>
      </c>
      <c r="B7" s="27">
        <v>432</v>
      </c>
      <c r="D7" s="16" t="s">
        <v>10</v>
      </c>
      <c r="E7" s="28">
        <f>((1+B4)*(1+B5)*(1+B6))^(1/3) - 1</f>
        <v>388.15068298390298</v>
      </c>
      <c r="F7" s="32">
        <f>E7</f>
        <v>388.15068298390298</v>
      </c>
      <c r="H7" s="51" t="s">
        <v>18</v>
      </c>
      <c r="I7" s="52"/>
      <c r="J7" s="1" t="s">
        <v>19</v>
      </c>
      <c r="K7" s="1" t="s">
        <v>20</v>
      </c>
      <c r="L7" s="1" t="s">
        <v>21</v>
      </c>
      <c r="N7" t="s">
        <v>11</v>
      </c>
      <c r="O7" s="30">
        <f>O4*O5*O6</f>
        <v>-4.4800000000000006E-2</v>
      </c>
      <c r="P7" s="33">
        <v>103.33</v>
      </c>
    </row>
    <row r="8" spans="1:19" x14ac:dyDescent="0.3">
      <c r="A8" s="5" t="s">
        <v>6</v>
      </c>
      <c r="B8" s="27"/>
      <c r="D8" s="7"/>
      <c r="E8">
        <f>GEOMEAN(B4:B8)</f>
        <v>398.6282118600048</v>
      </c>
      <c r="F8" s="23" t="s">
        <v>25</v>
      </c>
      <c r="H8" s="46" t="s">
        <v>19</v>
      </c>
      <c r="I8" s="46"/>
      <c r="J8" s="28">
        <f>E5</f>
        <v>24717.666666666668</v>
      </c>
      <c r="K8" s="30">
        <f>K3</f>
        <v>-10946.833333333334</v>
      </c>
      <c r="L8" s="30" t="e">
        <f>K4</f>
        <v>#DIV/0!</v>
      </c>
      <c r="O8" t="s">
        <v>38</v>
      </c>
    </row>
    <row r="9" spans="1:19" x14ac:dyDescent="0.3">
      <c r="H9" s="46" t="s">
        <v>20</v>
      </c>
      <c r="I9" s="46"/>
      <c r="J9" s="30">
        <f>K3</f>
        <v>-10946.833333333334</v>
      </c>
      <c r="K9" s="28">
        <f>E12</f>
        <v>30562.916666666668</v>
      </c>
      <c r="L9" s="30" t="e">
        <f>K5</f>
        <v>#DIV/0!</v>
      </c>
    </row>
    <row r="10" spans="1:19" x14ac:dyDescent="0.3">
      <c r="A10" s="47" t="s">
        <v>13</v>
      </c>
      <c r="B10" s="48"/>
      <c r="D10" t="s">
        <v>13</v>
      </c>
      <c r="E10" s="13" t="s">
        <v>35</v>
      </c>
      <c r="F10" s="15" t="s">
        <v>8</v>
      </c>
      <c r="H10" s="46" t="s">
        <v>21</v>
      </c>
      <c r="I10" s="46"/>
      <c r="J10" s="30" t="e">
        <f>K4</f>
        <v>#DIV/0!</v>
      </c>
      <c r="K10" s="30" t="e">
        <f>K5</f>
        <v>#DIV/0!</v>
      </c>
      <c r="L10" s="28" t="e">
        <f>E19</f>
        <v>#DIV/0!</v>
      </c>
      <c r="Q10" t="s">
        <v>42</v>
      </c>
    </row>
    <row r="11" spans="1:19" x14ac:dyDescent="0.3">
      <c r="A11" s="3" t="s">
        <v>1</v>
      </c>
      <c r="B11" s="27">
        <v>234</v>
      </c>
      <c r="D11" s="17" t="s">
        <v>9</v>
      </c>
      <c r="E11" s="28">
        <f>AVERAGE(B11:B15)</f>
        <v>290.75</v>
      </c>
      <c r="F11" s="32">
        <f>E11</f>
        <v>290.75</v>
      </c>
      <c r="N11" s="49" t="s">
        <v>22</v>
      </c>
      <c r="O11" s="49"/>
      <c r="P11" s="34">
        <f>(O15^2)*(P15^2)+(O16^2)*(P16^2)+(2*(O15*O16*Q16))</f>
        <v>0</v>
      </c>
      <c r="Q11">
        <f>SQRT(P11)</f>
        <v>0</v>
      </c>
      <c r="R11" s="18">
        <f>Q11</f>
        <v>0</v>
      </c>
      <c r="S11" t="s">
        <v>33</v>
      </c>
    </row>
    <row r="12" spans="1:19" x14ac:dyDescent="0.3">
      <c r="A12" s="6" t="s">
        <v>2</v>
      </c>
      <c r="B12" s="27">
        <v>521</v>
      </c>
      <c r="D12" s="9" t="s">
        <v>3</v>
      </c>
      <c r="E12" s="28">
        <f>VAR(B11:B15)</f>
        <v>30562.916666666668</v>
      </c>
      <c r="F12" s="32">
        <f t="shared" ref="F12:F13" si="1">E12</f>
        <v>30562.916666666668</v>
      </c>
      <c r="H12" s="49" t="s">
        <v>22</v>
      </c>
      <c r="I12" s="49"/>
      <c r="J12" t="e" cm="1">
        <f t="array" ref="J12">MMULT(_xlfn.ANCHORARRAY(D26),A25:A27)</f>
        <v>#VALUE!</v>
      </c>
      <c r="K12" s="26" t="e">
        <f>J12</f>
        <v>#VALUE!</v>
      </c>
      <c r="N12" s="49" t="s">
        <v>22</v>
      </c>
      <c r="O12" s="49"/>
      <c r="P12" s="34">
        <f>(O15^2)*(P15^2)+(O16^2)*(P16^2)+(O17^2)*(P17^2)+2*O15*O16*Q16+2*O15*O17*Q17+2*O16*O17*R17</f>
        <v>0</v>
      </c>
      <c r="Q12">
        <f>SQRT(P12)</f>
        <v>0</v>
      </c>
      <c r="R12" s="18">
        <f>Q12</f>
        <v>0</v>
      </c>
      <c r="S12" t="s">
        <v>37</v>
      </c>
    </row>
    <row r="13" spans="1:19" x14ac:dyDescent="0.3">
      <c r="A13" s="4" t="s">
        <v>4</v>
      </c>
      <c r="B13" s="27">
        <v>305</v>
      </c>
      <c r="D13" s="11" t="s">
        <v>7</v>
      </c>
      <c r="E13" s="28">
        <f>_xlfn.STDEV.S(B11:B15)</f>
        <v>174.82252905923386</v>
      </c>
      <c r="F13" s="32">
        <f t="shared" si="1"/>
        <v>174.82252905923386</v>
      </c>
      <c r="H13" s="49" t="s">
        <v>28</v>
      </c>
      <c r="I13" s="49"/>
      <c r="J13" t="e">
        <f>SQRT(J12)</f>
        <v>#VALUE!</v>
      </c>
      <c r="K13" s="18" t="e">
        <f>J13</f>
        <v>#VALUE!</v>
      </c>
    </row>
    <row r="14" spans="1:19" ht="15" thickBot="1" x14ac:dyDescent="0.35">
      <c r="A14" s="6" t="s">
        <v>5</v>
      </c>
      <c r="B14" s="27">
        <v>103</v>
      </c>
      <c r="D14" s="16" t="s">
        <v>10</v>
      </c>
      <c r="E14" s="28">
        <f>((1+B11)*(1+B12)*(1+B13))^(1/3) - 1</f>
        <v>333.82658285093964</v>
      </c>
      <c r="F14" s="32">
        <f>E14</f>
        <v>333.82658285093964</v>
      </c>
      <c r="H14" s="49" t="s">
        <v>23</v>
      </c>
      <c r="I14" s="50"/>
      <c r="J14" s="21" t="e">
        <f>AVERAGE(E4,E11,E18)</f>
        <v>#DIV/0!</v>
      </c>
      <c r="K14" s="20" t="e">
        <f>J14</f>
        <v>#DIV/0!</v>
      </c>
      <c r="O14" t="s">
        <v>26</v>
      </c>
      <c r="P14" t="s">
        <v>7</v>
      </c>
      <c r="Q14" t="s">
        <v>39</v>
      </c>
      <c r="R14" t="s">
        <v>40</v>
      </c>
      <c r="S14" t="s">
        <v>41</v>
      </c>
    </row>
    <row r="15" spans="1:19" ht="15.6" thickTop="1" thickBot="1" x14ac:dyDescent="0.35">
      <c r="A15" s="5" t="s">
        <v>6</v>
      </c>
      <c r="B15" s="27"/>
      <c r="D15" s="7"/>
      <c r="N15" t="s">
        <v>39</v>
      </c>
      <c r="O15" s="31">
        <v>1.4</v>
      </c>
      <c r="P15" s="27">
        <v>0</v>
      </c>
      <c r="Q15" s="42"/>
      <c r="R15" s="42"/>
      <c r="S15" s="42"/>
    </row>
    <row r="16" spans="1:19" ht="15.6" thickTop="1" thickBot="1" x14ac:dyDescent="0.35">
      <c r="N16" t="s">
        <v>40</v>
      </c>
      <c r="O16" s="31">
        <v>-0.4</v>
      </c>
      <c r="P16" s="27">
        <v>0</v>
      </c>
      <c r="Q16" s="27"/>
      <c r="R16" s="43"/>
      <c r="S16" s="43"/>
    </row>
    <row r="17" spans="1:19" ht="15.6" thickTop="1" thickBot="1" x14ac:dyDescent="0.35">
      <c r="A17" s="47" t="s">
        <v>14</v>
      </c>
      <c r="B17" s="48"/>
      <c r="D17" t="s">
        <v>14</v>
      </c>
      <c r="E17" s="13" t="s">
        <v>35</v>
      </c>
      <c r="F17" s="15" t="s">
        <v>8</v>
      </c>
      <c r="N17" t="s">
        <v>41</v>
      </c>
      <c r="O17" s="31">
        <v>0</v>
      </c>
      <c r="P17" s="27">
        <v>0</v>
      </c>
      <c r="Q17" s="27"/>
      <c r="R17" s="27"/>
      <c r="S17" s="43"/>
    </row>
    <row r="18" spans="1:19" ht="15" thickTop="1" x14ac:dyDescent="0.3">
      <c r="A18" s="3" t="s">
        <v>1</v>
      </c>
      <c r="B18" s="27"/>
      <c r="D18" s="8" t="s">
        <v>0</v>
      </c>
      <c r="E18" s="28" t="e">
        <f>AVERAGE(B18:B22)</f>
        <v>#DIV/0!</v>
      </c>
      <c r="F18" s="32" t="e">
        <f>E18</f>
        <v>#DIV/0!</v>
      </c>
      <c r="H18" s="25"/>
      <c r="N18" t="s">
        <v>36</v>
      </c>
      <c r="O18" s="25">
        <f>SUM(O15:O17)</f>
        <v>0.99999999999999989</v>
      </c>
    </row>
    <row r="19" spans="1:19" x14ac:dyDescent="0.3">
      <c r="A19" s="6" t="s">
        <v>2</v>
      </c>
      <c r="B19" s="27"/>
      <c r="D19" s="9" t="s">
        <v>3</v>
      </c>
      <c r="E19" s="28" t="e">
        <f>VAR(B18:B22)</f>
        <v>#DIV/0!</v>
      </c>
      <c r="F19" s="32" t="e">
        <f t="shared" ref="F19:F20" si="2">E19</f>
        <v>#DIV/0!</v>
      </c>
      <c r="H19" s="25"/>
    </row>
    <row r="20" spans="1:19" x14ac:dyDescent="0.3">
      <c r="A20" s="4" t="s">
        <v>4</v>
      </c>
      <c r="B20" s="27"/>
      <c r="D20" s="11" t="s">
        <v>7</v>
      </c>
      <c r="E20" s="28" t="e">
        <f>_xlfn.STDEV.S(B18:B22)</f>
        <v>#DIV/0!</v>
      </c>
      <c r="F20" s="32" t="e">
        <f t="shared" si="2"/>
        <v>#DIV/0!</v>
      </c>
      <c r="H20" s="25"/>
    </row>
    <row r="21" spans="1:19" x14ac:dyDescent="0.3">
      <c r="A21" s="6" t="s">
        <v>5</v>
      </c>
      <c r="B21" s="27"/>
      <c r="D21" s="16" t="s">
        <v>10</v>
      </c>
      <c r="E21" s="28">
        <f>((1+B18)*(1+B19)*(1+B20))^(1/3) - 1</f>
        <v>0</v>
      </c>
      <c r="F21" s="32">
        <f>E21</f>
        <v>0</v>
      </c>
    </row>
    <row r="22" spans="1:19" x14ac:dyDescent="0.3">
      <c r="A22" s="5" t="s">
        <v>6</v>
      </c>
      <c r="B22" s="27"/>
      <c r="D22" s="7"/>
    </row>
    <row r="23" spans="1:19" x14ac:dyDescent="0.3">
      <c r="G23" s="24"/>
      <c r="H23" s="24"/>
    </row>
    <row r="24" spans="1:19" x14ac:dyDescent="0.3">
      <c r="A24" s="2" t="s">
        <v>26</v>
      </c>
      <c r="B24" s="31"/>
      <c r="D24" s="31"/>
      <c r="E24" s="31"/>
      <c r="F24" s="25"/>
      <c r="J24" s="25"/>
      <c r="K24" s="25"/>
    </row>
    <row r="25" spans="1:19" x14ac:dyDescent="0.3">
      <c r="A25" s="31"/>
      <c r="F25" s="25"/>
    </row>
    <row r="26" spans="1:19" x14ac:dyDescent="0.3">
      <c r="A26" s="31"/>
      <c r="B26" t="s">
        <v>27</v>
      </c>
      <c r="D26" s="28" t="e" cm="1">
        <f t="array" ref="D26">MMULT(B24:E24,J8:L10)</f>
        <v>#VALUE!</v>
      </c>
      <c r="E26" s="28"/>
      <c r="F26" s="29"/>
      <c r="H26" s="27" t="s">
        <v>76</v>
      </c>
      <c r="I26" s="27">
        <v>120000</v>
      </c>
    </row>
    <row r="27" spans="1:19" x14ac:dyDescent="0.3">
      <c r="A27" s="31"/>
      <c r="H27" s="27" t="s">
        <v>77</v>
      </c>
      <c r="I27" s="27">
        <v>132000</v>
      </c>
    </row>
    <row r="28" spans="1:19" x14ac:dyDescent="0.3">
      <c r="H28" s="29" t="s">
        <v>75</v>
      </c>
      <c r="I28" s="28">
        <f>(I27-I26)/I26</f>
        <v>0.1</v>
      </c>
      <c r="J28" s="44">
        <f>I28</f>
        <v>0.1</v>
      </c>
    </row>
    <row r="29" spans="1:19" s="35" customFormat="1" ht="18.600000000000001" customHeight="1" thickBot="1" x14ac:dyDescent="0.45">
      <c r="A29" s="35" t="s">
        <v>43</v>
      </c>
    </row>
    <row r="30" spans="1:19" s="35" customFormat="1" ht="8.4" customHeight="1" thickTop="1" thickBot="1" x14ac:dyDescent="0.45"/>
    <row r="31" spans="1:19" s="38" customFormat="1" ht="18.600000000000001" thickTop="1" thickBot="1" x14ac:dyDescent="0.4">
      <c r="A31" s="45" t="s">
        <v>62</v>
      </c>
      <c r="B31" s="45"/>
      <c r="C31" s="45"/>
    </row>
    <row r="32" spans="1:19" ht="15" thickTop="1" x14ac:dyDescent="0.3">
      <c r="A32" s="27" t="s">
        <v>46</v>
      </c>
      <c r="B32" s="33">
        <v>-0.1</v>
      </c>
    </row>
    <row r="33" spans="1:11" x14ac:dyDescent="0.3">
      <c r="A33" s="27" t="s">
        <v>47</v>
      </c>
      <c r="B33" s="33">
        <v>0</v>
      </c>
      <c r="D33" s="28" t="s">
        <v>45</v>
      </c>
      <c r="E33" s="30">
        <f>B32*B33*B34</f>
        <v>0</v>
      </c>
      <c r="H33" s="28" t="s">
        <v>51</v>
      </c>
      <c r="I33" s="30">
        <f>(B32*B33)/B34</f>
        <v>0</v>
      </c>
      <c r="J33" s="18"/>
    </row>
    <row r="34" spans="1:11" x14ac:dyDescent="0.3">
      <c r="A34" s="27" t="s">
        <v>48</v>
      </c>
      <c r="B34" s="33">
        <v>0.2</v>
      </c>
      <c r="D34" s="27" t="s">
        <v>52</v>
      </c>
      <c r="E34" s="27">
        <v>0.04</v>
      </c>
      <c r="F34" s="28">
        <f>SQRT(E34)</f>
        <v>0.2</v>
      </c>
    </row>
    <row r="36" spans="1:11" x14ac:dyDescent="0.3">
      <c r="A36" s="27" t="s">
        <v>45</v>
      </c>
      <c r="B36" s="33">
        <v>1</v>
      </c>
      <c r="D36" s="28" t="s">
        <v>49</v>
      </c>
      <c r="E36" s="30">
        <f>B37^2</f>
        <v>1</v>
      </c>
      <c r="H36" s="28" t="s">
        <v>50</v>
      </c>
      <c r="I36" s="30">
        <f>B36/E36</f>
        <v>1</v>
      </c>
    </row>
    <row r="37" spans="1:11" x14ac:dyDescent="0.3">
      <c r="A37" s="27" t="s">
        <v>48</v>
      </c>
      <c r="B37" s="33">
        <v>1</v>
      </c>
    </row>
    <row r="39" spans="1:11" s="38" customFormat="1" ht="18" thickBot="1" x14ac:dyDescent="0.4">
      <c r="A39" s="38" t="s">
        <v>73</v>
      </c>
    </row>
    <row r="40" spans="1:11" ht="15" thickTop="1" x14ac:dyDescent="0.3">
      <c r="A40" s="27" t="s">
        <v>54</v>
      </c>
      <c r="B40" s="27">
        <v>0.05</v>
      </c>
      <c r="D40" s="28" t="s">
        <v>53</v>
      </c>
      <c r="E40" s="28">
        <f>B40+(B41*(B42-B40))</f>
        <v>0.1</v>
      </c>
      <c r="F40" s="32">
        <f>E40</f>
        <v>0.1</v>
      </c>
      <c r="H40" t="s">
        <v>65</v>
      </c>
      <c r="K40" t="s">
        <v>66</v>
      </c>
    </row>
    <row r="41" spans="1:11" x14ac:dyDescent="0.3">
      <c r="A41" s="27" t="s">
        <v>55</v>
      </c>
      <c r="B41" s="27">
        <v>1</v>
      </c>
      <c r="H41" t="s">
        <v>64</v>
      </c>
    </row>
    <row r="42" spans="1:11" x14ac:dyDescent="0.3">
      <c r="A42" s="27" t="s">
        <v>63</v>
      </c>
      <c r="B42" s="27">
        <v>0.1</v>
      </c>
    </row>
    <row r="44" spans="1:11" x14ac:dyDescent="0.3">
      <c r="A44" s="27" t="s">
        <v>57</v>
      </c>
      <c r="B44" s="27" t="s">
        <v>26</v>
      </c>
      <c r="C44" s="27"/>
      <c r="D44" s="27" t="s">
        <v>59</v>
      </c>
      <c r="H44" s="28" t="s">
        <v>60</v>
      </c>
      <c r="I44" s="39">
        <f>I45*(I47-I46)</f>
        <v>0.05</v>
      </c>
    </row>
    <row r="45" spans="1:11" x14ac:dyDescent="0.3">
      <c r="A45" s="27" t="s">
        <v>19</v>
      </c>
      <c r="B45" s="31">
        <v>0.16666666666666666</v>
      </c>
      <c r="C45" s="27"/>
      <c r="D45" s="27">
        <v>1.2</v>
      </c>
      <c r="H45" s="27" t="s">
        <v>61</v>
      </c>
      <c r="I45" s="40">
        <v>1</v>
      </c>
    </row>
    <row r="46" spans="1:11" x14ac:dyDescent="0.3">
      <c r="A46" s="27" t="s">
        <v>20</v>
      </c>
      <c r="B46" s="31">
        <v>0.33333333333333331</v>
      </c>
      <c r="C46" s="27"/>
      <c r="D46" s="27">
        <v>1.8</v>
      </c>
      <c r="H46" s="27" t="s">
        <v>54</v>
      </c>
      <c r="I46" s="40">
        <v>0.05</v>
      </c>
    </row>
    <row r="47" spans="1:11" x14ac:dyDescent="0.3">
      <c r="A47" s="27" t="s">
        <v>21</v>
      </c>
      <c r="B47" s="31">
        <v>0.5</v>
      </c>
      <c r="C47" s="27"/>
      <c r="D47" s="27">
        <v>0.7</v>
      </c>
      <c r="H47" s="27" t="s">
        <v>56</v>
      </c>
      <c r="I47" s="40">
        <v>0.1</v>
      </c>
    </row>
    <row r="48" spans="1:11" x14ac:dyDescent="0.3">
      <c r="A48" s="27" t="s">
        <v>69</v>
      </c>
      <c r="B48" s="31">
        <v>0</v>
      </c>
      <c r="C48" s="27"/>
      <c r="D48" s="27">
        <v>0</v>
      </c>
    </row>
    <row r="49" spans="1:12" x14ac:dyDescent="0.3">
      <c r="A49" s="28" t="s">
        <v>58</v>
      </c>
      <c r="B49" s="29">
        <f>SUM(B45:B48)</f>
        <v>1</v>
      </c>
      <c r="C49" s="28"/>
      <c r="D49" s="28">
        <f>B45*D45+B46*D46+B47*D47+B48*D48</f>
        <v>1.1499999999999999</v>
      </c>
    </row>
    <row r="51" spans="1:12" s="38" customFormat="1" ht="18" thickBot="1" x14ac:dyDescent="0.4">
      <c r="A51" s="38" t="s">
        <v>74</v>
      </c>
    </row>
    <row r="52" spans="1:12" ht="15" thickTop="1" x14ac:dyDescent="0.3">
      <c r="A52" s="27" t="s">
        <v>78</v>
      </c>
      <c r="B52" s="31">
        <v>0.1</v>
      </c>
      <c r="D52" s="28" t="s">
        <v>60</v>
      </c>
      <c r="E52" s="28">
        <f>(B52-B53)/B54</f>
        <v>0.05</v>
      </c>
      <c r="H52" s="27" t="s">
        <v>78</v>
      </c>
      <c r="I52" s="31">
        <v>0.1</v>
      </c>
      <c r="K52" s="28" t="s">
        <v>60</v>
      </c>
      <c r="L52" s="28">
        <f>(I52-I53)/I54</f>
        <v>0.05</v>
      </c>
    </row>
    <row r="53" spans="1:12" x14ac:dyDescent="0.3">
      <c r="A53" s="27" t="s">
        <v>54</v>
      </c>
      <c r="B53" s="27">
        <v>0.05</v>
      </c>
      <c r="H53" s="27" t="s">
        <v>54</v>
      </c>
      <c r="I53" s="27">
        <v>0.05</v>
      </c>
    </row>
    <row r="54" spans="1:12" x14ac:dyDescent="0.3">
      <c r="A54" s="27" t="s">
        <v>61</v>
      </c>
      <c r="B54" s="27">
        <v>1</v>
      </c>
      <c r="H54" s="27" t="s">
        <v>61</v>
      </c>
      <c r="I54" s="27">
        <v>1</v>
      </c>
    </row>
    <row r="55" spans="1:12" x14ac:dyDescent="0.3">
      <c r="A55" s="41" t="s">
        <v>56</v>
      </c>
      <c r="B55" s="41" t="s">
        <v>67</v>
      </c>
      <c r="H55" s="41" t="s">
        <v>56</v>
      </c>
      <c r="I55" s="41" t="s">
        <v>67</v>
      </c>
    </row>
    <row r="57" spans="1:12" x14ac:dyDescent="0.3">
      <c r="A57" s="27" t="s">
        <v>57</v>
      </c>
      <c r="B57" s="27" t="s">
        <v>26</v>
      </c>
      <c r="C57" s="27"/>
      <c r="D57" s="27" t="s">
        <v>68</v>
      </c>
      <c r="E57" t="s">
        <v>79</v>
      </c>
    </row>
    <row r="58" spans="1:12" x14ac:dyDescent="0.3">
      <c r="A58" s="27" t="s">
        <v>19</v>
      </c>
      <c r="B58" s="31">
        <v>1.4</v>
      </c>
      <c r="C58" s="27"/>
      <c r="D58" s="27">
        <v>0.11</v>
      </c>
      <c r="E58">
        <v>0.15</v>
      </c>
    </row>
    <row r="59" spans="1:12" x14ac:dyDescent="0.3">
      <c r="A59" s="27" t="s">
        <v>20</v>
      </c>
      <c r="B59" s="31">
        <v>-0.4</v>
      </c>
      <c r="C59" s="27"/>
      <c r="D59" s="27">
        <v>0.04</v>
      </c>
      <c r="E59">
        <v>0</v>
      </c>
    </row>
    <row r="60" spans="1:12" x14ac:dyDescent="0.3">
      <c r="A60" s="27" t="s">
        <v>21</v>
      </c>
      <c r="B60" s="31"/>
      <c r="C60" s="27"/>
      <c r="D60" s="27">
        <v>0</v>
      </c>
    </row>
    <row r="61" spans="1:12" x14ac:dyDescent="0.3">
      <c r="A61" s="27" t="s">
        <v>69</v>
      </c>
      <c r="B61" s="31"/>
      <c r="C61" s="27"/>
      <c r="D61" s="27">
        <v>0</v>
      </c>
    </row>
    <row r="62" spans="1:12" x14ac:dyDescent="0.3">
      <c r="A62" s="28" t="s">
        <v>58</v>
      </c>
      <c r="B62" s="29">
        <f>SUM(B58:B61)</f>
        <v>0.99999999999999989</v>
      </c>
      <c r="C62" s="28"/>
      <c r="D62" s="28">
        <f>B58*D58+B59*D59+B60*D60+B61*D61</f>
        <v>0.13800000000000001</v>
      </c>
      <c r="E62">
        <f>B58*E58+B59*E59</f>
        <v>0.21</v>
      </c>
      <c r="F62" s="41" t="s">
        <v>81</v>
      </c>
    </row>
    <row r="63" spans="1:12" x14ac:dyDescent="0.3">
      <c r="D63" s="18">
        <f>D62</f>
        <v>0.13800000000000001</v>
      </c>
    </row>
    <row r="64" spans="1:12" x14ac:dyDescent="0.3">
      <c r="D64" s="18"/>
    </row>
    <row r="65" spans="1:9" s="37" customFormat="1" ht="15" thickBot="1" x14ac:dyDescent="0.35">
      <c r="A65" s="37" t="s">
        <v>71</v>
      </c>
    </row>
    <row r="66" spans="1:9" x14ac:dyDescent="0.3">
      <c r="A66" s="36"/>
      <c r="B66" s="27" t="s">
        <v>26</v>
      </c>
      <c r="D66" s="27" t="s">
        <v>68</v>
      </c>
      <c r="H66" t="s">
        <v>72</v>
      </c>
    </row>
    <row r="67" spans="1:9" x14ac:dyDescent="0.3">
      <c r="A67" s="36" t="s">
        <v>19</v>
      </c>
      <c r="B67" s="31">
        <v>0.13333333333333333</v>
      </c>
      <c r="D67" s="27">
        <v>0.126</v>
      </c>
      <c r="H67" s="27" t="s">
        <v>80</v>
      </c>
      <c r="I67" s="40">
        <v>0.23069999999999999</v>
      </c>
    </row>
    <row r="68" spans="1:9" x14ac:dyDescent="0.3">
      <c r="A68" s="36" t="s">
        <v>20</v>
      </c>
      <c r="B68" s="31">
        <v>0.33333333333333331</v>
      </c>
      <c r="D68" s="27">
        <v>0.14699999999999999</v>
      </c>
      <c r="H68" s="27" t="s">
        <v>54</v>
      </c>
      <c r="I68" s="40">
        <v>0.03</v>
      </c>
    </row>
    <row r="69" spans="1:9" x14ac:dyDescent="0.3">
      <c r="A69" s="36" t="s">
        <v>21</v>
      </c>
      <c r="B69" s="31">
        <v>0.2</v>
      </c>
      <c r="D69" s="27">
        <v>0.13650000000000001</v>
      </c>
      <c r="H69" s="27" t="s">
        <v>56</v>
      </c>
      <c r="I69" s="40">
        <v>0.1</v>
      </c>
    </row>
    <row r="70" spans="1:9" x14ac:dyDescent="0.3">
      <c r="A70" s="36" t="s">
        <v>69</v>
      </c>
      <c r="B70" s="31">
        <v>0.33333333333333331</v>
      </c>
      <c r="D70" s="28">
        <f>(D71-B67*D67-B68*D68-B69*D69)/B70</f>
        <v>0.23070000000000004</v>
      </c>
      <c r="H70" s="28" t="s">
        <v>61</v>
      </c>
      <c r="I70" s="39">
        <f>(I67-I68)/(I69-I68)</f>
        <v>2.8671428571428565</v>
      </c>
    </row>
    <row r="71" spans="1:9" x14ac:dyDescent="0.3">
      <c r="A71" s="28" t="s">
        <v>58</v>
      </c>
      <c r="B71" s="29">
        <f>SUM(B67:B70)</f>
        <v>1</v>
      </c>
      <c r="C71" s="28"/>
      <c r="D71" s="27">
        <v>0.17</v>
      </c>
      <c r="E71" t="s">
        <v>70</v>
      </c>
    </row>
  </sheetData>
  <mergeCells count="15">
    <mergeCell ref="A31:C31"/>
    <mergeCell ref="H9:I9"/>
    <mergeCell ref="A3:B3"/>
    <mergeCell ref="H3:I3"/>
    <mergeCell ref="N3:O3"/>
    <mergeCell ref="H7:I7"/>
    <mergeCell ref="H8:I8"/>
    <mergeCell ref="A17:B17"/>
    <mergeCell ref="N12:O12"/>
    <mergeCell ref="A10:B10"/>
    <mergeCell ref="H10:I10"/>
    <mergeCell ref="H12:I12"/>
    <mergeCell ref="H13:I13"/>
    <mergeCell ref="N11:O11"/>
    <mergeCell ref="H14:I14"/>
  </mergeCells>
  <conditionalFormatting sqref="O18">
    <cfRule type="cellIs" dxfId="1" priority="1" operator="notEqual">
      <formula>1</formula>
    </cfRule>
    <cfRule type="cellIs" dxfId="0" priority="3" operator="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Miguel</dc:creator>
  <cp:lastModifiedBy>Rodrigo Miguel</cp:lastModifiedBy>
  <dcterms:created xsi:type="dcterms:W3CDTF">2023-02-03T09:35:05Z</dcterms:created>
  <dcterms:modified xsi:type="dcterms:W3CDTF">2023-03-09T10:26:31Z</dcterms:modified>
</cp:coreProperties>
</file>